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25"/>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PE1011 .N295 no.18</t>
        </is>
      </c>
      <c r="C2" t="inlineStr">
        <is>
          <t>0                      PE 1011000N  295                                                     no.18</t>
        </is>
      </c>
      <c r="D2" t="inlineStr">
        <is>
          <t>Language development : kindergarten through grade twelve / by Walter Loban.</t>
        </is>
      </c>
      <c r="E2" t="inlineStr">
        <is>
          <t>no.18*</t>
        </is>
      </c>
      <c r="F2" t="inlineStr">
        <is>
          <t>No</t>
        </is>
      </c>
      <c r="G2" t="inlineStr">
        <is>
          <t>1</t>
        </is>
      </c>
      <c r="H2" t="inlineStr">
        <is>
          <t>No</t>
        </is>
      </c>
      <c r="I2" t="inlineStr">
        <is>
          <t>No</t>
        </is>
      </c>
      <c r="J2" t="inlineStr">
        <is>
          <t>0</t>
        </is>
      </c>
      <c r="K2" t="inlineStr">
        <is>
          <t>Loban, Walter.</t>
        </is>
      </c>
      <c r="L2" t="inlineStr">
        <is>
          <t>Urbana, Ill. : National Council of Teachers of English, c1976.</t>
        </is>
      </c>
      <c r="M2" t="inlineStr">
        <is>
          <t>1976</t>
        </is>
      </c>
      <c r="O2" t="inlineStr">
        <is>
          <t>eng</t>
        </is>
      </c>
      <c r="P2" t="inlineStr">
        <is>
          <t>ilu</t>
        </is>
      </c>
      <c r="Q2" t="inlineStr">
        <is>
          <t>NCTE research report ; no. 18</t>
        </is>
      </c>
      <c r="R2" t="inlineStr">
        <is>
          <t xml:space="preserve">PE </t>
        </is>
      </c>
      <c r="S2" t="n">
        <v>1</v>
      </c>
      <c r="T2" t="n">
        <v>1</v>
      </c>
      <c r="U2" t="inlineStr">
        <is>
          <t>2001-04-18</t>
        </is>
      </c>
      <c r="V2" t="inlineStr">
        <is>
          <t>2001-04-18</t>
        </is>
      </c>
      <c r="W2" t="inlineStr">
        <is>
          <t>1993-04-21</t>
        </is>
      </c>
      <c r="X2" t="inlineStr">
        <is>
          <t>1993-04-21</t>
        </is>
      </c>
      <c r="Y2" t="n">
        <v>442</v>
      </c>
      <c r="Z2" t="n">
        <v>373</v>
      </c>
      <c r="AA2" t="n">
        <v>375</v>
      </c>
      <c r="AB2" t="n">
        <v>4</v>
      </c>
      <c r="AC2" t="n">
        <v>4</v>
      </c>
      <c r="AD2" t="n">
        <v>11</v>
      </c>
      <c r="AE2" t="n">
        <v>11</v>
      </c>
      <c r="AF2" t="n">
        <v>3</v>
      </c>
      <c r="AG2" t="n">
        <v>3</v>
      </c>
      <c r="AH2" t="n">
        <v>1</v>
      </c>
      <c r="AI2" t="n">
        <v>1</v>
      </c>
      <c r="AJ2" t="n">
        <v>6</v>
      </c>
      <c r="AK2" t="n">
        <v>6</v>
      </c>
      <c r="AL2" t="n">
        <v>3</v>
      </c>
      <c r="AM2" t="n">
        <v>3</v>
      </c>
      <c r="AN2" t="n">
        <v>0</v>
      </c>
      <c r="AO2" t="n">
        <v>0</v>
      </c>
      <c r="AP2" t="inlineStr">
        <is>
          <t>No</t>
        </is>
      </c>
      <c r="AQ2" t="inlineStr">
        <is>
          <t>Yes</t>
        </is>
      </c>
      <c r="AR2">
        <f>HYPERLINK("http://catalog.hathitrust.org/Record/007471923","HathiTrust Record")</f>
        <v/>
      </c>
      <c r="AS2">
        <f>HYPERLINK("https://creighton-primo.hosted.exlibrisgroup.com/primo-explore/search?tab=default_tab&amp;search_scope=EVERYTHING&amp;vid=01CRU&amp;lang=en_US&amp;offset=0&amp;query=any,contains,991004120779702656","Catalog Record")</f>
        <v/>
      </c>
      <c r="AT2">
        <f>HYPERLINK("http://www.worldcat.org/oclc/2425308","WorldCat Record")</f>
        <v/>
      </c>
      <c r="AU2" t="inlineStr">
        <is>
          <t>822037395:eng</t>
        </is>
      </c>
      <c r="AV2" t="inlineStr">
        <is>
          <t>2425308</t>
        </is>
      </c>
      <c r="AW2" t="inlineStr">
        <is>
          <t>991004120779702656</t>
        </is>
      </c>
      <c r="AX2" t="inlineStr">
        <is>
          <t>991004120779702656</t>
        </is>
      </c>
      <c r="AY2" t="inlineStr">
        <is>
          <t>2264425840002656</t>
        </is>
      </c>
      <c r="AZ2" t="inlineStr">
        <is>
          <t>BOOK</t>
        </is>
      </c>
      <c r="BB2" t="inlineStr">
        <is>
          <t>9780814126547</t>
        </is>
      </c>
      <c r="BC2" t="inlineStr">
        <is>
          <t>32285001646131</t>
        </is>
      </c>
      <c r="BD2" t="inlineStr">
        <is>
          <t>893718498</t>
        </is>
      </c>
    </row>
    <row r="3">
      <c r="A3" t="inlineStr">
        <is>
          <t>No</t>
        </is>
      </c>
      <c r="B3" t="inlineStr">
        <is>
          <t>PE1011 .N295 no.22</t>
        </is>
      </c>
      <c r="C3" t="inlineStr">
        <is>
          <t>0                      PE 1011000N  295                                                     no.22</t>
        </is>
      </c>
      <c r="D3" t="inlineStr">
        <is>
          <t>How writing shapes thinking : a study of teaching and learning / Judith A. Langer, Arthur N. Applebee.</t>
        </is>
      </c>
      <c r="E3" t="inlineStr">
        <is>
          <t>no.22*</t>
        </is>
      </c>
      <c r="F3" t="inlineStr">
        <is>
          <t>No</t>
        </is>
      </c>
      <c r="G3" t="inlineStr">
        <is>
          <t>1</t>
        </is>
      </c>
      <c r="H3" t="inlineStr">
        <is>
          <t>No</t>
        </is>
      </c>
      <c r="I3" t="inlineStr">
        <is>
          <t>No</t>
        </is>
      </c>
      <c r="J3" t="inlineStr">
        <is>
          <t>0</t>
        </is>
      </c>
      <c r="K3" t="inlineStr">
        <is>
          <t>Langer, Judith A.</t>
        </is>
      </c>
      <c r="L3" t="inlineStr">
        <is>
          <t>Urbana, Ill. : National Council of Teachers of English, c1987.</t>
        </is>
      </c>
      <c r="M3" t="inlineStr">
        <is>
          <t>1987</t>
        </is>
      </c>
      <c r="O3" t="inlineStr">
        <is>
          <t>eng</t>
        </is>
      </c>
      <c r="P3" t="inlineStr">
        <is>
          <t>ilu</t>
        </is>
      </c>
      <c r="Q3" t="inlineStr">
        <is>
          <t>NCTE research report ; no. 22</t>
        </is>
      </c>
      <c r="R3" t="inlineStr">
        <is>
          <t xml:space="preserve">PE </t>
        </is>
      </c>
      <c r="S3" t="n">
        <v>6</v>
      </c>
      <c r="T3" t="n">
        <v>6</v>
      </c>
      <c r="U3" t="inlineStr">
        <is>
          <t>1998-03-04</t>
        </is>
      </c>
      <c r="V3" t="inlineStr">
        <is>
          <t>1998-03-04</t>
        </is>
      </c>
      <c r="W3" t="inlineStr">
        <is>
          <t>1993-04-21</t>
        </is>
      </c>
      <c r="X3" t="inlineStr">
        <is>
          <t>1993-04-21</t>
        </is>
      </c>
      <c r="Y3" t="n">
        <v>648</v>
      </c>
      <c r="Z3" t="n">
        <v>582</v>
      </c>
      <c r="AA3" t="n">
        <v>641</v>
      </c>
      <c r="AB3" t="n">
        <v>6</v>
      </c>
      <c r="AC3" t="n">
        <v>7</v>
      </c>
      <c r="AD3" t="n">
        <v>27</v>
      </c>
      <c r="AE3" t="n">
        <v>30</v>
      </c>
      <c r="AF3" t="n">
        <v>11</v>
      </c>
      <c r="AG3" t="n">
        <v>11</v>
      </c>
      <c r="AH3" t="n">
        <v>6</v>
      </c>
      <c r="AI3" t="n">
        <v>7</v>
      </c>
      <c r="AJ3" t="n">
        <v>11</v>
      </c>
      <c r="AK3" t="n">
        <v>12</v>
      </c>
      <c r="AL3" t="n">
        <v>5</v>
      </c>
      <c r="AM3" t="n">
        <v>6</v>
      </c>
      <c r="AN3" t="n">
        <v>0</v>
      </c>
      <c r="AO3" t="n">
        <v>0</v>
      </c>
      <c r="AP3" t="inlineStr">
        <is>
          <t>No</t>
        </is>
      </c>
      <c r="AQ3" t="inlineStr">
        <is>
          <t>Yes</t>
        </is>
      </c>
      <c r="AR3">
        <f>HYPERLINK("http://catalog.hathitrust.org/Record/000914853","HathiTrust Record")</f>
        <v/>
      </c>
      <c r="AS3">
        <f>HYPERLINK("https://creighton-primo.hosted.exlibrisgroup.com/primo-explore/search?tab=default_tab&amp;search_scope=EVERYTHING&amp;vid=01CRU&amp;lang=en_US&amp;offset=0&amp;query=any,contains,991001137339702656","Catalog Record")</f>
        <v/>
      </c>
      <c r="AT3">
        <f>HYPERLINK("http://www.worldcat.org/oclc/16717697","WorldCat Record")</f>
        <v/>
      </c>
      <c r="AU3" t="inlineStr">
        <is>
          <t>5975531:eng</t>
        </is>
      </c>
      <c r="AV3" t="inlineStr">
        <is>
          <t>16717697</t>
        </is>
      </c>
      <c r="AW3" t="inlineStr">
        <is>
          <t>991001137339702656</t>
        </is>
      </c>
      <c r="AX3" t="inlineStr">
        <is>
          <t>991001137339702656</t>
        </is>
      </c>
      <c r="AY3" t="inlineStr">
        <is>
          <t>2256690750002656</t>
        </is>
      </c>
      <c r="AZ3" t="inlineStr">
        <is>
          <t>BOOK</t>
        </is>
      </c>
      <c r="BB3" t="inlineStr">
        <is>
          <t>9780814121801</t>
        </is>
      </c>
      <c r="BC3" t="inlineStr">
        <is>
          <t>32285001646156</t>
        </is>
      </c>
      <c r="BD3" t="inlineStr">
        <is>
          <t>893791197</t>
        </is>
      </c>
    </row>
    <row r="4">
      <c r="A4" t="inlineStr">
        <is>
          <t>No</t>
        </is>
      </c>
      <c r="B4" t="inlineStr">
        <is>
          <t>PE1011 .N295 no.23</t>
        </is>
      </c>
      <c r="C4" t="inlineStr">
        <is>
          <t>0                      PE 1011000N  295                                                     no.23</t>
        </is>
      </c>
      <c r="D4" t="inlineStr">
        <is>
          <t>Response to student writing / Sarah Warshauer Freedman, with Cynthia Greenleaf, Melanie Sperling.</t>
        </is>
      </c>
      <c r="E4" t="inlineStr">
        <is>
          <t>no.23*</t>
        </is>
      </c>
      <c r="F4" t="inlineStr">
        <is>
          <t>No</t>
        </is>
      </c>
      <c r="G4" t="inlineStr">
        <is>
          <t>1</t>
        </is>
      </c>
      <c r="H4" t="inlineStr">
        <is>
          <t>No</t>
        </is>
      </c>
      <c r="I4" t="inlineStr">
        <is>
          <t>No</t>
        </is>
      </c>
      <c r="J4" t="inlineStr">
        <is>
          <t>0</t>
        </is>
      </c>
      <c r="K4" t="inlineStr">
        <is>
          <t>Freedman, Sarah Warshauer.</t>
        </is>
      </c>
      <c r="L4" t="inlineStr">
        <is>
          <t>Urbana, Ill. : National Council of Teachers of English, c1987.</t>
        </is>
      </c>
      <c r="M4" t="inlineStr">
        <is>
          <t>1987</t>
        </is>
      </c>
      <c r="O4" t="inlineStr">
        <is>
          <t>eng</t>
        </is>
      </c>
      <c r="P4" t="inlineStr">
        <is>
          <t>ilu</t>
        </is>
      </c>
      <c r="Q4" t="inlineStr">
        <is>
          <t>NCTE research report ; no. 23</t>
        </is>
      </c>
      <c r="R4" t="inlineStr">
        <is>
          <t xml:space="preserve">PE </t>
        </is>
      </c>
      <c r="S4" t="n">
        <v>2</v>
      </c>
      <c r="T4" t="n">
        <v>2</v>
      </c>
      <c r="U4" t="inlineStr">
        <is>
          <t>1998-02-08</t>
        </is>
      </c>
      <c r="V4" t="inlineStr">
        <is>
          <t>1998-02-08</t>
        </is>
      </c>
      <c r="W4" t="inlineStr">
        <is>
          <t>1992-07-03</t>
        </is>
      </c>
      <c r="X4" t="inlineStr">
        <is>
          <t>1992-07-03</t>
        </is>
      </c>
      <c r="Y4" t="n">
        <v>467</v>
      </c>
      <c r="Z4" t="n">
        <v>414</v>
      </c>
      <c r="AA4" t="n">
        <v>416</v>
      </c>
      <c r="AB4" t="n">
        <v>3</v>
      </c>
      <c r="AC4" t="n">
        <v>3</v>
      </c>
      <c r="AD4" t="n">
        <v>17</v>
      </c>
      <c r="AE4" t="n">
        <v>17</v>
      </c>
      <c r="AF4" t="n">
        <v>7</v>
      </c>
      <c r="AG4" t="n">
        <v>7</v>
      </c>
      <c r="AH4" t="n">
        <v>5</v>
      </c>
      <c r="AI4" t="n">
        <v>5</v>
      </c>
      <c r="AJ4" t="n">
        <v>8</v>
      </c>
      <c r="AK4" t="n">
        <v>8</v>
      </c>
      <c r="AL4" t="n">
        <v>2</v>
      </c>
      <c r="AM4" t="n">
        <v>2</v>
      </c>
      <c r="AN4" t="n">
        <v>0</v>
      </c>
      <c r="AO4" t="n">
        <v>0</v>
      </c>
      <c r="AP4" t="inlineStr">
        <is>
          <t>No</t>
        </is>
      </c>
      <c r="AQ4" t="inlineStr">
        <is>
          <t>Yes</t>
        </is>
      </c>
      <c r="AR4">
        <f>HYPERLINK("http://catalog.hathitrust.org/Record/003491173","HathiTrust Record")</f>
        <v/>
      </c>
      <c r="AS4">
        <f>HYPERLINK("https://creighton-primo.hosted.exlibrisgroup.com/primo-explore/search?tab=default_tab&amp;search_scope=EVERYTHING&amp;vid=01CRU&amp;lang=en_US&amp;offset=0&amp;query=any,contains,991001149329702656","Catalog Record")</f>
        <v/>
      </c>
      <c r="AT4">
        <f>HYPERLINK("http://www.worldcat.org/oclc/16802933","WorldCat Record")</f>
        <v/>
      </c>
      <c r="AU4" t="inlineStr">
        <is>
          <t>13125828:eng</t>
        </is>
      </c>
      <c r="AV4" t="inlineStr">
        <is>
          <t>16802933</t>
        </is>
      </c>
      <c r="AW4" t="inlineStr">
        <is>
          <t>991001149329702656</t>
        </is>
      </c>
      <c r="AX4" t="inlineStr">
        <is>
          <t>991001149329702656</t>
        </is>
      </c>
      <c r="AY4" t="inlineStr">
        <is>
          <t>2270607550002656</t>
        </is>
      </c>
      <c r="AZ4" t="inlineStr">
        <is>
          <t>BOOK</t>
        </is>
      </c>
      <c r="BB4" t="inlineStr">
        <is>
          <t>9780814140826</t>
        </is>
      </c>
      <c r="BC4" t="inlineStr">
        <is>
          <t>32285001148666</t>
        </is>
      </c>
      <c r="BD4" t="inlineStr">
        <is>
          <t>893590066</t>
        </is>
      </c>
    </row>
    <row r="5">
      <c r="A5" t="inlineStr">
        <is>
          <t>No</t>
        </is>
      </c>
      <c r="B5" t="inlineStr">
        <is>
          <t>PE1065 .B7</t>
        </is>
      </c>
      <c r="C5" t="inlineStr">
        <is>
          <t>0                      PE 1065000B  7</t>
        </is>
      </c>
      <c r="D5" t="inlineStr">
        <is>
          <t>The English language; an introduction for teachers [by] Fred Brengelman.</t>
        </is>
      </c>
      <c r="F5" t="inlineStr">
        <is>
          <t>No</t>
        </is>
      </c>
      <c r="G5" t="inlineStr">
        <is>
          <t>1</t>
        </is>
      </c>
      <c r="H5" t="inlineStr">
        <is>
          <t>No</t>
        </is>
      </c>
      <c r="I5" t="inlineStr">
        <is>
          <t>No</t>
        </is>
      </c>
      <c r="J5" t="inlineStr">
        <is>
          <t>0</t>
        </is>
      </c>
      <c r="K5" t="inlineStr">
        <is>
          <t>Brengelman, Frederick H., 1928-</t>
        </is>
      </c>
      <c r="L5" t="inlineStr">
        <is>
          <t>Englewood Cliffs, N.J., Prentice-Hall [1970]</t>
        </is>
      </c>
      <c r="M5" t="inlineStr">
        <is>
          <t>1970</t>
        </is>
      </c>
      <c r="O5" t="inlineStr">
        <is>
          <t>eng</t>
        </is>
      </c>
      <c r="P5" t="inlineStr">
        <is>
          <t>nju</t>
        </is>
      </c>
      <c r="R5" t="inlineStr">
        <is>
          <t xml:space="preserve">PE </t>
        </is>
      </c>
      <c r="S5" t="n">
        <v>2</v>
      </c>
      <c r="T5" t="n">
        <v>2</v>
      </c>
      <c r="U5" t="inlineStr">
        <is>
          <t>1997-11-14</t>
        </is>
      </c>
      <c r="V5" t="inlineStr">
        <is>
          <t>1997-11-14</t>
        </is>
      </c>
      <c r="W5" t="inlineStr">
        <is>
          <t>1997-09-15</t>
        </is>
      </c>
      <c r="X5" t="inlineStr">
        <is>
          <t>1997-09-15</t>
        </is>
      </c>
      <c r="Y5" t="n">
        <v>418</v>
      </c>
      <c r="Z5" t="n">
        <v>348</v>
      </c>
      <c r="AA5" t="n">
        <v>354</v>
      </c>
      <c r="AB5" t="n">
        <v>5</v>
      </c>
      <c r="AC5" t="n">
        <v>5</v>
      </c>
      <c r="AD5" t="n">
        <v>11</v>
      </c>
      <c r="AE5" t="n">
        <v>11</v>
      </c>
      <c r="AF5" t="n">
        <v>3</v>
      </c>
      <c r="AG5" t="n">
        <v>3</v>
      </c>
      <c r="AH5" t="n">
        <v>2</v>
      </c>
      <c r="AI5" t="n">
        <v>2</v>
      </c>
      <c r="AJ5" t="n">
        <v>6</v>
      </c>
      <c r="AK5" t="n">
        <v>6</v>
      </c>
      <c r="AL5" t="n">
        <v>3</v>
      </c>
      <c r="AM5" t="n">
        <v>3</v>
      </c>
      <c r="AN5" t="n">
        <v>0</v>
      </c>
      <c r="AO5" t="n">
        <v>0</v>
      </c>
      <c r="AP5" t="inlineStr">
        <is>
          <t>No</t>
        </is>
      </c>
      <c r="AQ5" t="inlineStr">
        <is>
          <t>No</t>
        </is>
      </c>
      <c r="AS5">
        <f>HYPERLINK("https://creighton-primo.hosted.exlibrisgroup.com/primo-explore/search?tab=default_tab&amp;search_scope=EVERYTHING&amp;vid=01CRU&amp;lang=en_US&amp;offset=0&amp;query=any,contains,991000657119702656","Catalog Record")</f>
        <v/>
      </c>
      <c r="AT5">
        <f>HYPERLINK("http://www.worldcat.org/oclc/116002","WorldCat Record")</f>
        <v/>
      </c>
      <c r="AU5" t="inlineStr">
        <is>
          <t>198768359:eng</t>
        </is>
      </c>
      <c r="AV5" t="inlineStr">
        <is>
          <t>116002</t>
        </is>
      </c>
      <c r="AW5" t="inlineStr">
        <is>
          <t>991000657119702656</t>
        </is>
      </c>
      <c r="AX5" t="inlineStr">
        <is>
          <t>991000657119702656</t>
        </is>
      </c>
      <c r="AY5" t="inlineStr">
        <is>
          <t>2260501010002656</t>
        </is>
      </c>
      <c r="AZ5" t="inlineStr">
        <is>
          <t>BOOK</t>
        </is>
      </c>
      <c r="BB5" t="inlineStr">
        <is>
          <t>9780132828550</t>
        </is>
      </c>
      <c r="BC5" t="inlineStr">
        <is>
          <t>32285003227625</t>
        </is>
      </c>
      <c r="BD5" t="inlineStr">
        <is>
          <t>893496448</t>
        </is>
      </c>
    </row>
    <row r="6">
      <c r="A6" t="inlineStr">
        <is>
          <t>No</t>
        </is>
      </c>
      <c r="B6" t="inlineStr">
        <is>
          <t>PE1065 .G6</t>
        </is>
      </c>
      <c r="C6" t="inlineStr">
        <is>
          <t>0                      PE 1065000G  6</t>
        </is>
      </c>
      <c r="D6" t="inlineStr">
        <is>
          <t>Essays on the teaching of English; reports of the Yale Conferences on the Teaching of English. Edited by Edward J. Gordon [and] Edward S. Noyes.</t>
        </is>
      </c>
      <c r="F6" t="inlineStr">
        <is>
          <t>No</t>
        </is>
      </c>
      <c r="G6" t="inlineStr">
        <is>
          <t>1</t>
        </is>
      </c>
      <c r="H6" t="inlineStr">
        <is>
          <t>No</t>
        </is>
      </c>
      <c r="I6" t="inlineStr">
        <is>
          <t>No</t>
        </is>
      </c>
      <c r="J6" t="inlineStr">
        <is>
          <t>0</t>
        </is>
      </c>
      <c r="K6" t="inlineStr">
        <is>
          <t>Gordon, Edward J. editor.</t>
        </is>
      </c>
      <c r="L6" t="inlineStr">
        <is>
          <t>New York, Appleton-Century-Crofts [1960]</t>
        </is>
      </c>
      <c r="M6" t="inlineStr">
        <is>
          <t>1960</t>
        </is>
      </c>
      <c r="O6" t="inlineStr">
        <is>
          <t>eng</t>
        </is>
      </c>
      <c r="P6" t="inlineStr">
        <is>
          <t>nyu</t>
        </is>
      </c>
      <c r="R6" t="inlineStr">
        <is>
          <t xml:space="preserve">PE </t>
        </is>
      </c>
      <c r="S6" t="n">
        <v>2</v>
      </c>
      <c r="T6" t="n">
        <v>2</v>
      </c>
      <c r="U6" t="inlineStr">
        <is>
          <t>1998-03-04</t>
        </is>
      </c>
      <c r="V6" t="inlineStr">
        <is>
          <t>1998-03-04</t>
        </is>
      </c>
      <c r="W6" t="inlineStr">
        <is>
          <t>1997-09-15</t>
        </is>
      </c>
      <c r="X6" t="inlineStr">
        <is>
          <t>1997-09-15</t>
        </is>
      </c>
      <c r="Y6" t="n">
        <v>566</v>
      </c>
      <c r="Z6" t="n">
        <v>519</v>
      </c>
      <c r="AA6" t="n">
        <v>522</v>
      </c>
      <c r="AB6" t="n">
        <v>6</v>
      </c>
      <c r="AC6" t="n">
        <v>6</v>
      </c>
      <c r="AD6" t="n">
        <v>26</v>
      </c>
      <c r="AE6" t="n">
        <v>26</v>
      </c>
      <c r="AF6" t="n">
        <v>8</v>
      </c>
      <c r="AG6" t="n">
        <v>8</v>
      </c>
      <c r="AH6" t="n">
        <v>4</v>
      </c>
      <c r="AI6" t="n">
        <v>4</v>
      </c>
      <c r="AJ6" t="n">
        <v>15</v>
      </c>
      <c r="AK6" t="n">
        <v>15</v>
      </c>
      <c r="AL6" t="n">
        <v>5</v>
      </c>
      <c r="AM6" t="n">
        <v>5</v>
      </c>
      <c r="AN6" t="n">
        <v>0</v>
      </c>
      <c r="AO6" t="n">
        <v>0</v>
      </c>
      <c r="AP6" t="inlineStr">
        <is>
          <t>No</t>
        </is>
      </c>
      <c r="AQ6" t="inlineStr">
        <is>
          <t>No</t>
        </is>
      </c>
      <c r="AR6">
        <f>HYPERLINK("http://catalog.hathitrust.org/Record/001282981","HathiTrust Record")</f>
        <v/>
      </c>
      <c r="AS6">
        <f>HYPERLINK("https://creighton-primo.hosted.exlibrisgroup.com/primo-explore/search?tab=default_tab&amp;search_scope=EVERYTHING&amp;vid=01CRU&amp;lang=en_US&amp;offset=0&amp;query=any,contains,991002297379702656","Catalog Record")</f>
        <v/>
      </c>
      <c r="AT6">
        <f>HYPERLINK("http://www.worldcat.org/oclc/316345","WorldCat Record")</f>
        <v/>
      </c>
      <c r="AU6" t="inlineStr">
        <is>
          <t>1387098:eng</t>
        </is>
      </c>
      <c r="AV6" t="inlineStr">
        <is>
          <t>316345</t>
        </is>
      </c>
      <c r="AW6" t="inlineStr">
        <is>
          <t>991002297379702656</t>
        </is>
      </c>
      <c r="AX6" t="inlineStr">
        <is>
          <t>991002297379702656</t>
        </is>
      </c>
      <c r="AY6" t="inlineStr">
        <is>
          <t>2269352770002656</t>
        </is>
      </c>
      <c r="AZ6" t="inlineStr">
        <is>
          <t>BOOK</t>
        </is>
      </c>
      <c r="BC6" t="inlineStr">
        <is>
          <t>32285003227641</t>
        </is>
      </c>
      <c r="BD6" t="inlineStr">
        <is>
          <t>893510552</t>
        </is>
      </c>
    </row>
    <row r="7">
      <c r="A7" t="inlineStr">
        <is>
          <t>No</t>
        </is>
      </c>
      <c r="B7" t="inlineStr">
        <is>
          <t>PE1065 .H68 1970</t>
        </is>
      </c>
      <c r="C7" t="inlineStr">
        <is>
          <t>0                      PE 1065000H  68          1970</t>
        </is>
      </c>
      <c r="D7" t="inlineStr">
        <is>
          <t>What every English teacher should know, by J.N. Hook, Paul H. Jacobs [and] Raymond D. Crisp.</t>
        </is>
      </c>
      <c r="F7" t="inlineStr">
        <is>
          <t>No</t>
        </is>
      </c>
      <c r="G7" t="inlineStr">
        <is>
          <t>1</t>
        </is>
      </c>
      <c r="H7" t="inlineStr">
        <is>
          <t>No</t>
        </is>
      </c>
      <c r="I7" t="inlineStr">
        <is>
          <t>No</t>
        </is>
      </c>
      <c r="J7" t="inlineStr">
        <is>
          <t>0</t>
        </is>
      </c>
      <c r="K7" t="inlineStr">
        <is>
          <t>Hook, J. N. (Julius Nicholas), 1913-2005.</t>
        </is>
      </c>
      <c r="L7" t="inlineStr">
        <is>
          <t>[Champaign, Ill., National Council of Teachers of English, 1970]</t>
        </is>
      </c>
      <c r="M7" t="inlineStr">
        <is>
          <t>1970</t>
        </is>
      </c>
      <c r="O7" t="inlineStr">
        <is>
          <t>eng</t>
        </is>
      </c>
      <c r="P7" t="inlineStr">
        <is>
          <t>ilu</t>
        </is>
      </c>
      <c r="R7" t="inlineStr">
        <is>
          <t xml:space="preserve">PE </t>
        </is>
      </c>
      <c r="S7" t="n">
        <v>2</v>
      </c>
      <c r="T7" t="n">
        <v>2</v>
      </c>
      <c r="U7" t="inlineStr">
        <is>
          <t>2008-06-19</t>
        </is>
      </c>
      <c r="V7" t="inlineStr">
        <is>
          <t>2008-06-19</t>
        </is>
      </c>
      <c r="W7" t="inlineStr">
        <is>
          <t>2003-10-15</t>
        </is>
      </c>
      <c r="X7" t="inlineStr">
        <is>
          <t>2003-10-15</t>
        </is>
      </c>
      <c r="Y7" t="n">
        <v>318</v>
      </c>
      <c r="Z7" t="n">
        <v>298</v>
      </c>
      <c r="AA7" t="n">
        <v>299</v>
      </c>
      <c r="AB7" t="n">
        <v>7</v>
      </c>
      <c r="AC7" t="n">
        <v>7</v>
      </c>
      <c r="AD7" t="n">
        <v>14</v>
      </c>
      <c r="AE7" t="n">
        <v>14</v>
      </c>
      <c r="AF7" t="n">
        <v>2</v>
      </c>
      <c r="AG7" t="n">
        <v>2</v>
      </c>
      <c r="AH7" t="n">
        <v>3</v>
      </c>
      <c r="AI7" t="n">
        <v>3</v>
      </c>
      <c r="AJ7" t="n">
        <v>5</v>
      </c>
      <c r="AK7" t="n">
        <v>5</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HYPERLINK("https://creighton-primo.hosted.exlibrisgroup.com/primo-explore/search?tab=default_tab&amp;search_scope=EVERYTHING&amp;vid=01CRU&amp;lang=en_US&amp;offset=0&amp;query=any,contains,991004162439702656","Catalog Record")</f>
        <v/>
      </c>
      <c r="AT7">
        <f>HYPERLINK("http://www.worldcat.org/oclc/74927","WorldCat Record")</f>
        <v/>
      </c>
      <c r="AU7" t="inlineStr">
        <is>
          <t>1781088908:eng</t>
        </is>
      </c>
      <c r="AV7" t="inlineStr">
        <is>
          <t>74927</t>
        </is>
      </c>
      <c r="AW7" t="inlineStr">
        <is>
          <t>991004162439702656</t>
        </is>
      </c>
      <c r="AX7" t="inlineStr">
        <is>
          <t>991004162439702656</t>
        </is>
      </c>
      <c r="AY7" t="inlineStr">
        <is>
          <t>2272130200002656</t>
        </is>
      </c>
      <c r="AZ7" t="inlineStr">
        <is>
          <t>BOOK</t>
        </is>
      </c>
      <c r="BC7" t="inlineStr">
        <is>
          <t>32285004788583</t>
        </is>
      </c>
      <c r="BD7" t="inlineStr">
        <is>
          <t>893888365</t>
        </is>
      </c>
    </row>
    <row r="8">
      <c r="A8" t="inlineStr">
        <is>
          <t>No</t>
        </is>
      </c>
      <c r="B8" t="inlineStr">
        <is>
          <t>PE1065 .M373 1985</t>
        </is>
      </c>
      <c r="C8" t="inlineStr">
        <is>
          <t>0                      PE 1065000M  373         1985</t>
        </is>
      </c>
      <c r="D8" t="inlineStr">
        <is>
          <t>English language, English literature : the creation of an academic discipline / Jo McMurtry.</t>
        </is>
      </c>
      <c r="F8" t="inlineStr">
        <is>
          <t>No</t>
        </is>
      </c>
      <c r="G8" t="inlineStr">
        <is>
          <t>1</t>
        </is>
      </c>
      <c r="H8" t="inlineStr">
        <is>
          <t>No</t>
        </is>
      </c>
      <c r="I8" t="inlineStr">
        <is>
          <t>No</t>
        </is>
      </c>
      <c r="J8" t="inlineStr">
        <is>
          <t>0</t>
        </is>
      </c>
      <c r="K8" t="inlineStr">
        <is>
          <t>McMurtry, Jo, 1937-</t>
        </is>
      </c>
      <c r="L8" t="inlineStr">
        <is>
          <t>Hamden, Conn. : Archon Books, 1985.</t>
        </is>
      </c>
      <c r="M8" t="inlineStr">
        <is>
          <t>1985</t>
        </is>
      </c>
      <c r="O8" t="inlineStr">
        <is>
          <t>eng</t>
        </is>
      </c>
      <c r="P8" t="inlineStr">
        <is>
          <t>ctu</t>
        </is>
      </c>
      <c r="R8" t="inlineStr">
        <is>
          <t xml:space="preserve">PE </t>
        </is>
      </c>
      <c r="S8" t="n">
        <v>13</v>
      </c>
      <c r="T8" t="n">
        <v>13</v>
      </c>
      <c r="U8" t="inlineStr">
        <is>
          <t>2008-02-06</t>
        </is>
      </c>
      <c r="V8" t="inlineStr">
        <is>
          <t>2008-02-06</t>
        </is>
      </c>
      <c r="W8" t="inlineStr">
        <is>
          <t>1993-04-23</t>
        </is>
      </c>
      <c r="X8" t="inlineStr">
        <is>
          <t>1993-04-23</t>
        </is>
      </c>
      <c r="Y8" t="n">
        <v>306</v>
      </c>
      <c r="Z8" t="n">
        <v>251</v>
      </c>
      <c r="AA8" t="n">
        <v>253</v>
      </c>
      <c r="AB8" t="n">
        <v>3</v>
      </c>
      <c r="AC8" t="n">
        <v>3</v>
      </c>
      <c r="AD8" t="n">
        <v>12</v>
      </c>
      <c r="AE8" t="n">
        <v>12</v>
      </c>
      <c r="AF8" t="n">
        <v>1</v>
      </c>
      <c r="AG8" t="n">
        <v>1</v>
      </c>
      <c r="AH8" t="n">
        <v>3</v>
      </c>
      <c r="AI8" t="n">
        <v>3</v>
      </c>
      <c r="AJ8" t="n">
        <v>8</v>
      </c>
      <c r="AK8" t="n">
        <v>8</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HYPERLINK("https://creighton-primo.hosted.exlibrisgroup.com/primo-explore/search?tab=default_tab&amp;search_scope=EVERYTHING&amp;vid=01CRU&amp;lang=en_US&amp;offset=0&amp;query=any,contains,991000502139702656","Catalog Record")</f>
        <v/>
      </c>
      <c r="AT8">
        <f>HYPERLINK("http://www.worldcat.org/oclc/11186899","WorldCat Record")</f>
        <v/>
      </c>
      <c r="AU8" t="inlineStr">
        <is>
          <t>836649887:eng</t>
        </is>
      </c>
      <c r="AV8" t="inlineStr">
        <is>
          <t>11186899</t>
        </is>
      </c>
      <c r="AW8" t="inlineStr">
        <is>
          <t>991000502139702656</t>
        </is>
      </c>
      <c r="AX8" t="inlineStr">
        <is>
          <t>991000502139702656</t>
        </is>
      </c>
      <c r="AY8" t="inlineStr">
        <is>
          <t>2263846010002656</t>
        </is>
      </c>
      <c r="AZ8" t="inlineStr">
        <is>
          <t>BOOK</t>
        </is>
      </c>
      <c r="BB8" t="inlineStr">
        <is>
          <t>9780208020604</t>
        </is>
      </c>
      <c r="BC8" t="inlineStr">
        <is>
          <t>32285001645992</t>
        </is>
      </c>
      <c r="BD8" t="inlineStr">
        <is>
          <t>893865408</t>
        </is>
      </c>
    </row>
    <row r="9">
      <c r="A9" t="inlineStr">
        <is>
          <t>No</t>
        </is>
      </c>
      <c r="B9" t="inlineStr">
        <is>
          <t>PE1065 .W34</t>
        </is>
      </c>
      <c r="C9" t="inlineStr">
        <is>
          <t>0                      PE 1065000W  34</t>
        </is>
      </c>
      <c r="D9" t="inlineStr">
        <is>
          <t>Grammar for teachers : perspectives and definitions / Constance Weaver.</t>
        </is>
      </c>
      <c r="F9" t="inlineStr">
        <is>
          <t>No</t>
        </is>
      </c>
      <c r="G9" t="inlineStr">
        <is>
          <t>1</t>
        </is>
      </c>
      <c r="H9" t="inlineStr">
        <is>
          <t>No</t>
        </is>
      </c>
      <c r="I9" t="inlineStr">
        <is>
          <t>No</t>
        </is>
      </c>
      <c r="J9" t="inlineStr">
        <is>
          <t>0</t>
        </is>
      </c>
      <c r="K9" t="inlineStr">
        <is>
          <t>Weaver, Constance.</t>
        </is>
      </c>
      <c r="L9" t="inlineStr">
        <is>
          <t>Urbana, Ill. : National Council of Teachers of English, c1979.</t>
        </is>
      </c>
      <c r="M9" t="inlineStr">
        <is>
          <t>1979</t>
        </is>
      </c>
      <c r="O9" t="inlineStr">
        <is>
          <t>eng</t>
        </is>
      </c>
      <c r="P9" t="inlineStr">
        <is>
          <t>ilu</t>
        </is>
      </c>
      <c r="R9" t="inlineStr">
        <is>
          <t xml:space="preserve">PE </t>
        </is>
      </c>
      <c r="S9" t="n">
        <v>4</v>
      </c>
      <c r="T9" t="n">
        <v>4</v>
      </c>
      <c r="U9" t="inlineStr">
        <is>
          <t>2000-11-09</t>
        </is>
      </c>
      <c r="V9" t="inlineStr">
        <is>
          <t>2000-11-09</t>
        </is>
      </c>
      <c r="W9" t="inlineStr">
        <is>
          <t>1993-04-23</t>
        </is>
      </c>
      <c r="X9" t="inlineStr">
        <is>
          <t>1993-04-23</t>
        </is>
      </c>
      <c r="Y9" t="n">
        <v>693</v>
      </c>
      <c r="Z9" t="n">
        <v>628</v>
      </c>
      <c r="AA9" t="n">
        <v>637</v>
      </c>
      <c r="AB9" t="n">
        <v>8</v>
      </c>
      <c r="AC9" t="n">
        <v>8</v>
      </c>
      <c r="AD9" t="n">
        <v>34</v>
      </c>
      <c r="AE9" t="n">
        <v>34</v>
      </c>
      <c r="AF9" t="n">
        <v>12</v>
      </c>
      <c r="AG9" t="n">
        <v>12</v>
      </c>
      <c r="AH9" t="n">
        <v>7</v>
      </c>
      <c r="AI9" t="n">
        <v>7</v>
      </c>
      <c r="AJ9" t="n">
        <v>15</v>
      </c>
      <c r="AK9" t="n">
        <v>15</v>
      </c>
      <c r="AL9" t="n">
        <v>7</v>
      </c>
      <c r="AM9" t="n">
        <v>7</v>
      </c>
      <c r="AN9" t="n">
        <v>0</v>
      </c>
      <c r="AO9" t="n">
        <v>0</v>
      </c>
      <c r="AP9" t="inlineStr">
        <is>
          <t>No</t>
        </is>
      </c>
      <c r="AQ9" t="inlineStr">
        <is>
          <t>No</t>
        </is>
      </c>
      <c r="AS9">
        <f>HYPERLINK("https://creighton-primo.hosted.exlibrisgroup.com/primo-explore/search?tab=default_tab&amp;search_scope=EVERYTHING&amp;vid=01CRU&amp;lang=en_US&amp;offset=0&amp;query=any,contains,991004669999702656","Catalog Record")</f>
        <v/>
      </c>
      <c r="AT9">
        <f>HYPERLINK("http://www.worldcat.org/oclc/4515254","WorldCat Record")</f>
        <v/>
      </c>
      <c r="AU9" t="inlineStr">
        <is>
          <t>475683:eng</t>
        </is>
      </c>
      <c r="AV9" t="inlineStr">
        <is>
          <t>4515254</t>
        </is>
      </c>
      <c r="AW9" t="inlineStr">
        <is>
          <t>991004669999702656</t>
        </is>
      </c>
      <c r="AX9" t="inlineStr">
        <is>
          <t>991004669999702656</t>
        </is>
      </c>
      <c r="AY9" t="inlineStr">
        <is>
          <t>2265548060002656</t>
        </is>
      </c>
      <c r="AZ9" t="inlineStr">
        <is>
          <t>BOOK</t>
        </is>
      </c>
      <c r="BB9" t="inlineStr">
        <is>
          <t>9780814118764</t>
        </is>
      </c>
      <c r="BC9" t="inlineStr">
        <is>
          <t>32285001646008</t>
        </is>
      </c>
      <c r="BD9" t="inlineStr">
        <is>
          <t>893869964</t>
        </is>
      </c>
    </row>
    <row r="10">
      <c r="A10" t="inlineStr">
        <is>
          <t>No</t>
        </is>
      </c>
      <c r="B10" t="inlineStr">
        <is>
          <t>PE1066 .C574 1986</t>
        </is>
      </c>
      <c r="C10" t="inlineStr">
        <is>
          <t>0                      PE 1066000C  574         1986</t>
        </is>
      </c>
      <c r="D10" t="inlineStr">
        <is>
          <t>Computers in English language teaching and research : selected papers from the 1984 Lancaster symposium 'Computers in English language education and research' / edited by Geoffrey Leech and Christopher N. Candlin.</t>
        </is>
      </c>
      <c r="F10" t="inlineStr">
        <is>
          <t>No</t>
        </is>
      </c>
      <c r="G10" t="inlineStr">
        <is>
          <t>1</t>
        </is>
      </c>
      <c r="H10" t="inlineStr">
        <is>
          <t>No</t>
        </is>
      </c>
      <c r="I10" t="inlineStr">
        <is>
          <t>No</t>
        </is>
      </c>
      <c r="J10" t="inlineStr">
        <is>
          <t>0</t>
        </is>
      </c>
      <c r="L10" t="inlineStr">
        <is>
          <t>London ; New York : Longman, 1986.</t>
        </is>
      </c>
      <c r="M10" t="inlineStr">
        <is>
          <t>1986</t>
        </is>
      </c>
      <c r="O10" t="inlineStr">
        <is>
          <t>eng</t>
        </is>
      </c>
      <c r="P10" t="inlineStr">
        <is>
          <t>enk</t>
        </is>
      </c>
      <c r="Q10" t="inlineStr">
        <is>
          <t>Applied linguistics and language study</t>
        </is>
      </c>
      <c r="R10" t="inlineStr">
        <is>
          <t xml:space="preserve">PE </t>
        </is>
      </c>
      <c r="S10" t="n">
        <v>2</v>
      </c>
      <c r="T10" t="n">
        <v>2</v>
      </c>
      <c r="U10" t="inlineStr">
        <is>
          <t>1998-03-05</t>
        </is>
      </c>
      <c r="V10" t="inlineStr">
        <is>
          <t>1998-03-05</t>
        </is>
      </c>
      <c r="W10" t="inlineStr">
        <is>
          <t>1993-04-23</t>
        </is>
      </c>
      <c r="X10" t="inlineStr">
        <is>
          <t>1993-04-23</t>
        </is>
      </c>
      <c r="Y10" t="n">
        <v>354</v>
      </c>
      <c r="Z10" t="n">
        <v>184</v>
      </c>
      <c r="AA10" t="n">
        <v>191</v>
      </c>
      <c r="AB10" t="n">
        <v>2</v>
      </c>
      <c r="AC10" t="n">
        <v>2</v>
      </c>
      <c r="AD10" t="n">
        <v>7</v>
      </c>
      <c r="AE10" t="n">
        <v>7</v>
      </c>
      <c r="AF10" t="n">
        <v>1</v>
      </c>
      <c r="AG10" t="n">
        <v>1</v>
      </c>
      <c r="AH10" t="n">
        <v>2</v>
      </c>
      <c r="AI10" t="n">
        <v>2</v>
      </c>
      <c r="AJ10" t="n">
        <v>5</v>
      </c>
      <c r="AK10" t="n">
        <v>5</v>
      </c>
      <c r="AL10" t="n">
        <v>1</v>
      </c>
      <c r="AM10" t="n">
        <v>1</v>
      </c>
      <c r="AN10" t="n">
        <v>0</v>
      </c>
      <c r="AO10" t="n">
        <v>0</v>
      </c>
      <c r="AP10" t="inlineStr">
        <is>
          <t>No</t>
        </is>
      </c>
      <c r="AQ10" t="inlineStr">
        <is>
          <t>Yes</t>
        </is>
      </c>
      <c r="AR10">
        <f>HYPERLINK("http://catalog.hathitrust.org/Record/000382828","HathiTrust Record")</f>
        <v/>
      </c>
      <c r="AS10">
        <f>HYPERLINK("https://creighton-primo.hosted.exlibrisgroup.com/primo-explore/search?tab=default_tab&amp;search_scope=EVERYTHING&amp;vid=01CRU&amp;lang=en_US&amp;offset=0&amp;query=any,contains,991000673159702656","Catalog Record")</f>
        <v/>
      </c>
      <c r="AT10">
        <f>HYPERLINK("http://www.worldcat.org/oclc/12341921","WorldCat Record")</f>
        <v/>
      </c>
      <c r="AU10" t="inlineStr">
        <is>
          <t>807217550:eng</t>
        </is>
      </c>
      <c r="AV10" t="inlineStr">
        <is>
          <t>12341921</t>
        </is>
      </c>
      <c r="AW10" t="inlineStr">
        <is>
          <t>991000673159702656</t>
        </is>
      </c>
      <c r="AX10" t="inlineStr">
        <is>
          <t>991000673159702656</t>
        </is>
      </c>
      <c r="AY10" t="inlineStr">
        <is>
          <t>2266809700002656</t>
        </is>
      </c>
      <c r="AZ10" t="inlineStr">
        <is>
          <t>BOOK</t>
        </is>
      </c>
      <c r="BB10" t="inlineStr">
        <is>
          <t>9780582550698</t>
        </is>
      </c>
      <c r="BC10" t="inlineStr">
        <is>
          <t>32285001646024</t>
        </is>
      </c>
      <c r="BD10" t="inlineStr">
        <is>
          <t>893865576</t>
        </is>
      </c>
    </row>
    <row r="11">
      <c r="A11" t="inlineStr">
        <is>
          <t>No</t>
        </is>
      </c>
      <c r="B11" t="inlineStr">
        <is>
          <t>PE1066 .C657 1987</t>
        </is>
      </c>
      <c r="C11" t="inlineStr">
        <is>
          <t>0                      PE 1066000C  657         1987</t>
        </is>
      </c>
      <c r="D11" t="inlineStr">
        <is>
          <t>Computers, computers, computers / editors, Jeanette Harris, Joyce Kinkead ; editorial assistant, Laura Foster-Eason.</t>
        </is>
      </c>
      <c r="F11" t="inlineStr">
        <is>
          <t>No</t>
        </is>
      </c>
      <c r="G11" t="inlineStr">
        <is>
          <t>1</t>
        </is>
      </c>
      <c r="H11" t="inlineStr">
        <is>
          <t>No</t>
        </is>
      </c>
      <c r="I11" t="inlineStr">
        <is>
          <t>No</t>
        </is>
      </c>
      <c r="J11" t="inlineStr">
        <is>
          <t>0</t>
        </is>
      </c>
      <c r="L11" t="inlineStr">
        <is>
          <t>[Lubbock, Tex. : National Writing Centers Assoc.], 1987.</t>
        </is>
      </c>
      <c r="M11" t="inlineStr">
        <is>
          <t>1987</t>
        </is>
      </c>
      <c r="O11" t="inlineStr">
        <is>
          <t>eng</t>
        </is>
      </c>
      <c r="P11" t="inlineStr">
        <is>
          <t>txu</t>
        </is>
      </c>
      <c r="Q11" t="inlineStr">
        <is>
          <t>The writing center journal, 0889-6143 ; v. 8, no. 1 (Fall/Winter 1987)</t>
        </is>
      </c>
      <c r="R11" t="inlineStr">
        <is>
          <t xml:space="preserve">PE </t>
        </is>
      </c>
      <c r="S11" t="n">
        <v>2</v>
      </c>
      <c r="T11" t="n">
        <v>2</v>
      </c>
      <c r="U11" t="inlineStr">
        <is>
          <t>1997-03-25</t>
        </is>
      </c>
      <c r="V11" t="inlineStr">
        <is>
          <t>1997-03-25</t>
        </is>
      </c>
      <c r="W11" t="inlineStr">
        <is>
          <t>1991-03-06</t>
        </is>
      </c>
      <c r="X11" t="inlineStr">
        <is>
          <t>1991-03-06</t>
        </is>
      </c>
      <c r="Y11" t="n">
        <v>12</v>
      </c>
      <c r="Z11" t="n">
        <v>11</v>
      </c>
      <c r="AA11" t="n">
        <v>12</v>
      </c>
      <c r="AB11" t="n">
        <v>1</v>
      </c>
      <c r="AC11" t="n">
        <v>1</v>
      </c>
      <c r="AD11" t="n">
        <v>0</v>
      </c>
      <c r="AE11" t="n">
        <v>0</v>
      </c>
      <c r="AF11" t="n">
        <v>0</v>
      </c>
      <c r="AG11" t="n">
        <v>0</v>
      </c>
      <c r="AH11" t="n">
        <v>0</v>
      </c>
      <c r="AI11" t="n">
        <v>0</v>
      </c>
      <c r="AJ11" t="n">
        <v>0</v>
      </c>
      <c r="AK11" t="n">
        <v>0</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HYPERLINK("https://creighton-primo.hosted.exlibrisgroup.com/primo-explore/search?tab=default_tab&amp;search_scope=EVERYTHING&amp;vid=01CRU&amp;lang=en_US&amp;offset=0&amp;query=any,contains,991001763669702656","Catalog Record")</f>
        <v/>
      </c>
      <c r="AT11">
        <f>HYPERLINK("http://www.worldcat.org/oclc/22284350","WorldCat Record")</f>
        <v/>
      </c>
      <c r="AU11" t="inlineStr">
        <is>
          <t>24437110:eng</t>
        </is>
      </c>
      <c r="AV11" t="inlineStr">
        <is>
          <t>22284350</t>
        </is>
      </c>
      <c r="AW11" t="inlineStr">
        <is>
          <t>991001763669702656</t>
        </is>
      </c>
      <c r="AX11" t="inlineStr">
        <is>
          <t>991001763669702656</t>
        </is>
      </c>
      <c r="AY11" t="inlineStr">
        <is>
          <t>2264955710002656</t>
        </is>
      </c>
      <c r="AZ11" t="inlineStr">
        <is>
          <t>BOOK</t>
        </is>
      </c>
      <c r="BC11" t="inlineStr">
        <is>
          <t>32285000493220</t>
        </is>
      </c>
      <c r="BD11" t="inlineStr">
        <is>
          <t>893903557</t>
        </is>
      </c>
    </row>
    <row r="12">
      <c r="A12" t="inlineStr">
        <is>
          <t>No</t>
        </is>
      </c>
      <c r="B12" t="inlineStr">
        <is>
          <t>PE1066 .L3 1977</t>
        </is>
      </c>
      <c r="C12" t="inlineStr">
        <is>
          <t>0                      PE 1066000L  3           1977</t>
        </is>
      </c>
      <c r="D12" t="inlineStr">
        <is>
          <t>Linguistics in proper perspective / Pose Lamb.</t>
        </is>
      </c>
      <c r="F12" t="inlineStr">
        <is>
          <t>No</t>
        </is>
      </c>
      <c r="G12" t="inlineStr">
        <is>
          <t>1</t>
        </is>
      </c>
      <c r="H12" t="inlineStr">
        <is>
          <t>No</t>
        </is>
      </c>
      <c r="I12" t="inlineStr">
        <is>
          <t>Yes</t>
        </is>
      </c>
      <c r="J12" t="inlineStr">
        <is>
          <t>0</t>
        </is>
      </c>
      <c r="K12" t="inlineStr">
        <is>
          <t>Lamb, Pose.</t>
        </is>
      </c>
      <c r="L12" t="inlineStr">
        <is>
          <t>Columbus, Ohio : Merrill, c1977.</t>
        </is>
      </c>
      <c r="M12" t="inlineStr">
        <is>
          <t>1977</t>
        </is>
      </c>
      <c r="N12" t="inlineStr">
        <is>
          <t>2d ed.</t>
        </is>
      </c>
      <c r="O12" t="inlineStr">
        <is>
          <t>eng</t>
        </is>
      </c>
      <c r="P12" t="inlineStr">
        <is>
          <t>ohu</t>
        </is>
      </c>
      <c r="Q12" t="inlineStr">
        <is>
          <t>International series in education</t>
        </is>
      </c>
      <c r="R12" t="inlineStr">
        <is>
          <t xml:space="preserve">PE </t>
        </is>
      </c>
      <c r="S12" t="n">
        <v>2</v>
      </c>
      <c r="T12" t="n">
        <v>2</v>
      </c>
      <c r="U12" t="inlineStr">
        <is>
          <t>1997-11-14</t>
        </is>
      </c>
      <c r="V12" t="inlineStr">
        <is>
          <t>1997-11-14</t>
        </is>
      </c>
      <c r="W12" t="inlineStr">
        <is>
          <t>1997-09-16</t>
        </is>
      </c>
      <c r="X12" t="inlineStr">
        <is>
          <t>1997-09-16</t>
        </is>
      </c>
      <c r="Y12" t="n">
        <v>193</v>
      </c>
      <c r="Z12" t="n">
        <v>172</v>
      </c>
      <c r="AA12" t="n">
        <v>546</v>
      </c>
      <c r="AB12" t="n">
        <v>3</v>
      </c>
      <c r="AC12" t="n">
        <v>9</v>
      </c>
      <c r="AD12" t="n">
        <v>5</v>
      </c>
      <c r="AE12" t="n">
        <v>31</v>
      </c>
      <c r="AF12" t="n">
        <v>2</v>
      </c>
      <c r="AG12" t="n">
        <v>11</v>
      </c>
      <c r="AH12" t="n">
        <v>2</v>
      </c>
      <c r="AI12" t="n">
        <v>6</v>
      </c>
      <c r="AJ12" t="n">
        <v>1</v>
      </c>
      <c r="AK12" t="n">
        <v>15</v>
      </c>
      <c r="AL12" t="n">
        <v>2</v>
      </c>
      <c r="AM12" t="n">
        <v>8</v>
      </c>
      <c r="AN12" t="n">
        <v>0</v>
      </c>
      <c r="AO12" t="n">
        <v>0</v>
      </c>
      <c r="AP12" t="inlineStr">
        <is>
          <t>No</t>
        </is>
      </c>
      <c r="AQ12" t="inlineStr">
        <is>
          <t>Yes</t>
        </is>
      </c>
      <c r="AR12">
        <f>HYPERLINK("http://catalog.hathitrust.org/Record/009906203","HathiTrust Record")</f>
        <v/>
      </c>
      <c r="AS12">
        <f>HYPERLINK("https://creighton-primo.hosted.exlibrisgroup.com/primo-explore/search?tab=default_tab&amp;search_scope=EVERYTHING&amp;vid=01CRU&amp;lang=en_US&amp;offset=0&amp;query=any,contains,991004278909702656","Catalog Record")</f>
        <v/>
      </c>
      <c r="AT12">
        <f>HYPERLINK("http://www.worldcat.org/oclc/2901451","WorldCat Record")</f>
        <v/>
      </c>
      <c r="AU12" t="inlineStr">
        <is>
          <t>1560492:eng</t>
        </is>
      </c>
      <c r="AV12" t="inlineStr">
        <is>
          <t>2901451</t>
        </is>
      </c>
      <c r="AW12" t="inlineStr">
        <is>
          <t>991004278909702656</t>
        </is>
      </c>
      <c r="AX12" t="inlineStr">
        <is>
          <t>991004278909702656</t>
        </is>
      </c>
      <c r="AY12" t="inlineStr">
        <is>
          <t>2263041180002656</t>
        </is>
      </c>
      <c r="AZ12" t="inlineStr">
        <is>
          <t>BOOK</t>
        </is>
      </c>
      <c r="BB12" t="inlineStr">
        <is>
          <t>9780675085960</t>
        </is>
      </c>
      <c r="BC12" t="inlineStr">
        <is>
          <t>32285003228110</t>
        </is>
      </c>
      <c r="BD12" t="inlineStr">
        <is>
          <t>893500368</t>
        </is>
      </c>
    </row>
    <row r="13">
      <c r="A13" t="inlineStr">
        <is>
          <t>No</t>
        </is>
      </c>
      <c r="B13" t="inlineStr">
        <is>
          <t>PE1066 .M3</t>
        </is>
      </c>
      <c r="C13" t="inlineStr">
        <is>
          <t>0                      PE 1066000M  3</t>
        </is>
      </c>
      <c r="D13" t="inlineStr">
        <is>
          <t>Linguistics and the teaching of English [by] Albert H. Marckwardt.</t>
        </is>
      </c>
      <c r="F13" t="inlineStr">
        <is>
          <t>No</t>
        </is>
      </c>
      <c r="G13" t="inlineStr">
        <is>
          <t>1</t>
        </is>
      </c>
      <c r="H13" t="inlineStr">
        <is>
          <t>No</t>
        </is>
      </c>
      <c r="I13" t="inlineStr">
        <is>
          <t>No</t>
        </is>
      </c>
      <c r="J13" t="inlineStr">
        <is>
          <t>0</t>
        </is>
      </c>
      <c r="K13" t="inlineStr">
        <is>
          <t>Marckwardt, Albert H. (Albert Henry), 1903-1975.</t>
        </is>
      </c>
      <c r="L13" t="inlineStr">
        <is>
          <t>Bloomington, Indiana University Press [1966]</t>
        </is>
      </c>
      <c r="M13" t="inlineStr">
        <is>
          <t>1966</t>
        </is>
      </c>
      <c r="O13" t="inlineStr">
        <is>
          <t>eng</t>
        </is>
      </c>
      <c r="P13" t="inlineStr">
        <is>
          <t>inu</t>
        </is>
      </c>
      <c r="Q13" t="inlineStr">
        <is>
          <t>Indiana University studies in the history and theory of linguistics</t>
        </is>
      </c>
      <c r="R13" t="inlineStr">
        <is>
          <t xml:space="preserve">PE </t>
        </is>
      </c>
      <c r="S13" t="n">
        <v>3</v>
      </c>
      <c r="T13" t="n">
        <v>3</v>
      </c>
      <c r="U13" t="inlineStr">
        <is>
          <t>2006-08-03</t>
        </is>
      </c>
      <c r="V13" t="inlineStr">
        <is>
          <t>2006-08-03</t>
        </is>
      </c>
      <c r="W13" t="inlineStr">
        <is>
          <t>1997-09-16</t>
        </is>
      </c>
      <c r="X13" t="inlineStr">
        <is>
          <t>1997-09-16</t>
        </is>
      </c>
      <c r="Y13" t="n">
        <v>809</v>
      </c>
      <c r="Z13" t="n">
        <v>695</v>
      </c>
      <c r="AA13" t="n">
        <v>711</v>
      </c>
      <c r="AB13" t="n">
        <v>9</v>
      </c>
      <c r="AC13" t="n">
        <v>9</v>
      </c>
      <c r="AD13" t="n">
        <v>40</v>
      </c>
      <c r="AE13" t="n">
        <v>42</v>
      </c>
      <c r="AF13" t="n">
        <v>14</v>
      </c>
      <c r="AG13" t="n">
        <v>15</v>
      </c>
      <c r="AH13" t="n">
        <v>6</v>
      </c>
      <c r="AI13" t="n">
        <v>7</v>
      </c>
      <c r="AJ13" t="n">
        <v>20</v>
      </c>
      <c r="AK13" t="n">
        <v>20</v>
      </c>
      <c r="AL13" t="n">
        <v>8</v>
      </c>
      <c r="AM13" t="n">
        <v>8</v>
      </c>
      <c r="AN13" t="n">
        <v>0</v>
      </c>
      <c r="AO13" t="n">
        <v>0</v>
      </c>
      <c r="AP13" t="inlineStr">
        <is>
          <t>No</t>
        </is>
      </c>
      <c r="AQ13" t="inlineStr">
        <is>
          <t>Yes</t>
        </is>
      </c>
      <c r="AR13">
        <f>HYPERLINK("http://catalog.hathitrust.org/Record/001282097","HathiTrust Record")</f>
        <v/>
      </c>
      <c r="AS13">
        <f>HYPERLINK("https://creighton-primo.hosted.exlibrisgroup.com/primo-explore/search?tab=default_tab&amp;search_scope=EVERYTHING&amp;vid=01CRU&amp;lang=en_US&amp;offset=0&amp;query=any,contains,991001170479702656","Catalog Record")</f>
        <v/>
      </c>
      <c r="AT13">
        <f>HYPERLINK("http://www.worldcat.org/oclc/188217","WorldCat Record")</f>
        <v/>
      </c>
      <c r="AU13" t="inlineStr">
        <is>
          <t>1341710:eng</t>
        </is>
      </c>
      <c r="AV13" t="inlineStr">
        <is>
          <t>188217</t>
        </is>
      </c>
      <c r="AW13" t="inlineStr">
        <is>
          <t>991001170479702656</t>
        </is>
      </c>
      <c r="AX13" t="inlineStr">
        <is>
          <t>991001170479702656</t>
        </is>
      </c>
      <c r="AY13" t="inlineStr">
        <is>
          <t>2267700570002656</t>
        </is>
      </c>
      <c r="AZ13" t="inlineStr">
        <is>
          <t>BOOK</t>
        </is>
      </c>
      <c r="BC13" t="inlineStr">
        <is>
          <t>32285003228128</t>
        </is>
      </c>
      <c r="BD13" t="inlineStr">
        <is>
          <t>893496884</t>
        </is>
      </c>
    </row>
    <row r="14">
      <c r="A14" t="inlineStr">
        <is>
          <t>No</t>
        </is>
      </c>
      <c r="B14" t="inlineStr">
        <is>
          <t>PE1066 .M52</t>
        </is>
      </c>
      <c r="C14" t="inlineStr">
        <is>
          <t>0                      PE 1066000M  52</t>
        </is>
      </c>
      <c r="D14" t="inlineStr">
        <is>
          <t>Teaching the history of the English language in the secondary classroom [by] Joseph E. Milosh, Jr.</t>
        </is>
      </c>
      <c r="F14" t="inlineStr">
        <is>
          <t>No</t>
        </is>
      </c>
      <c r="G14" t="inlineStr">
        <is>
          <t>1</t>
        </is>
      </c>
      <c r="H14" t="inlineStr">
        <is>
          <t>No</t>
        </is>
      </c>
      <c r="I14" t="inlineStr">
        <is>
          <t>No</t>
        </is>
      </c>
      <c r="J14" t="inlineStr">
        <is>
          <t>0</t>
        </is>
      </c>
      <c r="K14" t="inlineStr">
        <is>
          <t>Milosh, Joseph E.</t>
        </is>
      </c>
      <c r="L14" t="inlineStr">
        <is>
          <t>Urbana, Ill., National Council of Teachers of English [1972]</t>
        </is>
      </c>
      <c r="M14" t="inlineStr">
        <is>
          <t>1972</t>
        </is>
      </c>
      <c r="O14" t="inlineStr">
        <is>
          <t>eng</t>
        </is>
      </c>
      <c r="P14" t="inlineStr">
        <is>
          <t>ilu</t>
        </is>
      </c>
      <c r="Q14" t="inlineStr">
        <is>
          <t>NCTE/ERIC studies in the teaching of English</t>
        </is>
      </c>
      <c r="R14" t="inlineStr">
        <is>
          <t xml:space="preserve">PE </t>
        </is>
      </c>
      <c r="S14" t="n">
        <v>2</v>
      </c>
      <c r="T14" t="n">
        <v>2</v>
      </c>
      <c r="U14" t="inlineStr">
        <is>
          <t>1997-11-14</t>
        </is>
      </c>
      <c r="V14" t="inlineStr">
        <is>
          <t>1997-11-14</t>
        </is>
      </c>
      <c r="W14" t="inlineStr">
        <is>
          <t>1997-09-16</t>
        </is>
      </c>
      <c r="X14" t="inlineStr">
        <is>
          <t>1997-09-16</t>
        </is>
      </c>
      <c r="Y14" t="n">
        <v>205</v>
      </c>
      <c r="Z14" t="n">
        <v>188</v>
      </c>
      <c r="AA14" t="n">
        <v>194</v>
      </c>
      <c r="AB14" t="n">
        <v>4</v>
      </c>
      <c r="AC14" t="n">
        <v>4</v>
      </c>
      <c r="AD14" t="n">
        <v>7</v>
      </c>
      <c r="AE14" t="n">
        <v>7</v>
      </c>
      <c r="AF14" t="n">
        <v>4</v>
      </c>
      <c r="AG14" t="n">
        <v>4</v>
      </c>
      <c r="AH14" t="n">
        <v>0</v>
      </c>
      <c r="AI14" t="n">
        <v>0</v>
      </c>
      <c r="AJ14" t="n">
        <v>2</v>
      </c>
      <c r="AK14" t="n">
        <v>2</v>
      </c>
      <c r="AL14" t="n">
        <v>3</v>
      </c>
      <c r="AM14" t="n">
        <v>3</v>
      </c>
      <c r="AN14" t="n">
        <v>0</v>
      </c>
      <c r="AO14" t="n">
        <v>0</v>
      </c>
      <c r="AP14" t="inlineStr">
        <is>
          <t>No</t>
        </is>
      </c>
      <c r="AQ14" t="inlineStr">
        <is>
          <t>Yes</t>
        </is>
      </c>
      <c r="AR14">
        <f>HYPERLINK("http://catalog.hathitrust.org/Record/001182902","HathiTrust Record")</f>
        <v/>
      </c>
      <c r="AS14">
        <f>HYPERLINK("https://creighton-primo.hosted.exlibrisgroup.com/primo-explore/search?tab=default_tab&amp;search_scope=EVERYTHING&amp;vid=01CRU&amp;lang=en_US&amp;offset=0&amp;query=any,contains,991002656249702656","Catalog Record")</f>
        <v/>
      </c>
      <c r="AT14">
        <f>HYPERLINK("http://www.worldcat.org/oclc/389185","WorldCat Record")</f>
        <v/>
      </c>
      <c r="AU14" t="inlineStr">
        <is>
          <t>334167021:eng</t>
        </is>
      </c>
      <c r="AV14" t="inlineStr">
        <is>
          <t>389185</t>
        </is>
      </c>
      <c r="AW14" t="inlineStr">
        <is>
          <t>991002656249702656</t>
        </is>
      </c>
      <c r="AX14" t="inlineStr">
        <is>
          <t>991002656249702656</t>
        </is>
      </c>
      <c r="AY14" t="inlineStr">
        <is>
          <t>2256637410002656</t>
        </is>
      </c>
      <c r="AZ14" t="inlineStr">
        <is>
          <t>BOOK</t>
        </is>
      </c>
      <c r="BB14" t="inlineStr">
        <is>
          <t>9780814127759</t>
        </is>
      </c>
      <c r="BC14" t="inlineStr">
        <is>
          <t>32285003228144</t>
        </is>
      </c>
      <c r="BD14" t="inlineStr">
        <is>
          <t>893716737</t>
        </is>
      </c>
    </row>
    <row r="15">
      <c r="A15" t="inlineStr">
        <is>
          <t>No</t>
        </is>
      </c>
      <c r="B15" t="inlineStr">
        <is>
          <t>PE1068.G5 M58 2001</t>
        </is>
      </c>
      <c r="C15" t="inlineStr">
        <is>
          <t>0                      PE 1068000G  5                  M  58          2001</t>
        </is>
      </c>
      <c r="D15" t="inlineStr">
        <is>
          <t>Grammar wars : language as cultural battlefield in 17th and 18th century England / Linda C. Mitchell.</t>
        </is>
      </c>
      <c r="F15" t="inlineStr">
        <is>
          <t>No</t>
        </is>
      </c>
      <c r="G15" t="inlineStr">
        <is>
          <t>1</t>
        </is>
      </c>
      <c r="H15" t="inlineStr">
        <is>
          <t>No</t>
        </is>
      </c>
      <c r="I15" t="inlineStr">
        <is>
          <t>No</t>
        </is>
      </c>
      <c r="J15" t="inlineStr">
        <is>
          <t>0</t>
        </is>
      </c>
      <c r="K15" t="inlineStr">
        <is>
          <t>Mitchell, Linda C.</t>
        </is>
      </c>
      <c r="L15" t="inlineStr">
        <is>
          <t>Aldershot, Hampshire ; Burlington, VT : Ashgate, c2001.</t>
        </is>
      </c>
      <c r="M15" t="inlineStr">
        <is>
          <t>2001</t>
        </is>
      </c>
      <c r="O15" t="inlineStr">
        <is>
          <t>eng</t>
        </is>
      </c>
      <c r="P15" t="inlineStr">
        <is>
          <t>enk</t>
        </is>
      </c>
      <c r="R15" t="inlineStr">
        <is>
          <t xml:space="preserve">PE </t>
        </is>
      </c>
      <c r="S15" t="n">
        <v>2</v>
      </c>
      <c r="T15" t="n">
        <v>2</v>
      </c>
      <c r="U15" t="inlineStr">
        <is>
          <t>2005-10-20</t>
        </is>
      </c>
      <c r="V15" t="inlineStr">
        <is>
          <t>2005-10-20</t>
        </is>
      </c>
      <c r="W15" t="inlineStr">
        <is>
          <t>2002-06-04</t>
        </is>
      </c>
      <c r="X15" t="inlineStr">
        <is>
          <t>2002-06-04</t>
        </is>
      </c>
      <c r="Y15" t="n">
        <v>240</v>
      </c>
      <c r="Z15" t="n">
        <v>169</v>
      </c>
      <c r="AA15" t="n">
        <v>207</v>
      </c>
      <c r="AB15" t="n">
        <v>2</v>
      </c>
      <c r="AC15" t="n">
        <v>2</v>
      </c>
      <c r="AD15" t="n">
        <v>10</v>
      </c>
      <c r="AE15" t="n">
        <v>11</v>
      </c>
      <c r="AF15" t="n">
        <v>3</v>
      </c>
      <c r="AG15" t="n">
        <v>3</v>
      </c>
      <c r="AH15" t="n">
        <v>4</v>
      </c>
      <c r="AI15" t="n">
        <v>4</v>
      </c>
      <c r="AJ15" t="n">
        <v>5</v>
      </c>
      <c r="AK15" t="n">
        <v>6</v>
      </c>
      <c r="AL15" t="n">
        <v>1</v>
      </c>
      <c r="AM15" t="n">
        <v>1</v>
      </c>
      <c r="AN15" t="n">
        <v>0</v>
      </c>
      <c r="AO15" t="n">
        <v>0</v>
      </c>
      <c r="AP15" t="inlineStr">
        <is>
          <t>No</t>
        </is>
      </c>
      <c r="AQ15" t="inlineStr">
        <is>
          <t>Yes</t>
        </is>
      </c>
      <c r="AR15">
        <f>HYPERLINK("http://catalog.hathitrust.org/Record/004219978","HathiTrust Record")</f>
        <v/>
      </c>
      <c r="AS15">
        <f>HYPERLINK("https://creighton-primo.hosted.exlibrisgroup.com/primo-explore/search?tab=default_tab&amp;search_scope=EVERYTHING&amp;vid=01CRU&amp;lang=en_US&amp;offset=0&amp;query=any,contains,991003791289702656","Catalog Record")</f>
        <v/>
      </c>
      <c r="AT15">
        <f>HYPERLINK("http://www.worldcat.org/oclc/47756187","WorldCat Record")</f>
        <v/>
      </c>
      <c r="AU15" t="inlineStr">
        <is>
          <t>36460729:eng</t>
        </is>
      </c>
      <c r="AV15" t="inlineStr">
        <is>
          <t>47756187</t>
        </is>
      </c>
      <c r="AW15" t="inlineStr">
        <is>
          <t>991003791289702656</t>
        </is>
      </c>
      <c r="AX15" t="inlineStr">
        <is>
          <t>991003791289702656</t>
        </is>
      </c>
      <c r="AY15" t="inlineStr">
        <is>
          <t>2258194590002656</t>
        </is>
      </c>
      <c r="AZ15" t="inlineStr">
        <is>
          <t>BOOK</t>
        </is>
      </c>
      <c r="BB15" t="inlineStr">
        <is>
          <t>9780754602729</t>
        </is>
      </c>
      <c r="BC15" t="inlineStr">
        <is>
          <t>32285004490560</t>
        </is>
      </c>
      <c r="BD15" t="inlineStr">
        <is>
          <t>893535626</t>
        </is>
      </c>
    </row>
    <row r="16">
      <c r="A16" t="inlineStr">
        <is>
          <t>No</t>
        </is>
      </c>
      <c r="B16" t="inlineStr">
        <is>
          <t>PE1068.U5 P6</t>
        </is>
      </c>
      <c r="C16" t="inlineStr">
        <is>
          <t>0                      PE 1068000U  5                  P  6</t>
        </is>
      </c>
      <c r="D16" t="inlineStr">
        <is>
          <t>Teaching English grammar.</t>
        </is>
      </c>
      <c r="F16" t="inlineStr">
        <is>
          <t>No</t>
        </is>
      </c>
      <c r="G16" t="inlineStr">
        <is>
          <t>1</t>
        </is>
      </c>
      <c r="H16" t="inlineStr">
        <is>
          <t>No</t>
        </is>
      </c>
      <c r="I16" t="inlineStr">
        <is>
          <t>No</t>
        </is>
      </c>
      <c r="J16" t="inlineStr">
        <is>
          <t>0</t>
        </is>
      </c>
      <c r="K16" t="inlineStr">
        <is>
          <t>Pooley, Robert C. (Robert Cecil), 1898-1978.</t>
        </is>
      </c>
      <c r="L16" t="inlineStr">
        <is>
          <t>New York, Appleton-Century-Crofts [1957]</t>
        </is>
      </c>
      <c r="M16" t="inlineStr">
        <is>
          <t>1957</t>
        </is>
      </c>
      <c r="O16" t="inlineStr">
        <is>
          <t>eng</t>
        </is>
      </c>
      <c r="P16" t="inlineStr">
        <is>
          <t>nyu</t>
        </is>
      </c>
      <c r="R16" t="inlineStr">
        <is>
          <t xml:space="preserve">PE </t>
        </is>
      </c>
      <c r="S16" t="n">
        <v>5</v>
      </c>
      <c r="T16" t="n">
        <v>5</v>
      </c>
      <c r="U16" t="inlineStr">
        <is>
          <t>2000-11-09</t>
        </is>
      </c>
      <c r="V16" t="inlineStr">
        <is>
          <t>2000-11-09</t>
        </is>
      </c>
      <c r="W16" t="inlineStr">
        <is>
          <t>1997-09-18</t>
        </is>
      </c>
      <c r="X16" t="inlineStr">
        <is>
          <t>1997-09-18</t>
        </is>
      </c>
      <c r="Y16" t="n">
        <v>596</v>
      </c>
      <c r="Z16" t="n">
        <v>540</v>
      </c>
      <c r="AA16" t="n">
        <v>550</v>
      </c>
      <c r="AB16" t="n">
        <v>7</v>
      </c>
      <c r="AC16" t="n">
        <v>7</v>
      </c>
      <c r="AD16" t="n">
        <v>28</v>
      </c>
      <c r="AE16" t="n">
        <v>28</v>
      </c>
      <c r="AF16" t="n">
        <v>10</v>
      </c>
      <c r="AG16" t="n">
        <v>10</v>
      </c>
      <c r="AH16" t="n">
        <v>3</v>
      </c>
      <c r="AI16" t="n">
        <v>3</v>
      </c>
      <c r="AJ16" t="n">
        <v>15</v>
      </c>
      <c r="AK16" t="n">
        <v>15</v>
      </c>
      <c r="AL16" t="n">
        <v>6</v>
      </c>
      <c r="AM16" t="n">
        <v>6</v>
      </c>
      <c r="AN16" t="n">
        <v>0</v>
      </c>
      <c r="AO16" t="n">
        <v>0</v>
      </c>
      <c r="AP16" t="inlineStr">
        <is>
          <t>Yes</t>
        </is>
      </c>
      <c r="AQ16" t="inlineStr">
        <is>
          <t>No</t>
        </is>
      </c>
      <c r="AR16">
        <f>HYPERLINK("http://catalog.hathitrust.org/Record/001182911","HathiTrust Record")</f>
        <v/>
      </c>
      <c r="AS16">
        <f>HYPERLINK("https://creighton-primo.hosted.exlibrisgroup.com/primo-explore/search?tab=default_tab&amp;search_scope=EVERYTHING&amp;vid=01CRU&amp;lang=en_US&amp;offset=0&amp;query=any,contains,991002271369702656","Catalog Record")</f>
        <v/>
      </c>
      <c r="AT16">
        <f>HYPERLINK("http://www.worldcat.org/oclc/308347","WorldCat Record")</f>
        <v/>
      </c>
      <c r="AU16" t="inlineStr">
        <is>
          <t>584018:eng</t>
        </is>
      </c>
      <c r="AV16" t="inlineStr">
        <is>
          <t>308347</t>
        </is>
      </c>
      <c r="AW16" t="inlineStr">
        <is>
          <t>991002271369702656</t>
        </is>
      </c>
      <c r="AX16" t="inlineStr">
        <is>
          <t>991002271369702656</t>
        </is>
      </c>
      <c r="AY16" t="inlineStr">
        <is>
          <t>2266265810002656</t>
        </is>
      </c>
      <c r="AZ16" t="inlineStr">
        <is>
          <t>BOOK</t>
        </is>
      </c>
      <c r="BC16" t="inlineStr">
        <is>
          <t>32285003228334</t>
        </is>
      </c>
      <c r="BD16" t="inlineStr">
        <is>
          <t>893597227</t>
        </is>
      </c>
    </row>
    <row r="17">
      <c r="A17" t="inlineStr">
        <is>
          <t>No</t>
        </is>
      </c>
      <c r="B17" t="inlineStr">
        <is>
          <t>PE1068.U5 W37 1989</t>
        </is>
      </c>
      <c r="C17" t="inlineStr">
        <is>
          <t>0                      PE 1068000U  5                  W  37          1989</t>
        </is>
      </c>
      <c r="D17" t="inlineStr">
        <is>
          <t>Work time : English departments and the circulation of cultural value / Evan Watkins.</t>
        </is>
      </c>
      <c r="F17" t="inlineStr">
        <is>
          <t>No</t>
        </is>
      </c>
      <c r="G17" t="inlineStr">
        <is>
          <t>1</t>
        </is>
      </c>
      <c r="H17" t="inlineStr">
        <is>
          <t>No</t>
        </is>
      </c>
      <c r="I17" t="inlineStr">
        <is>
          <t>No</t>
        </is>
      </c>
      <c r="J17" t="inlineStr">
        <is>
          <t>0</t>
        </is>
      </c>
      <c r="K17" t="inlineStr">
        <is>
          <t>Watkins, Evan, 1946-</t>
        </is>
      </c>
      <c r="L17" t="inlineStr">
        <is>
          <t>Stanford, Calif. : Stanford University Press, c1989.</t>
        </is>
      </c>
      <c r="M17" t="inlineStr">
        <is>
          <t>1989</t>
        </is>
      </c>
      <c r="O17" t="inlineStr">
        <is>
          <t>eng</t>
        </is>
      </c>
      <c r="P17" t="inlineStr">
        <is>
          <t>cau</t>
        </is>
      </c>
      <c r="R17" t="inlineStr">
        <is>
          <t xml:space="preserve">PE </t>
        </is>
      </c>
      <c r="S17" t="n">
        <v>6</v>
      </c>
      <c r="T17" t="n">
        <v>6</v>
      </c>
      <c r="U17" t="inlineStr">
        <is>
          <t>2004-09-07</t>
        </is>
      </c>
      <c r="V17" t="inlineStr">
        <is>
          <t>2004-09-07</t>
        </is>
      </c>
      <c r="W17" t="inlineStr">
        <is>
          <t>1990-03-15</t>
        </is>
      </c>
      <c r="X17" t="inlineStr">
        <is>
          <t>1990-03-15</t>
        </is>
      </c>
      <c r="Y17" t="n">
        <v>326</v>
      </c>
      <c r="Z17" t="n">
        <v>269</v>
      </c>
      <c r="AA17" t="n">
        <v>269</v>
      </c>
      <c r="AB17" t="n">
        <v>2</v>
      </c>
      <c r="AC17" t="n">
        <v>2</v>
      </c>
      <c r="AD17" t="n">
        <v>13</v>
      </c>
      <c r="AE17" t="n">
        <v>13</v>
      </c>
      <c r="AF17" t="n">
        <v>5</v>
      </c>
      <c r="AG17" t="n">
        <v>5</v>
      </c>
      <c r="AH17" t="n">
        <v>3</v>
      </c>
      <c r="AI17" t="n">
        <v>3</v>
      </c>
      <c r="AJ17" t="n">
        <v>8</v>
      </c>
      <c r="AK17" t="n">
        <v>8</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HYPERLINK("https://creighton-primo.hosted.exlibrisgroup.com/primo-explore/search?tab=default_tab&amp;search_scope=EVERYTHING&amp;vid=01CRU&amp;lang=en_US&amp;offset=0&amp;query=any,contains,991001455679702656","Catalog Record")</f>
        <v/>
      </c>
      <c r="AT17">
        <f>HYPERLINK("http://www.worldcat.org/oclc/19355120","WorldCat Record")</f>
        <v/>
      </c>
      <c r="AU17" t="inlineStr">
        <is>
          <t>1147517:eng</t>
        </is>
      </c>
      <c r="AV17" t="inlineStr">
        <is>
          <t>19355120</t>
        </is>
      </c>
      <c r="AW17" t="inlineStr">
        <is>
          <t>991001455679702656</t>
        </is>
      </c>
      <c r="AX17" t="inlineStr">
        <is>
          <t>991001455679702656</t>
        </is>
      </c>
      <c r="AY17" t="inlineStr">
        <is>
          <t>2267330520002656</t>
        </is>
      </c>
      <c r="AZ17" t="inlineStr">
        <is>
          <t>BOOK</t>
        </is>
      </c>
      <c r="BB17" t="inlineStr">
        <is>
          <t>9780804716918</t>
        </is>
      </c>
      <c r="BC17" t="inlineStr">
        <is>
          <t>32285000044940</t>
        </is>
      </c>
      <c r="BD17" t="inlineStr">
        <is>
          <t>893590376</t>
        </is>
      </c>
    </row>
    <row r="18">
      <c r="A18" t="inlineStr">
        <is>
          <t>No</t>
        </is>
      </c>
      <c r="B18" t="inlineStr">
        <is>
          <t>PE1069.G4 G6</t>
        </is>
      </c>
      <c r="C18" t="inlineStr">
        <is>
          <t>0                      PE 1069000G  4                  G  6</t>
        </is>
      </c>
      <c r="D18" t="inlineStr">
        <is>
          <t>English at Georgetown / edited by Richard Alan Gordon, William Blatty, and Alan Jarvis.</t>
        </is>
      </c>
      <c r="F18" t="inlineStr">
        <is>
          <t>No</t>
        </is>
      </c>
      <c r="G18" t="inlineStr">
        <is>
          <t>1</t>
        </is>
      </c>
      <c r="H18" t="inlineStr">
        <is>
          <t>No</t>
        </is>
      </c>
      <c r="I18" t="inlineStr">
        <is>
          <t>No</t>
        </is>
      </c>
      <c r="J18" t="inlineStr">
        <is>
          <t>0</t>
        </is>
      </c>
      <c r="L18" t="inlineStr">
        <is>
          <t>Washington, D.C., Georgetown University, 1951.</t>
        </is>
      </c>
      <c r="M18" t="inlineStr">
        <is>
          <t>1951</t>
        </is>
      </c>
      <c r="N18" t="inlineStr">
        <is>
          <t>1st ed.</t>
        </is>
      </c>
      <c r="O18" t="inlineStr">
        <is>
          <t>eng</t>
        </is>
      </c>
      <c r="P18" t="inlineStr">
        <is>
          <t>dcu</t>
        </is>
      </c>
      <c r="R18" t="inlineStr">
        <is>
          <t xml:space="preserve">PE </t>
        </is>
      </c>
      <c r="S18" t="n">
        <v>1</v>
      </c>
      <c r="T18" t="n">
        <v>1</v>
      </c>
      <c r="U18" t="inlineStr">
        <is>
          <t>2007-05-30</t>
        </is>
      </c>
      <c r="V18" t="inlineStr">
        <is>
          <t>2007-05-30</t>
        </is>
      </c>
      <c r="W18" t="inlineStr">
        <is>
          <t>1997-09-18</t>
        </is>
      </c>
      <c r="X18" t="inlineStr">
        <is>
          <t>1997-09-18</t>
        </is>
      </c>
      <c r="Y18" t="n">
        <v>14</v>
      </c>
      <c r="Z18" t="n">
        <v>13</v>
      </c>
      <c r="AA18" t="n">
        <v>15</v>
      </c>
      <c r="AB18" t="n">
        <v>1</v>
      </c>
      <c r="AC18" t="n">
        <v>1</v>
      </c>
      <c r="AD18" t="n">
        <v>5</v>
      </c>
      <c r="AE18" t="n">
        <v>5</v>
      </c>
      <c r="AF18" t="n">
        <v>3</v>
      </c>
      <c r="AG18" t="n">
        <v>3</v>
      </c>
      <c r="AH18" t="n">
        <v>1</v>
      </c>
      <c r="AI18" t="n">
        <v>1</v>
      </c>
      <c r="AJ18" t="n">
        <v>4</v>
      </c>
      <c r="AK18" t="n">
        <v>4</v>
      </c>
      <c r="AL18" t="n">
        <v>0</v>
      </c>
      <c r="AM18" t="n">
        <v>0</v>
      </c>
      <c r="AN18" t="n">
        <v>0</v>
      </c>
      <c r="AO18" t="n">
        <v>0</v>
      </c>
      <c r="AP18" t="inlineStr">
        <is>
          <t>No</t>
        </is>
      </c>
      <c r="AQ18" t="inlineStr">
        <is>
          <t>No</t>
        </is>
      </c>
      <c r="AR18">
        <f>HYPERLINK("http://catalog.hathitrust.org/Record/006534329","HathiTrust Record")</f>
        <v/>
      </c>
      <c r="AS18">
        <f>HYPERLINK("https://creighton-primo.hosted.exlibrisgroup.com/primo-explore/search?tab=default_tab&amp;search_scope=EVERYTHING&amp;vid=01CRU&amp;lang=en_US&amp;offset=0&amp;query=any,contains,991000895439702656","Catalog Record")</f>
        <v/>
      </c>
      <c r="AT18">
        <f>HYPERLINK("http://www.worldcat.org/oclc/13976405","WorldCat Record")</f>
        <v/>
      </c>
      <c r="AU18" t="inlineStr">
        <is>
          <t>7349878:eng</t>
        </is>
      </c>
      <c r="AV18" t="inlineStr">
        <is>
          <t>13976405</t>
        </is>
      </c>
      <c r="AW18" t="inlineStr">
        <is>
          <t>991000895439702656</t>
        </is>
      </c>
      <c r="AX18" t="inlineStr">
        <is>
          <t>991000895439702656</t>
        </is>
      </c>
      <c r="AY18" t="inlineStr">
        <is>
          <t>2270561250002656</t>
        </is>
      </c>
      <c r="AZ18" t="inlineStr">
        <is>
          <t>BOOK</t>
        </is>
      </c>
      <c r="BC18" t="inlineStr">
        <is>
          <t>32285003228383</t>
        </is>
      </c>
      <c r="BD18" t="inlineStr">
        <is>
          <t>893714993</t>
        </is>
      </c>
    </row>
    <row r="19">
      <c r="A19" t="inlineStr">
        <is>
          <t>No</t>
        </is>
      </c>
      <c r="B19" t="inlineStr">
        <is>
          <t>PE1072 .B73 1973</t>
        </is>
      </c>
      <c r="C19" t="inlineStr">
        <is>
          <t>0                      PE 1072000B  73          1973</t>
        </is>
      </c>
      <c r="D19" t="inlineStr">
        <is>
          <t>Varieties of English, [by] G. L. Brook.</t>
        </is>
      </c>
      <c r="F19" t="inlineStr">
        <is>
          <t>No</t>
        </is>
      </c>
      <c r="G19" t="inlineStr">
        <is>
          <t>1</t>
        </is>
      </c>
      <c r="H19" t="inlineStr">
        <is>
          <t>No</t>
        </is>
      </c>
      <c r="I19" t="inlineStr">
        <is>
          <t>No</t>
        </is>
      </c>
      <c r="J19" t="inlineStr">
        <is>
          <t>0</t>
        </is>
      </c>
      <c r="K19" t="inlineStr">
        <is>
          <t>Brook, G. L. (George Leslie), 1910-1987.</t>
        </is>
      </c>
      <c r="L19" t="inlineStr">
        <is>
          <t>London, Macmillan; New York, St. Martin's P., 1973.</t>
        </is>
      </c>
      <c r="M19" t="inlineStr">
        <is>
          <t>1973</t>
        </is>
      </c>
      <c r="O19" t="inlineStr">
        <is>
          <t>eng</t>
        </is>
      </c>
      <c r="P19" t="inlineStr">
        <is>
          <t>enk</t>
        </is>
      </c>
      <c r="R19" t="inlineStr">
        <is>
          <t xml:space="preserve">PE </t>
        </is>
      </c>
      <c r="S19" t="n">
        <v>1</v>
      </c>
      <c r="T19" t="n">
        <v>1</v>
      </c>
      <c r="U19" t="inlineStr">
        <is>
          <t>1997-12-01</t>
        </is>
      </c>
      <c r="V19" t="inlineStr">
        <is>
          <t>1997-12-01</t>
        </is>
      </c>
      <c r="W19" t="inlineStr">
        <is>
          <t>1997-09-18</t>
        </is>
      </c>
      <c r="X19" t="inlineStr">
        <is>
          <t>1997-09-18</t>
        </is>
      </c>
      <c r="Y19" t="n">
        <v>482</v>
      </c>
      <c r="Z19" t="n">
        <v>309</v>
      </c>
      <c r="AA19" t="n">
        <v>325</v>
      </c>
      <c r="AB19" t="n">
        <v>3</v>
      </c>
      <c r="AC19" t="n">
        <v>4</v>
      </c>
      <c r="AD19" t="n">
        <v>9</v>
      </c>
      <c r="AE19" t="n">
        <v>12</v>
      </c>
      <c r="AF19" t="n">
        <v>0</v>
      </c>
      <c r="AG19" t="n">
        <v>1</v>
      </c>
      <c r="AH19" t="n">
        <v>3</v>
      </c>
      <c r="AI19" t="n">
        <v>3</v>
      </c>
      <c r="AJ19" t="n">
        <v>6</v>
      </c>
      <c r="AK19" t="n">
        <v>8</v>
      </c>
      <c r="AL19" t="n">
        <v>2</v>
      </c>
      <c r="AM19" t="n">
        <v>3</v>
      </c>
      <c r="AN19" t="n">
        <v>0</v>
      </c>
      <c r="AO19" t="n">
        <v>0</v>
      </c>
      <c r="AP19" t="inlineStr">
        <is>
          <t>No</t>
        </is>
      </c>
      <c r="AQ19" t="inlineStr">
        <is>
          <t>Yes</t>
        </is>
      </c>
      <c r="AR19">
        <f>HYPERLINK("http://catalog.hathitrust.org/Record/001440894","HathiTrust Record")</f>
        <v/>
      </c>
      <c r="AS19">
        <f>HYPERLINK("https://creighton-primo.hosted.exlibrisgroup.com/primo-explore/search?tab=default_tab&amp;search_scope=EVERYTHING&amp;vid=01CRU&amp;lang=en_US&amp;offset=0&amp;query=any,contains,991003049469702656","Catalog Record")</f>
        <v/>
      </c>
      <c r="AT19">
        <f>HYPERLINK("http://www.worldcat.org/oclc/609377","WorldCat Record")</f>
        <v/>
      </c>
      <c r="AU19" t="inlineStr">
        <is>
          <t>1636402:eng</t>
        </is>
      </c>
      <c r="AV19" t="inlineStr">
        <is>
          <t>609377</t>
        </is>
      </c>
      <c r="AW19" t="inlineStr">
        <is>
          <t>991003049469702656</t>
        </is>
      </c>
      <c r="AX19" t="inlineStr">
        <is>
          <t>991003049469702656</t>
        </is>
      </c>
      <c r="AY19" t="inlineStr">
        <is>
          <t>2254974300002656</t>
        </is>
      </c>
      <c r="AZ19" t="inlineStr">
        <is>
          <t>BOOK</t>
        </is>
      </c>
      <c r="BB19" t="inlineStr">
        <is>
          <t>9780333142844</t>
        </is>
      </c>
      <c r="BC19" t="inlineStr">
        <is>
          <t>32285003228409</t>
        </is>
      </c>
      <c r="BD19" t="inlineStr">
        <is>
          <t>893415988</t>
        </is>
      </c>
    </row>
    <row r="20">
      <c r="A20" t="inlineStr">
        <is>
          <t>No</t>
        </is>
      </c>
      <c r="B20" t="inlineStr">
        <is>
          <t>PE1072 .B796 1992</t>
        </is>
      </c>
      <c r="C20" t="inlineStr">
        <is>
          <t>0                      PE 1072000B  796         1992</t>
        </is>
      </c>
      <c r="D20" t="inlineStr">
        <is>
          <t>A mouthful of air : language, languages-- especially English / Anthony Burgess.</t>
        </is>
      </c>
      <c r="F20" t="inlineStr">
        <is>
          <t>No</t>
        </is>
      </c>
      <c r="G20" t="inlineStr">
        <is>
          <t>1</t>
        </is>
      </c>
      <c r="H20" t="inlineStr">
        <is>
          <t>No</t>
        </is>
      </c>
      <c r="I20" t="inlineStr">
        <is>
          <t>No</t>
        </is>
      </c>
      <c r="J20" t="inlineStr">
        <is>
          <t>0</t>
        </is>
      </c>
      <c r="K20" t="inlineStr">
        <is>
          <t>Burgess, Anthony, 1917-1993.</t>
        </is>
      </c>
      <c r="L20" t="inlineStr">
        <is>
          <t>New York : W. Morrow, c1992.</t>
        </is>
      </c>
      <c r="M20" t="inlineStr">
        <is>
          <t>1992</t>
        </is>
      </c>
      <c r="N20" t="inlineStr">
        <is>
          <t>1st ed.</t>
        </is>
      </c>
      <c r="O20" t="inlineStr">
        <is>
          <t>eng</t>
        </is>
      </c>
      <c r="P20" t="inlineStr">
        <is>
          <t>nyu</t>
        </is>
      </c>
      <c r="R20" t="inlineStr">
        <is>
          <t xml:space="preserve">PE </t>
        </is>
      </c>
      <c r="S20" t="n">
        <v>1</v>
      </c>
      <c r="T20" t="n">
        <v>1</v>
      </c>
      <c r="U20" t="inlineStr">
        <is>
          <t>1993-11-30</t>
        </is>
      </c>
      <c r="V20" t="inlineStr">
        <is>
          <t>1993-11-30</t>
        </is>
      </c>
      <c r="W20" t="inlineStr">
        <is>
          <t>1993-09-28</t>
        </is>
      </c>
      <c r="X20" t="inlineStr">
        <is>
          <t>1993-09-28</t>
        </is>
      </c>
      <c r="Y20" t="n">
        <v>853</v>
      </c>
      <c r="Z20" t="n">
        <v>814</v>
      </c>
      <c r="AA20" t="n">
        <v>925</v>
      </c>
      <c r="AB20" t="n">
        <v>6</v>
      </c>
      <c r="AC20" t="n">
        <v>8</v>
      </c>
      <c r="AD20" t="n">
        <v>22</v>
      </c>
      <c r="AE20" t="n">
        <v>29</v>
      </c>
      <c r="AF20" t="n">
        <v>8</v>
      </c>
      <c r="AG20" t="n">
        <v>10</v>
      </c>
      <c r="AH20" t="n">
        <v>5</v>
      </c>
      <c r="AI20" t="n">
        <v>6</v>
      </c>
      <c r="AJ20" t="n">
        <v>10</v>
      </c>
      <c r="AK20" t="n">
        <v>14</v>
      </c>
      <c r="AL20" t="n">
        <v>4</v>
      </c>
      <c r="AM20" t="n">
        <v>6</v>
      </c>
      <c r="AN20" t="n">
        <v>0</v>
      </c>
      <c r="AO20" t="n">
        <v>0</v>
      </c>
      <c r="AP20" t="inlineStr">
        <is>
          <t>No</t>
        </is>
      </c>
      <c r="AQ20" t="inlineStr">
        <is>
          <t>Yes</t>
        </is>
      </c>
      <c r="AR20">
        <f>HYPERLINK("http://catalog.hathitrust.org/Record/002704798","HathiTrust Record")</f>
        <v/>
      </c>
      <c r="AS20">
        <f>HYPERLINK("https://creighton-primo.hosted.exlibrisgroup.com/primo-explore/search?tab=default_tab&amp;search_scope=EVERYTHING&amp;vid=01CRU&amp;lang=en_US&amp;offset=0&amp;query=any,contains,991002125219702656","Catalog Record")</f>
        <v/>
      </c>
      <c r="AT20">
        <f>HYPERLINK("http://www.worldcat.org/oclc/27224188","WorldCat Record")</f>
        <v/>
      </c>
      <c r="AU20" t="inlineStr">
        <is>
          <t>353939315:eng</t>
        </is>
      </c>
      <c r="AV20" t="inlineStr">
        <is>
          <t>27224188</t>
        </is>
      </c>
      <c r="AW20" t="inlineStr">
        <is>
          <t>991002125219702656</t>
        </is>
      </c>
      <c r="AX20" t="inlineStr">
        <is>
          <t>991002125219702656</t>
        </is>
      </c>
      <c r="AY20" t="inlineStr">
        <is>
          <t>2265380610002656</t>
        </is>
      </c>
      <c r="AZ20" t="inlineStr">
        <is>
          <t>BOOK</t>
        </is>
      </c>
      <c r="BB20" t="inlineStr">
        <is>
          <t>9780688119355</t>
        </is>
      </c>
      <c r="BC20" t="inlineStr">
        <is>
          <t>32285001768919</t>
        </is>
      </c>
      <c r="BD20" t="inlineStr">
        <is>
          <t>893792058</t>
        </is>
      </c>
    </row>
    <row r="21">
      <c r="A21" t="inlineStr">
        <is>
          <t>No</t>
        </is>
      </c>
      <c r="B21" t="inlineStr">
        <is>
          <t>PE1072 .B87 1989</t>
        </is>
      </c>
      <c r="C21" t="inlineStr">
        <is>
          <t>0                      PE 1072000B  87          1989</t>
        </is>
      </c>
      <c r="D21" t="inlineStr">
        <is>
          <t>Unlocking the English language / Robert Burchfield.</t>
        </is>
      </c>
      <c r="F21" t="inlineStr">
        <is>
          <t>No</t>
        </is>
      </c>
      <c r="G21" t="inlineStr">
        <is>
          <t>1</t>
        </is>
      </c>
      <c r="H21" t="inlineStr">
        <is>
          <t>No</t>
        </is>
      </c>
      <c r="I21" t="inlineStr">
        <is>
          <t>No</t>
        </is>
      </c>
      <c r="J21" t="inlineStr">
        <is>
          <t>0</t>
        </is>
      </c>
      <c r="K21" t="inlineStr">
        <is>
          <t>Burchfield, R. W.</t>
        </is>
      </c>
      <c r="L21" t="inlineStr">
        <is>
          <t>London : Faber, 1989.</t>
        </is>
      </c>
      <c r="M21" t="inlineStr">
        <is>
          <t>1989</t>
        </is>
      </c>
      <c r="O21" t="inlineStr">
        <is>
          <t>eng</t>
        </is>
      </c>
      <c r="P21" t="inlineStr">
        <is>
          <t>enk</t>
        </is>
      </c>
      <c r="Q21" t="inlineStr">
        <is>
          <t>T.S. Eliot memorial lectures (London, England) ; 1988</t>
        </is>
      </c>
      <c r="R21" t="inlineStr">
        <is>
          <t xml:space="preserve">PE </t>
        </is>
      </c>
      <c r="S21" t="n">
        <v>3</v>
      </c>
      <c r="T21" t="n">
        <v>3</v>
      </c>
      <c r="U21" t="inlineStr">
        <is>
          <t>2008-02-26</t>
        </is>
      </c>
      <c r="V21" t="inlineStr">
        <is>
          <t>2008-02-26</t>
        </is>
      </c>
      <c r="W21" t="inlineStr">
        <is>
          <t>1990-04-11</t>
        </is>
      </c>
      <c r="X21" t="inlineStr">
        <is>
          <t>1990-04-11</t>
        </is>
      </c>
      <c r="Y21" t="n">
        <v>188</v>
      </c>
      <c r="Z21" t="n">
        <v>71</v>
      </c>
      <c r="AA21" t="n">
        <v>466</v>
      </c>
      <c r="AB21" t="n">
        <v>1</v>
      </c>
      <c r="AC21" t="n">
        <v>4</v>
      </c>
      <c r="AD21" t="n">
        <v>4</v>
      </c>
      <c r="AE21" t="n">
        <v>22</v>
      </c>
      <c r="AF21" t="n">
        <v>0</v>
      </c>
      <c r="AG21" t="n">
        <v>7</v>
      </c>
      <c r="AH21" t="n">
        <v>2</v>
      </c>
      <c r="AI21" t="n">
        <v>5</v>
      </c>
      <c r="AJ21" t="n">
        <v>4</v>
      </c>
      <c r="AK21" t="n">
        <v>14</v>
      </c>
      <c r="AL21" t="n">
        <v>0</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HYPERLINK("https://creighton-primo.hosted.exlibrisgroup.com/primo-explore/search?tab=default_tab&amp;search_scope=EVERYTHING&amp;vid=01CRU&amp;lang=en_US&amp;offset=0&amp;query=any,contains,991001572889702656","Catalog Record")</f>
        <v/>
      </c>
      <c r="AT21">
        <f>HYPERLINK("http://www.worldcat.org/oclc/20416391","WorldCat Record")</f>
        <v/>
      </c>
      <c r="AU21" t="inlineStr">
        <is>
          <t>14885413:eng</t>
        </is>
      </c>
      <c r="AV21" t="inlineStr">
        <is>
          <t>20416391</t>
        </is>
      </c>
      <c r="AW21" t="inlineStr">
        <is>
          <t>991001572889702656</t>
        </is>
      </c>
      <c r="AX21" t="inlineStr">
        <is>
          <t>991001572889702656</t>
        </is>
      </c>
      <c r="AY21" t="inlineStr">
        <is>
          <t>2260243180002656</t>
        </is>
      </c>
      <c r="AZ21" t="inlineStr">
        <is>
          <t>BOOK</t>
        </is>
      </c>
      <c r="BB21" t="inlineStr">
        <is>
          <t>9780571141234</t>
        </is>
      </c>
      <c r="BC21" t="inlineStr">
        <is>
          <t>32285000094853</t>
        </is>
      </c>
      <c r="BD21" t="inlineStr">
        <is>
          <t>893596554</t>
        </is>
      </c>
    </row>
    <row r="22">
      <c r="A22" t="inlineStr">
        <is>
          <t>No</t>
        </is>
      </c>
      <c r="B22" t="inlineStr">
        <is>
          <t>PE1072 .M3</t>
        </is>
      </c>
      <c r="C22" t="inlineStr">
        <is>
          <t>0                      PE 1072000M  3</t>
        </is>
      </c>
      <c r="D22" t="inlineStr">
        <is>
          <t>Essays on English, by Brander Matthews.</t>
        </is>
      </c>
      <c r="F22" t="inlineStr">
        <is>
          <t>No</t>
        </is>
      </c>
      <c r="G22" t="inlineStr">
        <is>
          <t>1</t>
        </is>
      </c>
      <c r="H22" t="inlineStr">
        <is>
          <t>No</t>
        </is>
      </c>
      <c r="I22" t="inlineStr">
        <is>
          <t>No</t>
        </is>
      </c>
      <c r="J22" t="inlineStr">
        <is>
          <t>0</t>
        </is>
      </c>
      <c r="K22" t="inlineStr">
        <is>
          <t>Matthews, Brander, 1852-1929.</t>
        </is>
      </c>
      <c r="L22" t="inlineStr">
        <is>
          <t>New York, C. Scribner's sons, [c1921.]</t>
        </is>
      </c>
      <c r="M22" t="inlineStr">
        <is>
          <t>1921</t>
        </is>
      </c>
      <c r="O22" t="inlineStr">
        <is>
          <t>eng</t>
        </is>
      </c>
      <c r="P22" t="inlineStr">
        <is>
          <t xml:space="preserve">xx </t>
        </is>
      </c>
      <c r="R22" t="inlineStr">
        <is>
          <t xml:space="preserve">PE </t>
        </is>
      </c>
      <c r="S22" t="n">
        <v>3</v>
      </c>
      <c r="T22" t="n">
        <v>3</v>
      </c>
      <c r="U22" t="inlineStr">
        <is>
          <t>2008-11-29</t>
        </is>
      </c>
      <c r="V22" t="inlineStr">
        <is>
          <t>2008-11-29</t>
        </is>
      </c>
      <c r="W22" t="inlineStr">
        <is>
          <t>1997-09-18</t>
        </is>
      </c>
      <c r="X22" t="inlineStr">
        <is>
          <t>1997-09-18</t>
        </is>
      </c>
      <c r="Y22" t="n">
        <v>246</v>
      </c>
      <c r="Z22" t="n">
        <v>217</v>
      </c>
      <c r="AA22" t="n">
        <v>337</v>
      </c>
      <c r="AB22" t="n">
        <v>2</v>
      </c>
      <c r="AC22" t="n">
        <v>2</v>
      </c>
      <c r="AD22" t="n">
        <v>13</v>
      </c>
      <c r="AE22" t="n">
        <v>14</v>
      </c>
      <c r="AF22" t="n">
        <v>3</v>
      </c>
      <c r="AG22" t="n">
        <v>4</v>
      </c>
      <c r="AH22" t="n">
        <v>4</v>
      </c>
      <c r="AI22" t="n">
        <v>4</v>
      </c>
      <c r="AJ22" t="n">
        <v>7</v>
      </c>
      <c r="AK22" t="n">
        <v>7</v>
      </c>
      <c r="AL22" t="n">
        <v>1</v>
      </c>
      <c r="AM22" t="n">
        <v>1</v>
      </c>
      <c r="AN22" t="n">
        <v>0</v>
      </c>
      <c r="AO22" t="n">
        <v>0</v>
      </c>
      <c r="AP22" t="inlineStr">
        <is>
          <t>Yes</t>
        </is>
      </c>
      <c r="AQ22" t="inlineStr">
        <is>
          <t>No</t>
        </is>
      </c>
      <c r="AR22">
        <f>HYPERLINK("http://catalog.hathitrust.org/Record/000156938","HathiTrust Record")</f>
        <v/>
      </c>
      <c r="AS22">
        <f>HYPERLINK("https://creighton-primo.hosted.exlibrisgroup.com/primo-explore/search?tab=default_tab&amp;search_scope=EVERYTHING&amp;vid=01CRU&amp;lang=en_US&amp;offset=0&amp;query=any,contains,991003728939702656","Catalog Record")</f>
        <v/>
      </c>
      <c r="AT22">
        <f>HYPERLINK("http://www.worldcat.org/oclc/1379122","WorldCat Record")</f>
        <v/>
      </c>
      <c r="AU22" t="inlineStr">
        <is>
          <t>1266566:eng</t>
        </is>
      </c>
      <c r="AV22" t="inlineStr">
        <is>
          <t>1379122</t>
        </is>
      </c>
      <c r="AW22" t="inlineStr">
        <is>
          <t>991003728939702656</t>
        </is>
      </c>
      <c r="AX22" t="inlineStr">
        <is>
          <t>991003728939702656</t>
        </is>
      </c>
      <c r="AY22" t="inlineStr">
        <is>
          <t>2255302550002656</t>
        </is>
      </c>
      <c r="AZ22" t="inlineStr">
        <is>
          <t>BOOK</t>
        </is>
      </c>
      <c r="BC22" t="inlineStr">
        <is>
          <t>32285003228458</t>
        </is>
      </c>
      <c r="BD22" t="inlineStr">
        <is>
          <t>893258776</t>
        </is>
      </c>
    </row>
    <row r="23">
      <c r="A23" t="inlineStr">
        <is>
          <t>No</t>
        </is>
      </c>
      <c r="B23" t="inlineStr">
        <is>
          <t>PE1072 .S57</t>
        </is>
      </c>
      <c r="C23" t="inlineStr">
        <is>
          <t>0                      PE 1072000S  57</t>
        </is>
      </c>
      <c r="D23" t="inlineStr">
        <is>
          <t>Paradigms lost, reflections on literacy and its decline / John Simon ; ill., Michelle Chessare.</t>
        </is>
      </c>
      <c r="F23" t="inlineStr">
        <is>
          <t>No</t>
        </is>
      </c>
      <c r="G23" t="inlineStr">
        <is>
          <t>1</t>
        </is>
      </c>
      <c r="H23" t="inlineStr">
        <is>
          <t>No</t>
        </is>
      </c>
      <c r="I23" t="inlineStr">
        <is>
          <t>No</t>
        </is>
      </c>
      <c r="J23" t="inlineStr">
        <is>
          <t>0</t>
        </is>
      </c>
      <c r="K23" t="inlineStr">
        <is>
          <t>Simon, John, 1925-2019.</t>
        </is>
      </c>
      <c r="L23" t="inlineStr">
        <is>
          <t>New York : C. N. Potter : distributed by Crown Publishers, c1980.</t>
        </is>
      </c>
      <c r="M23" t="inlineStr">
        <is>
          <t>1980</t>
        </is>
      </c>
      <c r="O23" t="inlineStr">
        <is>
          <t>eng</t>
        </is>
      </c>
      <c r="P23" t="inlineStr">
        <is>
          <t>nyu</t>
        </is>
      </c>
      <c r="R23" t="inlineStr">
        <is>
          <t xml:space="preserve">PE </t>
        </is>
      </c>
      <c r="S23" t="n">
        <v>1</v>
      </c>
      <c r="T23" t="n">
        <v>1</v>
      </c>
      <c r="U23" t="inlineStr">
        <is>
          <t>1993-05-01</t>
        </is>
      </c>
      <c r="V23" t="inlineStr">
        <is>
          <t>1993-05-01</t>
        </is>
      </c>
      <c r="W23" t="inlineStr">
        <is>
          <t>1993-04-23</t>
        </is>
      </c>
      <c r="X23" t="inlineStr">
        <is>
          <t>1993-04-23</t>
        </is>
      </c>
      <c r="Y23" t="n">
        <v>872</v>
      </c>
      <c r="Z23" t="n">
        <v>811</v>
      </c>
      <c r="AA23" t="n">
        <v>898</v>
      </c>
      <c r="AB23" t="n">
        <v>4</v>
      </c>
      <c r="AC23" t="n">
        <v>4</v>
      </c>
      <c r="AD23" t="n">
        <v>32</v>
      </c>
      <c r="AE23" t="n">
        <v>37</v>
      </c>
      <c r="AF23" t="n">
        <v>12</v>
      </c>
      <c r="AG23" t="n">
        <v>15</v>
      </c>
      <c r="AH23" t="n">
        <v>7</v>
      </c>
      <c r="AI23" t="n">
        <v>7</v>
      </c>
      <c r="AJ23" t="n">
        <v>20</v>
      </c>
      <c r="AK23" t="n">
        <v>22</v>
      </c>
      <c r="AL23" t="n">
        <v>3</v>
      </c>
      <c r="AM23" t="n">
        <v>3</v>
      </c>
      <c r="AN23" t="n">
        <v>0</v>
      </c>
      <c r="AO23" t="n">
        <v>0</v>
      </c>
      <c r="AP23" t="inlineStr">
        <is>
          <t>No</t>
        </is>
      </c>
      <c r="AQ23" t="inlineStr">
        <is>
          <t>Yes</t>
        </is>
      </c>
      <c r="AR23">
        <f>HYPERLINK("http://catalog.hathitrust.org/Record/000704542","HathiTrust Record")</f>
        <v/>
      </c>
      <c r="AS23">
        <f>HYPERLINK("https://creighton-primo.hosted.exlibrisgroup.com/primo-explore/search?tab=default_tab&amp;search_scope=EVERYTHING&amp;vid=01CRU&amp;lang=en_US&amp;offset=0&amp;query=any,contains,991004884779702656","Catalog Record")</f>
        <v/>
      </c>
      <c r="AT23">
        <f>HYPERLINK("http://www.worldcat.org/oclc/5831264","WorldCat Record")</f>
        <v/>
      </c>
      <c r="AU23" t="inlineStr">
        <is>
          <t>499873:eng</t>
        </is>
      </c>
      <c r="AV23" t="inlineStr">
        <is>
          <t>5831264</t>
        </is>
      </c>
      <c r="AW23" t="inlineStr">
        <is>
          <t>991004884779702656</t>
        </is>
      </c>
      <c r="AX23" t="inlineStr">
        <is>
          <t>991004884779702656</t>
        </is>
      </c>
      <c r="AY23" t="inlineStr">
        <is>
          <t>2263115940002656</t>
        </is>
      </c>
      <c r="AZ23" t="inlineStr">
        <is>
          <t>BOOK</t>
        </is>
      </c>
      <c r="BB23" t="inlineStr">
        <is>
          <t>9780517540343</t>
        </is>
      </c>
      <c r="BC23" t="inlineStr">
        <is>
          <t>32285001646222</t>
        </is>
      </c>
      <c r="BD23" t="inlineStr">
        <is>
          <t>893507335</t>
        </is>
      </c>
    </row>
    <row r="24">
      <c r="A24" t="inlineStr">
        <is>
          <t>No</t>
        </is>
      </c>
      <c r="B24" t="inlineStr">
        <is>
          <t>PE1073 .B77 1962</t>
        </is>
      </c>
      <c r="C24" t="inlineStr">
        <is>
          <t>0                      PE 1073000B  77          1962</t>
        </is>
      </c>
      <c r="D24" t="inlineStr">
        <is>
          <t>Psychology of English; why we say what we do [by] Margaret M.Bryant and Janet Rankin Aiken.</t>
        </is>
      </c>
      <c r="F24" t="inlineStr">
        <is>
          <t>No</t>
        </is>
      </c>
      <c r="G24" t="inlineStr">
        <is>
          <t>1</t>
        </is>
      </c>
      <c r="H24" t="inlineStr">
        <is>
          <t>No</t>
        </is>
      </c>
      <c r="I24" t="inlineStr">
        <is>
          <t>No</t>
        </is>
      </c>
      <c r="J24" t="inlineStr">
        <is>
          <t>0</t>
        </is>
      </c>
      <c r="K24" t="inlineStr">
        <is>
          <t>Bryant, Margaret M., 1900-1993.</t>
        </is>
      </c>
      <c r="L24" t="inlineStr">
        <is>
          <t>New York, F.Ungar Pub. Co. [1962]</t>
        </is>
      </c>
      <c r="M24" t="inlineStr">
        <is>
          <t>1962</t>
        </is>
      </c>
      <c r="N24" t="inlineStr">
        <is>
          <t>[New ed.]</t>
        </is>
      </c>
      <c r="O24" t="inlineStr">
        <is>
          <t>eng</t>
        </is>
      </c>
      <c r="P24" t="inlineStr">
        <is>
          <t>nyu</t>
        </is>
      </c>
      <c r="R24" t="inlineStr">
        <is>
          <t xml:space="preserve">PE </t>
        </is>
      </c>
      <c r="S24" t="n">
        <v>2</v>
      </c>
      <c r="T24" t="n">
        <v>2</v>
      </c>
      <c r="U24" t="inlineStr">
        <is>
          <t>1997-12-01</t>
        </is>
      </c>
      <c r="V24" t="inlineStr">
        <is>
          <t>1997-12-01</t>
        </is>
      </c>
      <c r="W24" t="inlineStr">
        <is>
          <t>1997-09-18</t>
        </is>
      </c>
      <c r="X24" t="inlineStr">
        <is>
          <t>1997-09-18</t>
        </is>
      </c>
      <c r="Y24" t="n">
        <v>193</v>
      </c>
      <c r="Z24" t="n">
        <v>160</v>
      </c>
      <c r="AA24" t="n">
        <v>168</v>
      </c>
      <c r="AB24" t="n">
        <v>2</v>
      </c>
      <c r="AC24" t="n">
        <v>2</v>
      </c>
      <c r="AD24" t="n">
        <v>6</v>
      </c>
      <c r="AE24" t="n">
        <v>6</v>
      </c>
      <c r="AF24" t="n">
        <v>2</v>
      </c>
      <c r="AG24" t="n">
        <v>2</v>
      </c>
      <c r="AH24" t="n">
        <v>0</v>
      </c>
      <c r="AI24" t="n">
        <v>0</v>
      </c>
      <c r="AJ24" t="n">
        <v>3</v>
      </c>
      <c r="AK24" t="n">
        <v>3</v>
      </c>
      <c r="AL24" t="n">
        <v>1</v>
      </c>
      <c r="AM24" t="n">
        <v>1</v>
      </c>
      <c r="AN24" t="n">
        <v>0</v>
      </c>
      <c r="AO24" t="n">
        <v>0</v>
      </c>
      <c r="AP24" t="inlineStr">
        <is>
          <t>Yes</t>
        </is>
      </c>
      <c r="AQ24" t="inlineStr">
        <is>
          <t>No</t>
        </is>
      </c>
      <c r="AR24">
        <f>HYPERLINK("http://catalog.hathitrust.org/Record/001441246","HathiTrust Record")</f>
        <v/>
      </c>
      <c r="AS24">
        <f>HYPERLINK("https://creighton-primo.hosted.exlibrisgroup.com/primo-explore/search?tab=default_tab&amp;search_scope=EVERYTHING&amp;vid=01CRU&amp;lang=en_US&amp;offset=0&amp;query=any,contains,991004170959702656","Catalog Record")</f>
        <v/>
      </c>
      <c r="AT24">
        <f>HYPERLINK("http://www.worldcat.org/oclc/1073108","WorldCat Record")</f>
        <v/>
      </c>
      <c r="AU24" t="inlineStr">
        <is>
          <t>1862274696:eng</t>
        </is>
      </c>
      <c r="AV24" t="inlineStr">
        <is>
          <t>1073108</t>
        </is>
      </c>
      <c r="AW24" t="inlineStr">
        <is>
          <t>991004170959702656</t>
        </is>
      </c>
      <c r="AX24" t="inlineStr">
        <is>
          <t>991004170959702656</t>
        </is>
      </c>
      <c r="AY24" t="inlineStr">
        <is>
          <t>2260018510002656</t>
        </is>
      </c>
      <c r="AZ24" t="inlineStr">
        <is>
          <t>BOOK</t>
        </is>
      </c>
      <c r="BC24" t="inlineStr">
        <is>
          <t>32285003228524</t>
        </is>
      </c>
      <c r="BD24" t="inlineStr">
        <is>
          <t>893519326</t>
        </is>
      </c>
    </row>
    <row r="25">
      <c r="A25" t="inlineStr">
        <is>
          <t>No</t>
        </is>
      </c>
      <c r="B25" t="inlineStr">
        <is>
          <t>PE1073 .H6</t>
        </is>
      </c>
      <c r="C25" t="inlineStr">
        <is>
          <t>0                      PE 1073000H  6</t>
        </is>
      </c>
      <c r="D25" t="inlineStr">
        <is>
          <t>Essential world English; being a preliminary mnemotechnic programme for proficiency in English self-expression for international use, based on semantic principles, by Lancelot Hogben. With the assistance of Jane Hogben and Maureen Cartwright.</t>
        </is>
      </c>
      <c r="F25" t="inlineStr">
        <is>
          <t>No</t>
        </is>
      </c>
      <c r="G25" t="inlineStr">
        <is>
          <t>1</t>
        </is>
      </c>
      <c r="H25" t="inlineStr">
        <is>
          <t>No</t>
        </is>
      </c>
      <c r="I25" t="inlineStr">
        <is>
          <t>No</t>
        </is>
      </c>
      <c r="J25" t="inlineStr">
        <is>
          <t>0</t>
        </is>
      </c>
      <c r="K25" t="inlineStr">
        <is>
          <t>Hogben, Lancelot Thomas, 1895-1975.</t>
        </is>
      </c>
      <c r="L25" t="inlineStr">
        <is>
          <t>New York, Norton [c1963]</t>
        </is>
      </c>
      <c r="M25" t="inlineStr">
        <is>
          <t>1963</t>
        </is>
      </c>
      <c r="O25" t="inlineStr">
        <is>
          <t>eng</t>
        </is>
      </c>
      <c r="P25" t="inlineStr">
        <is>
          <t>nyu</t>
        </is>
      </c>
      <c r="R25" t="inlineStr">
        <is>
          <t xml:space="preserve">PE </t>
        </is>
      </c>
      <c r="S25" t="n">
        <v>0</v>
      </c>
      <c r="T25" t="n">
        <v>0</v>
      </c>
      <c r="U25" t="inlineStr">
        <is>
          <t>2005-06-08</t>
        </is>
      </c>
      <c r="V25" t="inlineStr">
        <is>
          <t>2005-06-08</t>
        </is>
      </c>
      <c r="W25" t="inlineStr">
        <is>
          <t>1997-08-28</t>
        </is>
      </c>
      <c r="X25" t="inlineStr">
        <is>
          <t>1997-08-28</t>
        </is>
      </c>
      <c r="Y25" t="n">
        <v>218</v>
      </c>
      <c r="Z25" t="n">
        <v>206</v>
      </c>
      <c r="AA25" t="n">
        <v>273</v>
      </c>
      <c r="AB25" t="n">
        <v>1</v>
      </c>
      <c r="AC25" t="n">
        <v>2</v>
      </c>
      <c r="AD25" t="n">
        <v>4</v>
      </c>
      <c r="AE25" t="n">
        <v>8</v>
      </c>
      <c r="AF25" t="n">
        <v>1</v>
      </c>
      <c r="AG25" t="n">
        <v>3</v>
      </c>
      <c r="AH25" t="n">
        <v>2</v>
      </c>
      <c r="AI25" t="n">
        <v>3</v>
      </c>
      <c r="AJ25" t="n">
        <v>2</v>
      </c>
      <c r="AK25" t="n">
        <v>4</v>
      </c>
      <c r="AL25" t="n">
        <v>0</v>
      </c>
      <c r="AM25" t="n">
        <v>1</v>
      </c>
      <c r="AN25" t="n">
        <v>0</v>
      </c>
      <c r="AO25" t="n">
        <v>0</v>
      </c>
      <c r="AP25" t="inlineStr">
        <is>
          <t>No</t>
        </is>
      </c>
      <c r="AQ25" t="inlineStr">
        <is>
          <t>No</t>
        </is>
      </c>
      <c r="AR25">
        <f>HYPERLINK("http://catalog.hathitrust.org/Record/006218249","HathiTrust Record")</f>
        <v/>
      </c>
      <c r="AS25">
        <f>HYPERLINK("https://creighton-primo.hosted.exlibrisgroup.com/primo-explore/search?tab=default_tab&amp;search_scope=EVERYTHING&amp;vid=01CRU&amp;lang=en_US&amp;offset=0&amp;query=any,contains,991002257219702656","Catalog Record")</f>
        <v/>
      </c>
      <c r="AT25">
        <f>HYPERLINK("http://www.worldcat.org/oclc/302186","WorldCat Record")</f>
        <v/>
      </c>
      <c r="AU25" t="inlineStr">
        <is>
          <t>198061965:eng</t>
        </is>
      </c>
      <c r="AV25" t="inlineStr">
        <is>
          <t>302186</t>
        </is>
      </c>
      <c r="AW25" t="inlineStr">
        <is>
          <t>991002257219702656</t>
        </is>
      </c>
      <c r="AX25" t="inlineStr">
        <is>
          <t>991002257219702656</t>
        </is>
      </c>
      <c r="AY25" t="inlineStr">
        <is>
          <t>2272075550002656</t>
        </is>
      </c>
      <c r="AZ25" t="inlineStr">
        <is>
          <t>BOOK</t>
        </is>
      </c>
      <c r="BC25" t="inlineStr">
        <is>
          <t>32285003160537</t>
        </is>
      </c>
      <c r="BD25" t="inlineStr">
        <is>
          <t>893232742</t>
        </is>
      </c>
    </row>
    <row r="26">
      <c r="A26" t="inlineStr">
        <is>
          <t>No</t>
        </is>
      </c>
      <c r="B26" t="inlineStr">
        <is>
          <t>PE1074.7 .C79 2004</t>
        </is>
      </c>
      <c r="C26" t="inlineStr">
        <is>
          <t>0                      PE 1074700C  79          2004</t>
        </is>
      </c>
      <c r="D26" t="inlineStr">
        <is>
          <t>The stories of English / David Crystal.</t>
        </is>
      </c>
      <c r="F26" t="inlineStr">
        <is>
          <t>No</t>
        </is>
      </c>
      <c r="G26" t="inlineStr">
        <is>
          <t>1</t>
        </is>
      </c>
      <c r="H26" t="inlineStr">
        <is>
          <t>No</t>
        </is>
      </c>
      <c r="I26" t="inlineStr">
        <is>
          <t>No</t>
        </is>
      </c>
      <c r="J26" t="inlineStr">
        <is>
          <t>0</t>
        </is>
      </c>
      <c r="K26" t="inlineStr">
        <is>
          <t>Crystal, David, 1941-</t>
        </is>
      </c>
      <c r="L26" t="inlineStr">
        <is>
          <t>Woodstock : Overlook Press, 2004.</t>
        </is>
      </c>
      <c r="M26" t="inlineStr">
        <is>
          <t>2004</t>
        </is>
      </c>
      <c r="O26" t="inlineStr">
        <is>
          <t>eng</t>
        </is>
      </c>
      <c r="P26" t="inlineStr">
        <is>
          <t>nyu</t>
        </is>
      </c>
      <c r="R26" t="inlineStr">
        <is>
          <t xml:space="preserve">PE </t>
        </is>
      </c>
      <c r="S26" t="n">
        <v>10</v>
      </c>
      <c r="T26" t="n">
        <v>10</v>
      </c>
      <c r="U26" t="inlineStr">
        <is>
          <t>2010-05-02</t>
        </is>
      </c>
      <c r="V26" t="inlineStr">
        <is>
          <t>2010-05-02</t>
        </is>
      </c>
      <c r="W26" t="inlineStr">
        <is>
          <t>2004-10-04</t>
        </is>
      </c>
      <c r="X26" t="inlineStr">
        <is>
          <t>2004-10-04</t>
        </is>
      </c>
      <c r="Y26" t="n">
        <v>1066</v>
      </c>
      <c r="Z26" t="n">
        <v>1003</v>
      </c>
      <c r="AA26" t="n">
        <v>1118</v>
      </c>
      <c r="AB26" t="n">
        <v>7</v>
      </c>
      <c r="AC26" t="n">
        <v>8</v>
      </c>
      <c r="AD26" t="n">
        <v>27</v>
      </c>
      <c r="AE26" t="n">
        <v>28</v>
      </c>
      <c r="AF26" t="n">
        <v>12</v>
      </c>
      <c r="AG26" t="n">
        <v>12</v>
      </c>
      <c r="AH26" t="n">
        <v>8</v>
      </c>
      <c r="AI26" t="n">
        <v>8</v>
      </c>
      <c r="AJ26" t="n">
        <v>12</v>
      </c>
      <c r="AK26" t="n">
        <v>12</v>
      </c>
      <c r="AL26" t="n">
        <v>3</v>
      </c>
      <c r="AM26" t="n">
        <v>4</v>
      </c>
      <c r="AN26" t="n">
        <v>0</v>
      </c>
      <c r="AO26" t="n">
        <v>0</v>
      </c>
      <c r="AP26" t="inlineStr">
        <is>
          <t>No</t>
        </is>
      </c>
      <c r="AQ26" t="inlineStr">
        <is>
          <t>Yes</t>
        </is>
      </c>
      <c r="AR26">
        <f>HYPERLINK("http://catalog.hathitrust.org/Record/004768439","HathiTrust Record")</f>
        <v/>
      </c>
      <c r="AS26">
        <f>HYPERLINK("https://creighton-primo.hosted.exlibrisgroup.com/primo-explore/search?tab=default_tab&amp;search_scope=EVERYTHING&amp;vid=01CRU&amp;lang=en_US&amp;offset=0&amp;query=any,contains,991004376269702656","Catalog Record")</f>
        <v/>
      </c>
      <c r="AT26">
        <f>HYPERLINK("http://www.worldcat.org/oclc/55729974","WorldCat Record")</f>
        <v/>
      </c>
      <c r="AU26" t="inlineStr">
        <is>
          <t>946332:eng</t>
        </is>
      </c>
      <c r="AV26" t="inlineStr">
        <is>
          <t>55729974</t>
        </is>
      </c>
      <c r="AW26" t="inlineStr">
        <is>
          <t>991004376269702656</t>
        </is>
      </c>
      <c r="AX26" t="inlineStr">
        <is>
          <t>991004376269702656</t>
        </is>
      </c>
      <c r="AY26" t="inlineStr">
        <is>
          <t>2271887130002656</t>
        </is>
      </c>
      <c r="AZ26" t="inlineStr">
        <is>
          <t>BOOK</t>
        </is>
      </c>
      <c r="BB26" t="inlineStr">
        <is>
          <t>9781585676019</t>
        </is>
      </c>
      <c r="BC26" t="inlineStr">
        <is>
          <t>32285005000574</t>
        </is>
      </c>
      <c r="BD26" t="inlineStr">
        <is>
          <t>893800906</t>
        </is>
      </c>
    </row>
    <row r="27">
      <c r="A27" t="inlineStr">
        <is>
          <t>No</t>
        </is>
      </c>
      <c r="B27" t="inlineStr">
        <is>
          <t>PE1074.7 .D48 2000</t>
        </is>
      </c>
      <c r="C27" t="inlineStr">
        <is>
          <t>0                      PE 1074700D  48          2000</t>
        </is>
      </c>
      <c r="D27" t="inlineStr">
        <is>
          <t>The Development of standard English, 1300-1800 : theories, descriptions, conflicts / edited by Laura Wright.</t>
        </is>
      </c>
      <c r="F27" t="inlineStr">
        <is>
          <t>No</t>
        </is>
      </c>
      <c r="G27" t="inlineStr">
        <is>
          <t>1</t>
        </is>
      </c>
      <c r="H27" t="inlineStr">
        <is>
          <t>No</t>
        </is>
      </c>
      <c r="I27" t="inlineStr">
        <is>
          <t>No</t>
        </is>
      </c>
      <c r="J27" t="inlineStr">
        <is>
          <t>0</t>
        </is>
      </c>
      <c r="L27" t="inlineStr">
        <is>
          <t>Cambridge ; New York : Cambridge University Press, 2000.</t>
        </is>
      </c>
      <c r="M27" t="inlineStr">
        <is>
          <t>2000</t>
        </is>
      </c>
      <c r="O27" t="inlineStr">
        <is>
          <t>eng</t>
        </is>
      </c>
      <c r="P27" t="inlineStr">
        <is>
          <t>enk</t>
        </is>
      </c>
      <c r="Q27" t="inlineStr">
        <is>
          <t>Studies in English language</t>
        </is>
      </c>
      <c r="R27" t="inlineStr">
        <is>
          <t xml:space="preserve">PE </t>
        </is>
      </c>
      <c r="S27" t="n">
        <v>4</v>
      </c>
      <c r="T27" t="n">
        <v>4</v>
      </c>
      <c r="U27" t="inlineStr">
        <is>
          <t>2005-11-10</t>
        </is>
      </c>
      <c r="V27" t="inlineStr">
        <is>
          <t>2005-11-10</t>
        </is>
      </c>
      <c r="W27" t="inlineStr">
        <is>
          <t>2002-06-05</t>
        </is>
      </c>
      <c r="X27" t="inlineStr">
        <is>
          <t>2002-06-05</t>
        </is>
      </c>
      <c r="Y27" t="n">
        <v>312</v>
      </c>
      <c r="Z27" t="n">
        <v>222</v>
      </c>
      <c r="AA27" t="n">
        <v>247</v>
      </c>
      <c r="AB27" t="n">
        <v>3</v>
      </c>
      <c r="AC27" t="n">
        <v>3</v>
      </c>
      <c r="AD27" t="n">
        <v>13</v>
      </c>
      <c r="AE27" t="n">
        <v>14</v>
      </c>
      <c r="AF27" t="n">
        <v>3</v>
      </c>
      <c r="AG27" t="n">
        <v>3</v>
      </c>
      <c r="AH27" t="n">
        <v>6</v>
      </c>
      <c r="AI27" t="n">
        <v>7</v>
      </c>
      <c r="AJ27" t="n">
        <v>5</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HYPERLINK("https://creighton-primo.hosted.exlibrisgroup.com/primo-explore/search?tab=default_tab&amp;search_scope=EVERYTHING&amp;vid=01CRU&amp;lang=en_US&amp;offset=0&amp;query=any,contains,991003791429702656","Catalog Record")</f>
        <v/>
      </c>
      <c r="AT27">
        <f>HYPERLINK("http://www.worldcat.org/oclc/43083332","WorldCat Record")</f>
        <v/>
      </c>
      <c r="AU27" t="inlineStr">
        <is>
          <t>896276298:eng</t>
        </is>
      </c>
      <c r="AV27" t="inlineStr">
        <is>
          <t>43083332</t>
        </is>
      </c>
      <c r="AW27" t="inlineStr">
        <is>
          <t>991003791429702656</t>
        </is>
      </c>
      <c r="AX27" t="inlineStr">
        <is>
          <t>991003791429702656</t>
        </is>
      </c>
      <c r="AY27" t="inlineStr">
        <is>
          <t>2265033940002656</t>
        </is>
      </c>
      <c r="AZ27" t="inlineStr">
        <is>
          <t>BOOK</t>
        </is>
      </c>
      <c r="BB27" t="inlineStr">
        <is>
          <t>9780521771146</t>
        </is>
      </c>
      <c r="BC27" t="inlineStr">
        <is>
          <t>32285004491121</t>
        </is>
      </c>
      <c r="BD27" t="inlineStr">
        <is>
          <t>893686978</t>
        </is>
      </c>
    </row>
    <row r="28">
      <c r="A28" t="inlineStr">
        <is>
          <t>No</t>
        </is>
      </c>
      <c r="B28" t="inlineStr">
        <is>
          <t>PE1074.75 .B37 1986</t>
        </is>
      </c>
      <c r="C28" t="inlineStr">
        <is>
          <t>0                      PE 1074750B  37          1986</t>
        </is>
      </c>
      <c r="D28" t="inlineStr">
        <is>
          <t>Grammar and gender / Dennis Baron.</t>
        </is>
      </c>
      <c r="F28" t="inlineStr">
        <is>
          <t>No</t>
        </is>
      </c>
      <c r="G28" t="inlineStr">
        <is>
          <t>1</t>
        </is>
      </c>
      <c r="H28" t="inlineStr">
        <is>
          <t>No</t>
        </is>
      </c>
      <c r="I28" t="inlineStr">
        <is>
          <t>No</t>
        </is>
      </c>
      <c r="J28" t="inlineStr">
        <is>
          <t>0</t>
        </is>
      </c>
      <c r="K28" t="inlineStr">
        <is>
          <t>Baron, Dennis E.</t>
        </is>
      </c>
      <c r="L28" t="inlineStr">
        <is>
          <t>New Haven : Yale University Press, c1986.</t>
        </is>
      </c>
      <c r="M28" t="inlineStr">
        <is>
          <t>1986</t>
        </is>
      </c>
      <c r="O28" t="inlineStr">
        <is>
          <t>eng</t>
        </is>
      </c>
      <c r="P28" t="inlineStr">
        <is>
          <t>ctu</t>
        </is>
      </c>
      <c r="R28" t="inlineStr">
        <is>
          <t xml:space="preserve">PE </t>
        </is>
      </c>
      <c r="S28" t="n">
        <v>7</v>
      </c>
      <c r="T28" t="n">
        <v>7</v>
      </c>
      <c r="U28" t="inlineStr">
        <is>
          <t>2007-03-18</t>
        </is>
      </c>
      <c r="V28" t="inlineStr">
        <is>
          <t>2007-03-18</t>
        </is>
      </c>
      <c r="W28" t="inlineStr">
        <is>
          <t>1995-05-24</t>
        </is>
      </c>
      <c r="X28" t="inlineStr">
        <is>
          <t>1995-05-24</t>
        </is>
      </c>
      <c r="Y28" t="n">
        <v>1121</v>
      </c>
      <c r="Z28" t="n">
        <v>926</v>
      </c>
      <c r="AA28" t="n">
        <v>939</v>
      </c>
      <c r="AB28" t="n">
        <v>7</v>
      </c>
      <c r="AC28" t="n">
        <v>7</v>
      </c>
      <c r="AD28" t="n">
        <v>40</v>
      </c>
      <c r="AE28" t="n">
        <v>41</v>
      </c>
      <c r="AF28" t="n">
        <v>19</v>
      </c>
      <c r="AG28" t="n">
        <v>20</v>
      </c>
      <c r="AH28" t="n">
        <v>9</v>
      </c>
      <c r="AI28" t="n">
        <v>9</v>
      </c>
      <c r="AJ28" t="n">
        <v>18</v>
      </c>
      <c r="AK28" t="n">
        <v>18</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HYPERLINK("https://creighton-primo.hosted.exlibrisgroup.com/primo-explore/search?tab=default_tab&amp;search_scope=EVERYTHING&amp;vid=01CRU&amp;lang=en_US&amp;offset=0&amp;query=any,contains,991000674769702656","Catalog Record")</f>
        <v/>
      </c>
      <c r="AT28">
        <f>HYPERLINK("http://www.worldcat.org/oclc/12343544","WorldCat Record")</f>
        <v/>
      </c>
      <c r="AU28" t="inlineStr">
        <is>
          <t>5282723:eng</t>
        </is>
      </c>
      <c r="AV28" t="inlineStr">
        <is>
          <t>12343544</t>
        </is>
      </c>
      <c r="AW28" t="inlineStr">
        <is>
          <t>991000674769702656</t>
        </is>
      </c>
      <c r="AX28" t="inlineStr">
        <is>
          <t>991000674769702656</t>
        </is>
      </c>
      <c r="AY28" t="inlineStr">
        <is>
          <t>2267963950002656</t>
        </is>
      </c>
      <c r="AZ28" t="inlineStr">
        <is>
          <t>BOOK</t>
        </is>
      </c>
      <c r="BB28" t="inlineStr">
        <is>
          <t>9780300035261</t>
        </is>
      </c>
      <c r="BC28" t="inlineStr">
        <is>
          <t>32285002047115</t>
        </is>
      </c>
      <c r="BD28" t="inlineStr">
        <is>
          <t>893897116</t>
        </is>
      </c>
    </row>
    <row r="29">
      <c r="A29" t="inlineStr">
        <is>
          <t>No</t>
        </is>
      </c>
      <c r="B29" t="inlineStr">
        <is>
          <t>PE1074.75 .P46 1990</t>
        </is>
      </c>
      <c r="C29" t="inlineStr">
        <is>
          <t>0                      PE 1074750P  46          1990</t>
        </is>
      </c>
      <c r="D29" t="inlineStr">
        <is>
          <t>Speaking freely : unlearning the lies of the fathers' tongues / Julia Penelope.</t>
        </is>
      </c>
      <c r="F29" t="inlineStr">
        <is>
          <t>No</t>
        </is>
      </c>
      <c r="G29" t="inlineStr">
        <is>
          <t>1</t>
        </is>
      </c>
      <c r="H29" t="inlineStr">
        <is>
          <t>No</t>
        </is>
      </c>
      <c r="I29" t="inlineStr">
        <is>
          <t>Yes</t>
        </is>
      </c>
      <c r="J29" t="inlineStr">
        <is>
          <t>0</t>
        </is>
      </c>
      <c r="K29" t="inlineStr">
        <is>
          <t>Penelope, Julia, 1941-</t>
        </is>
      </c>
      <c r="L29" t="inlineStr">
        <is>
          <t>New York : Pergamon Press, c1990.</t>
        </is>
      </c>
      <c r="M29" t="inlineStr">
        <is>
          <t>1990</t>
        </is>
      </c>
      <c r="O29" t="inlineStr">
        <is>
          <t>eng</t>
        </is>
      </c>
      <c r="P29" t="inlineStr">
        <is>
          <t>nyu</t>
        </is>
      </c>
      <c r="Q29" t="inlineStr">
        <is>
          <t>The Athene series</t>
        </is>
      </c>
      <c r="R29" t="inlineStr">
        <is>
          <t xml:space="preserve">PE </t>
        </is>
      </c>
      <c r="S29" t="n">
        <v>9</v>
      </c>
      <c r="T29" t="n">
        <v>9</v>
      </c>
      <c r="U29" t="inlineStr">
        <is>
          <t>2003-12-14</t>
        </is>
      </c>
      <c r="V29" t="inlineStr">
        <is>
          <t>2003-12-14</t>
        </is>
      </c>
      <c r="W29" t="inlineStr">
        <is>
          <t>1991-02-22</t>
        </is>
      </c>
      <c r="X29" t="inlineStr">
        <is>
          <t>1991-02-22</t>
        </is>
      </c>
      <c r="Y29" t="n">
        <v>522</v>
      </c>
      <c r="Z29" t="n">
        <v>415</v>
      </c>
      <c r="AA29" t="n">
        <v>475</v>
      </c>
      <c r="AB29" t="n">
        <v>5</v>
      </c>
      <c r="AC29" t="n">
        <v>5</v>
      </c>
      <c r="AD29" t="n">
        <v>21</v>
      </c>
      <c r="AE29" t="n">
        <v>22</v>
      </c>
      <c r="AF29" t="n">
        <v>8</v>
      </c>
      <c r="AG29" t="n">
        <v>8</v>
      </c>
      <c r="AH29" t="n">
        <v>7</v>
      </c>
      <c r="AI29" t="n">
        <v>8</v>
      </c>
      <c r="AJ29" t="n">
        <v>8</v>
      </c>
      <c r="AK29" t="n">
        <v>8</v>
      </c>
      <c r="AL29" t="n">
        <v>4</v>
      </c>
      <c r="AM29" t="n">
        <v>4</v>
      </c>
      <c r="AN29" t="n">
        <v>1</v>
      </c>
      <c r="AO29" t="n">
        <v>1</v>
      </c>
      <c r="AP29" t="inlineStr">
        <is>
          <t>No</t>
        </is>
      </c>
      <c r="AQ29" t="inlineStr">
        <is>
          <t>Yes</t>
        </is>
      </c>
      <c r="AR29">
        <f>HYPERLINK("http://catalog.hathitrust.org/Record/002188853","HathiTrust Record")</f>
        <v/>
      </c>
      <c r="AS29">
        <f>HYPERLINK("https://creighton-primo.hosted.exlibrisgroup.com/primo-explore/search?tab=default_tab&amp;search_scope=EVERYTHING&amp;vid=01CRU&amp;lang=en_US&amp;offset=0&amp;query=any,contains,991001606599702656","Catalog Record")</f>
        <v/>
      </c>
      <c r="AT29">
        <f>HYPERLINK("http://www.worldcat.org/oclc/20693408","WorldCat Record")</f>
        <v/>
      </c>
      <c r="AU29" t="inlineStr">
        <is>
          <t>836752721:eng</t>
        </is>
      </c>
      <c r="AV29" t="inlineStr">
        <is>
          <t>20693408</t>
        </is>
      </c>
      <c r="AW29" t="inlineStr">
        <is>
          <t>991001606599702656</t>
        </is>
      </c>
      <c r="AX29" t="inlineStr">
        <is>
          <t>991001606599702656</t>
        </is>
      </c>
      <c r="AY29" t="inlineStr">
        <is>
          <t>2255229660002656</t>
        </is>
      </c>
      <c r="AZ29" t="inlineStr">
        <is>
          <t>BOOK</t>
        </is>
      </c>
      <c r="BB29" t="inlineStr">
        <is>
          <t>9780080365558</t>
        </is>
      </c>
      <c r="BC29" t="inlineStr">
        <is>
          <t>32285000490887</t>
        </is>
      </c>
      <c r="BD29" t="inlineStr">
        <is>
          <t>893238202</t>
        </is>
      </c>
    </row>
    <row r="30">
      <c r="A30" t="inlineStr">
        <is>
          <t>No</t>
        </is>
      </c>
      <c r="B30" t="inlineStr">
        <is>
          <t>PE1074.75 .P46 1990b</t>
        </is>
      </c>
      <c r="C30" t="inlineStr">
        <is>
          <t>0                      PE 1074750P  46          1990b</t>
        </is>
      </c>
      <c r="D30" t="inlineStr">
        <is>
          <t>Speaking freely : unlearning the lies of the fathers' tongues / Julia Penelope.</t>
        </is>
      </c>
      <c r="F30" t="inlineStr">
        <is>
          <t>No</t>
        </is>
      </c>
      <c r="G30" t="inlineStr">
        <is>
          <t>1</t>
        </is>
      </c>
      <c r="H30" t="inlineStr">
        <is>
          <t>No</t>
        </is>
      </c>
      <c r="I30" t="inlineStr">
        <is>
          <t>Yes</t>
        </is>
      </c>
      <c r="J30" t="inlineStr">
        <is>
          <t>0</t>
        </is>
      </c>
      <c r="K30" t="inlineStr">
        <is>
          <t>Penelope, Julia, 1941-</t>
        </is>
      </c>
      <c r="L30" t="inlineStr">
        <is>
          <t>New York : Teachers College Press, c1990.</t>
        </is>
      </c>
      <c r="M30" t="inlineStr">
        <is>
          <t>1990</t>
        </is>
      </c>
      <c r="O30" t="inlineStr">
        <is>
          <t>eng</t>
        </is>
      </c>
      <c r="P30" t="inlineStr">
        <is>
          <t>nyu</t>
        </is>
      </c>
      <c r="Q30" t="inlineStr">
        <is>
          <t>Athene series</t>
        </is>
      </c>
      <c r="R30" t="inlineStr">
        <is>
          <t xml:space="preserve">PE </t>
        </is>
      </c>
      <c r="S30" t="n">
        <v>1</v>
      </c>
      <c r="T30" t="n">
        <v>1</v>
      </c>
      <c r="U30" t="inlineStr">
        <is>
          <t>2003-08-26</t>
        </is>
      </c>
      <c r="V30" t="inlineStr">
        <is>
          <t>2003-08-26</t>
        </is>
      </c>
      <c r="W30" t="inlineStr">
        <is>
          <t>1996-12-23</t>
        </is>
      </c>
      <c r="X30" t="inlineStr">
        <is>
          <t>1996-12-23</t>
        </is>
      </c>
      <c r="Y30" t="n">
        <v>81</v>
      </c>
      <c r="Z30" t="n">
        <v>65</v>
      </c>
      <c r="AA30" t="n">
        <v>475</v>
      </c>
      <c r="AB30" t="n">
        <v>1</v>
      </c>
      <c r="AC30" t="n">
        <v>5</v>
      </c>
      <c r="AD30" t="n">
        <v>2</v>
      </c>
      <c r="AE30" t="n">
        <v>22</v>
      </c>
      <c r="AF30" t="n">
        <v>0</v>
      </c>
      <c r="AG30" t="n">
        <v>8</v>
      </c>
      <c r="AH30" t="n">
        <v>1</v>
      </c>
      <c r="AI30" t="n">
        <v>8</v>
      </c>
      <c r="AJ30" t="n">
        <v>1</v>
      </c>
      <c r="AK30" t="n">
        <v>8</v>
      </c>
      <c r="AL30" t="n">
        <v>0</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HYPERLINK("https://creighton-primo.hosted.exlibrisgroup.com/primo-explore/search?tab=default_tab&amp;search_scope=EVERYTHING&amp;vid=01CRU&amp;lang=en_US&amp;offset=0&amp;query=any,contains,991002097729702656","Catalog Record")</f>
        <v/>
      </c>
      <c r="AT30">
        <f>HYPERLINK("http://www.worldcat.org/oclc/26918189","WorldCat Record")</f>
        <v/>
      </c>
      <c r="AU30" t="inlineStr">
        <is>
          <t>836752721:eng</t>
        </is>
      </c>
      <c r="AV30" t="inlineStr">
        <is>
          <t>26918189</t>
        </is>
      </c>
      <c r="AW30" t="inlineStr">
        <is>
          <t>991002097729702656</t>
        </is>
      </c>
      <c r="AX30" t="inlineStr">
        <is>
          <t>991002097729702656</t>
        </is>
      </c>
      <c r="AY30" t="inlineStr">
        <is>
          <t>2271747790002656</t>
        </is>
      </c>
      <c r="AZ30" t="inlineStr">
        <is>
          <t>BOOK</t>
        </is>
      </c>
      <c r="BB30" t="inlineStr">
        <is>
          <t>9780807762448</t>
        </is>
      </c>
      <c r="BC30" t="inlineStr">
        <is>
          <t>32285002403003</t>
        </is>
      </c>
      <c r="BD30" t="inlineStr">
        <is>
          <t>893785715</t>
        </is>
      </c>
    </row>
    <row r="31">
      <c r="A31" t="inlineStr">
        <is>
          <t>No</t>
        </is>
      </c>
      <c r="B31" t="inlineStr">
        <is>
          <t>PE1075 .B3 1978</t>
        </is>
      </c>
      <c r="C31" t="inlineStr">
        <is>
          <t>0                      PE 1075000B  3           1978</t>
        </is>
      </c>
      <c r="D31" t="inlineStr">
        <is>
          <t>A history of the English language / Albert C. Baugh, Thomas Cable.</t>
        </is>
      </c>
      <c r="F31" t="inlineStr">
        <is>
          <t>No</t>
        </is>
      </c>
      <c r="G31" t="inlineStr">
        <is>
          <t>1</t>
        </is>
      </c>
      <c r="H31" t="inlineStr">
        <is>
          <t>No</t>
        </is>
      </c>
      <c r="I31" t="inlineStr">
        <is>
          <t>Yes</t>
        </is>
      </c>
      <c r="J31" t="inlineStr">
        <is>
          <t>0</t>
        </is>
      </c>
      <c r="K31" t="inlineStr">
        <is>
          <t>Baugh, Albert C. (Albert Croll), 1891-1981.</t>
        </is>
      </c>
      <c r="L31" t="inlineStr">
        <is>
          <t>Englewood Cliffs, N.J. : Prentice-Hall, c1978.</t>
        </is>
      </c>
      <c r="M31" t="inlineStr">
        <is>
          <t>1978</t>
        </is>
      </c>
      <c r="N31" t="inlineStr">
        <is>
          <t>3d ed.</t>
        </is>
      </c>
      <c r="O31" t="inlineStr">
        <is>
          <t>eng</t>
        </is>
      </c>
      <c r="P31" t="inlineStr">
        <is>
          <t>nju</t>
        </is>
      </c>
      <c r="R31" t="inlineStr">
        <is>
          <t xml:space="preserve">PE </t>
        </is>
      </c>
      <c r="S31" t="n">
        <v>15</v>
      </c>
      <c r="T31" t="n">
        <v>15</v>
      </c>
      <c r="U31" t="inlineStr">
        <is>
          <t>2008-11-29</t>
        </is>
      </c>
      <c r="V31" t="inlineStr">
        <is>
          <t>2008-11-29</t>
        </is>
      </c>
      <c r="W31" t="inlineStr">
        <is>
          <t>1993-04-23</t>
        </is>
      </c>
      <c r="X31" t="inlineStr">
        <is>
          <t>1993-04-23</t>
        </is>
      </c>
      <c r="Y31" t="n">
        <v>730</v>
      </c>
      <c r="Z31" t="n">
        <v>629</v>
      </c>
      <c r="AA31" t="n">
        <v>1903</v>
      </c>
      <c r="AB31" t="n">
        <v>5</v>
      </c>
      <c r="AC31" t="n">
        <v>14</v>
      </c>
      <c r="AD31" t="n">
        <v>24</v>
      </c>
      <c r="AE31" t="n">
        <v>64</v>
      </c>
      <c r="AF31" t="n">
        <v>9</v>
      </c>
      <c r="AG31" t="n">
        <v>28</v>
      </c>
      <c r="AH31" t="n">
        <v>5</v>
      </c>
      <c r="AI31" t="n">
        <v>11</v>
      </c>
      <c r="AJ31" t="n">
        <v>12</v>
      </c>
      <c r="AK31" t="n">
        <v>26</v>
      </c>
      <c r="AL31" t="n">
        <v>4</v>
      </c>
      <c r="AM31" t="n">
        <v>12</v>
      </c>
      <c r="AN31" t="n">
        <v>0</v>
      </c>
      <c r="AO31" t="n">
        <v>1</v>
      </c>
      <c r="AP31" t="inlineStr">
        <is>
          <t>No</t>
        </is>
      </c>
      <c r="AQ31" t="inlineStr">
        <is>
          <t>Yes</t>
        </is>
      </c>
      <c r="AR31">
        <f>HYPERLINK("http://catalog.hathitrust.org/Record/000088601","HathiTrust Record")</f>
        <v/>
      </c>
      <c r="AS31">
        <f>HYPERLINK("https://creighton-primo.hosted.exlibrisgroup.com/primo-explore/search?tab=default_tab&amp;search_scope=EVERYTHING&amp;vid=01CRU&amp;lang=en_US&amp;offset=0&amp;query=any,contains,991004453399702656","Catalog Record")</f>
        <v/>
      </c>
      <c r="AT31">
        <f>HYPERLINK("http://www.worldcat.org/oclc/3516727","WorldCat Record")</f>
        <v/>
      </c>
      <c r="AU31" t="inlineStr">
        <is>
          <t>19972471:eng</t>
        </is>
      </c>
      <c r="AV31" t="inlineStr">
        <is>
          <t>3516727</t>
        </is>
      </c>
      <c r="AW31" t="inlineStr">
        <is>
          <t>991004453399702656</t>
        </is>
      </c>
      <c r="AX31" t="inlineStr">
        <is>
          <t>991004453399702656</t>
        </is>
      </c>
      <c r="AY31" t="inlineStr">
        <is>
          <t>2272456650002656</t>
        </is>
      </c>
      <c r="AZ31" t="inlineStr">
        <is>
          <t>BOOK</t>
        </is>
      </c>
      <c r="BB31" t="inlineStr">
        <is>
          <t>9780133892390</t>
        </is>
      </c>
      <c r="BC31" t="inlineStr">
        <is>
          <t>32285001646230</t>
        </is>
      </c>
      <c r="BD31" t="inlineStr">
        <is>
          <t>893606045</t>
        </is>
      </c>
    </row>
    <row r="32">
      <c r="A32" t="inlineStr">
        <is>
          <t>No</t>
        </is>
      </c>
      <c r="B32" t="inlineStr">
        <is>
          <t>PE1075 .B66 2004</t>
        </is>
      </c>
      <c r="C32" t="inlineStr">
        <is>
          <t>0                      PE 1075000B  66          2004</t>
        </is>
      </c>
      <c r="D32" t="inlineStr">
        <is>
          <t>The adventure of English : the biography of a language / Melvyn Bragg.</t>
        </is>
      </c>
      <c r="F32" t="inlineStr">
        <is>
          <t>No</t>
        </is>
      </c>
      <c r="G32" t="inlineStr">
        <is>
          <t>1</t>
        </is>
      </c>
      <c r="H32" t="inlineStr">
        <is>
          <t>No</t>
        </is>
      </c>
      <c r="I32" t="inlineStr">
        <is>
          <t>No</t>
        </is>
      </c>
      <c r="J32" t="inlineStr">
        <is>
          <t>0</t>
        </is>
      </c>
      <c r="K32" t="inlineStr">
        <is>
          <t>Bragg, Melvyn, 1939-</t>
        </is>
      </c>
      <c r="L32" t="inlineStr">
        <is>
          <t>New York : Arcade Pub. : Distributed by Time Warner Book Group, 2004.</t>
        </is>
      </c>
      <c r="M32" t="inlineStr">
        <is>
          <t>2004</t>
        </is>
      </c>
      <c r="N32" t="inlineStr">
        <is>
          <t>First U.S. ed.</t>
        </is>
      </c>
      <c r="O32" t="inlineStr">
        <is>
          <t>eng</t>
        </is>
      </c>
      <c r="P32" t="inlineStr">
        <is>
          <t>nyu</t>
        </is>
      </c>
      <c r="R32" t="inlineStr">
        <is>
          <t xml:space="preserve">PE </t>
        </is>
      </c>
      <c r="S32" t="n">
        <v>1</v>
      </c>
      <c r="T32" t="n">
        <v>1</v>
      </c>
      <c r="U32" t="inlineStr">
        <is>
          <t>2004-10-26</t>
        </is>
      </c>
      <c r="V32" t="inlineStr">
        <is>
          <t>2004-10-26</t>
        </is>
      </c>
      <c r="W32" t="inlineStr">
        <is>
          <t>2004-10-26</t>
        </is>
      </c>
      <c r="X32" t="inlineStr">
        <is>
          <t>2004-10-26</t>
        </is>
      </c>
      <c r="Y32" t="n">
        <v>1159</v>
      </c>
      <c r="Z32" t="n">
        <v>1091</v>
      </c>
      <c r="AA32" t="n">
        <v>1380</v>
      </c>
      <c r="AB32" t="n">
        <v>13</v>
      </c>
      <c r="AC32" t="n">
        <v>13</v>
      </c>
      <c r="AD32" t="n">
        <v>24</v>
      </c>
      <c r="AE32" t="n">
        <v>26</v>
      </c>
      <c r="AF32" t="n">
        <v>10</v>
      </c>
      <c r="AG32" t="n">
        <v>11</v>
      </c>
      <c r="AH32" t="n">
        <v>5</v>
      </c>
      <c r="AI32" t="n">
        <v>5</v>
      </c>
      <c r="AJ32" t="n">
        <v>6</v>
      </c>
      <c r="AK32" t="n">
        <v>7</v>
      </c>
      <c r="AL32" t="n">
        <v>8</v>
      </c>
      <c r="AM32" t="n">
        <v>8</v>
      </c>
      <c r="AN32" t="n">
        <v>0</v>
      </c>
      <c r="AO32" t="n">
        <v>0</v>
      </c>
      <c r="AP32" t="inlineStr">
        <is>
          <t>No</t>
        </is>
      </c>
      <c r="AQ32" t="inlineStr">
        <is>
          <t>Yes</t>
        </is>
      </c>
      <c r="AR32">
        <f>HYPERLINK("http://catalog.hathitrust.org/Record/004956528","HathiTrust Record")</f>
        <v/>
      </c>
      <c r="AS32">
        <f>HYPERLINK("https://creighton-primo.hosted.exlibrisgroup.com/primo-explore/search?tab=default_tab&amp;search_scope=EVERYTHING&amp;vid=01CRU&amp;lang=en_US&amp;offset=0&amp;query=any,contains,991004319409702656","Catalog Record")</f>
        <v/>
      </c>
      <c r="AT32">
        <f>HYPERLINK("http://www.worldcat.org/oclc/53013029","WorldCat Record")</f>
        <v/>
      </c>
      <c r="AU32" t="inlineStr">
        <is>
          <t>4757753740:eng</t>
        </is>
      </c>
      <c r="AV32" t="inlineStr">
        <is>
          <t>53013029</t>
        </is>
      </c>
      <c r="AW32" t="inlineStr">
        <is>
          <t>991004319409702656</t>
        </is>
      </c>
      <c r="AX32" t="inlineStr">
        <is>
          <t>991004319409702656</t>
        </is>
      </c>
      <c r="AY32" t="inlineStr">
        <is>
          <t>2270945060002656</t>
        </is>
      </c>
      <c r="AZ32" t="inlineStr">
        <is>
          <t>BOOK</t>
        </is>
      </c>
      <c r="BB32" t="inlineStr">
        <is>
          <t>9781559707107</t>
        </is>
      </c>
      <c r="BC32" t="inlineStr">
        <is>
          <t>32285005006878</t>
        </is>
      </c>
      <c r="BD32" t="inlineStr">
        <is>
          <t>893806922</t>
        </is>
      </c>
    </row>
    <row r="33">
      <c r="A33" t="inlineStr">
        <is>
          <t>No</t>
        </is>
      </c>
      <c r="B33" t="inlineStr">
        <is>
          <t>PE1075 .C85 1997</t>
        </is>
      </c>
      <c r="C33" t="inlineStr">
        <is>
          <t>0                      PE 1075000C  85          1997</t>
        </is>
      </c>
      <c r="D33" t="inlineStr">
        <is>
          <t>History of English / Jonathan Culpeper.</t>
        </is>
      </c>
      <c r="F33" t="inlineStr">
        <is>
          <t>No</t>
        </is>
      </c>
      <c r="G33" t="inlineStr">
        <is>
          <t>1</t>
        </is>
      </c>
      <c r="H33" t="inlineStr">
        <is>
          <t>No</t>
        </is>
      </c>
      <c r="I33" t="inlineStr">
        <is>
          <t>No</t>
        </is>
      </c>
      <c r="J33" t="inlineStr">
        <is>
          <t>0</t>
        </is>
      </c>
      <c r="K33" t="inlineStr">
        <is>
          <t>Culpeper, Jonathan, 1966-</t>
        </is>
      </c>
      <c r="L33" t="inlineStr">
        <is>
          <t>London ; New York : Routledge, 1997.</t>
        </is>
      </c>
      <c r="M33" t="inlineStr">
        <is>
          <t>1997</t>
        </is>
      </c>
      <c r="O33" t="inlineStr">
        <is>
          <t>eng</t>
        </is>
      </c>
      <c r="P33" t="inlineStr">
        <is>
          <t>enk</t>
        </is>
      </c>
      <c r="Q33" t="inlineStr">
        <is>
          <t>Language workbooks</t>
        </is>
      </c>
      <c r="R33" t="inlineStr">
        <is>
          <t xml:space="preserve">PE </t>
        </is>
      </c>
      <c r="S33" t="n">
        <v>1</v>
      </c>
      <c r="T33" t="n">
        <v>1</v>
      </c>
      <c r="U33" t="inlineStr">
        <is>
          <t>2004-03-23</t>
        </is>
      </c>
      <c r="V33" t="inlineStr">
        <is>
          <t>2004-03-23</t>
        </is>
      </c>
      <c r="W33" t="inlineStr">
        <is>
          <t>2000-07-19</t>
        </is>
      </c>
      <c r="X33" t="inlineStr">
        <is>
          <t>2000-07-19</t>
        </is>
      </c>
      <c r="Y33" t="n">
        <v>169</v>
      </c>
      <c r="Z33" t="n">
        <v>61</v>
      </c>
      <c r="AA33" t="n">
        <v>127</v>
      </c>
      <c r="AB33" t="n">
        <v>3</v>
      </c>
      <c r="AC33" t="n">
        <v>3</v>
      </c>
      <c r="AD33" t="n">
        <v>3</v>
      </c>
      <c r="AE33" t="n">
        <v>4</v>
      </c>
      <c r="AF33" t="n">
        <v>0</v>
      </c>
      <c r="AG33" t="n">
        <v>1</v>
      </c>
      <c r="AH33" t="n">
        <v>0</v>
      </c>
      <c r="AI33" t="n">
        <v>0</v>
      </c>
      <c r="AJ33" t="n">
        <v>1</v>
      </c>
      <c r="AK33" t="n">
        <v>2</v>
      </c>
      <c r="AL33" t="n">
        <v>2</v>
      </c>
      <c r="AM33" t="n">
        <v>2</v>
      </c>
      <c r="AN33" t="n">
        <v>0</v>
      </c>
      <c r="AO33" t="n">
        <v>0</v>
      </c>
      <c r="AP33" t="inlineStr">
        <is>
          <t>No</t>
        </is>
      </c>
      <c r="AQ33" t="inlineStr">
        <is>
          <t>No</t>
        </is>
      </c>
      <c r="AS33">
        <f>HYPERLINK("https://creighton-primo.hosted.exlibrisgroup.com/primo-explore/search?tab=default_tab&amp;search_scope=EVERYTHING&amp;vid=01CRU&amp;lang=en_US&amp;offset=0&amp;query=any,contains,991003206699702656","Catalog Record")</f>
        <v/>
      </c>
      <c r="AT33">
        <f>HYPERLINK("http://www.worldcat.org/oclc/38089318","WorldCat Record")</f>
        <v/>
      </c>
      <c r="AU33" t="inlineStr">
        <is>
          <t>3943623421:eng</t>
        </is>
      </c>
      <c r="AV33" t="inlineStr">
        <is>
          <t>38089318</t>
        </is>
      </c>
      <c r="AW33" t="inlineStr">
        <is>
          <t>991003206699702656</t>
        </is>
      </c>
      <c r="AX33" t="inlineStr">
        <is>
          <t>991003206699702656</t>
        </is>
      </c>
      <c r="AY33" t="inlineStr">
        <is>
          <t>2264584260002656</t>
        </is>
      </c>
      <c r="AZ33" t="inlineStr">
        <is>
          <t>BOOK</t>
        </is>
      </c>
      <c r="BB33" t="inlineStr">
        <is>
          <t>9780415145916</t>
        </is>
      </c>
      <c r="BC33" t="inlineStr">
        <is>
          <t>32285003740684</t>
        </is>
      </c>
      <c r="BD33" t="inlineStr">
        <is>
          <t>893505329</t>
        </is>
      </c>
    </row>
    <row r="34">
      <c r="A34" t="inlineStr">
        <is>
          <t>No</t>
        </is>
      </c>
      <c r="B34" t="inlineStr">
        <is>
          <t>PE1075 .F7</t>
        </is>
      </c>
      <c r="C34" t="inlineStr">
        <is>
          <t>0                      PE 1075000F  7</t>
        </is>
      </c>
      <c r="D34" t="inlineStr">
        <is>
          <t>The history of English. By W. Nelson Francis.</t>
        </is>
      </c>
      <c r="F34" t="inlineStr">
        <is>
          <t>No</t>
        </is>
      </c>
      <c r="G34" t="inlineStr">
        <is>
          <t>1</t>
        </is>
      </c>
      <c r="H34" t="inlineStr">
        <is>
          <t>No</t>
        </is>
      </c>
      <c r="I34" t="inlineStr">
        <is>
          <t>No</t>
        </is>
      </c>
      <c r="J34" t="inlineStr">
        <is>
          <t>0</t>
        </is>
      </c>
      <c r="K34" t="inlineStr">
        <is>
          <t>Francis, W. Nelson (Winthrop Nelson), 1910-2002.</t>
        </is>
      </c>
      <c r="L34" t="inlineStr">
        <is>
          <t>New York, W. W. Norton, 1963.</t>
        </is>
      </c>
      <c r="M34" t="inlineStr">
        <is>
          <t>1963</t>
        </is>
      </c>
      <c r="O34" t="inlineStr">
        <is>
          <t>eng</t>
        </is>
      </c>
      <c r="P34" t="inlineStr">
        <is>
          <t>nyu</t>
        </is>
      </c>
      <c r="R34" t="inlineStr">
        <is>
          <t xml:space="preserve">PE </t>
        </is>
      </c>
      <c r="S34" t="n">
        <v>2</v>
      </c>
      <c r="T34" t="n">
        <v>2</v>
      </c>
      <c r="U34" t="inlineStr">
        <is>
          <t>1997-11-14</t>
        </is>
      </c>
      <c r="V34" t="inlineStr">
        <is>
          <t>1997-11-14</t>
        </is>
      </c>
      <c r="W34" t="inlineStr">
        <is>
          <t>1997-09-18</t>
        </is>
      </c>
      <c r="X34" t="inlineStr">
        <is>
          <t>1997-09-18</t>
        </is>
      </c>
      <c r="Y34" t="n">
        <v>250</v>
      </c>
      <c r="Z34" t="n">
        <v>225</v>
      </c>
      <c r="AA34" t="n">
        <v>226</v>
      </c>
      <c r="AB34" t="n">
        <v>3</v>
      </c>
      <c r="AC34" t="n">
        <v>3</v>
      </c>
      <c r="AD34" t="n">
        <v>8</v>
      </c>
      <c r="AE34" t="n">
        <v>8</v>
      </c>
      <c r="AF34" t="n">
        <v>2</v>
      </c>
      <c r="AG34" t="n">
        <v>2</v>
      </c>
      <c r="AH34" t="n">
        <v>3</v>
      </c>
      <c r="AI34" t="n">
        <v>3</v>
      </c>
      <c r="AJ34" t="n">
        <v>4</v>
      </c>
      <c r="AK34" t="n">
        <v>4</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HYPERLINK("https://creighton-primo.hosted.exlibrisgroup.com/primo-explore/search?tab=default_tab&amp;search_scope=EVERYTHING&amp;vid=01CRU&amp;lang=en_US&amp;offset=0&amp;query=any,contains,991003421429702656","Catalog Record")</f>
        <v/>
      </c>
      <c r="AT34">
        <f>HYPERLINK("http://www.worldcat.org/oclc/962593","WorldCat Record")</f>
        <v/>
      </c>
      <c r="AU34" t="inlineStr">
        <is>
          <t>966973:eng</t>
        </is>
      </c>
      <c r="AV34" t="inlineStr">
        <is>
          <t>962593</t>
        </is>
      </c>
      <c r="AW34" t="inlineStr">
        <is>
          <t>991003421429702656</t>
        </is>
      </c>
      <c r="AX34" t="inlineStr">
        <is>
          <t>991003421429702656</t>
        </is>
      </c>
      <c r="AY34" t="inlineStr">
        <is>
          <t>2260478200002656</t>
        </is>
      </c>
      <c r="AZ34" t="inlineStr">
        <is>
          <t>BOOK</t>
        </is>
      </c>
      <c r="BC34" t="inlineStr">
        <is>
          <t>32285003228730</t>
        </is>
      </c>
      <c r="BD34" t="inlineStr">
        <is>
          <t>893499272</t>
        </is>
      </c>
    </row>
    <row r="35">
      <c r="A35" t="inlineStr">
        <is>
          <t>No</t>
        </is>
      </c>
      <c r="B35" t="inlineStr">
        <is>
          <t>PE1075 .J4 1923a</t>
        </is>
      </c>
      <c r="C35" t="inlineStr">
        <is>
          <t>0                      PE 1075000J  4           1923a</t>
        </is>
      </c>
      <c r="D35" t="inlineStr">
        <is>
          <t>Growth and structure of the English language, by Otto Jespersen ...</t>
        </is>
      </c>
      <c r="F35" t="inlineStr">
        <is>
          <t>No</t>
        </is>
      </c>
      <c r="G35" t="inlineStr">
        <is>
          <t>1</t>
        </is>
      </c>
      <c r="H35" t="inlineStr">
        <is>
          <t>No</t>
        </is>
      </c>
      <c r="I35" t="inlineStr">
        <is>
          <t>No</t>
        </is>
      </c>
      <c r="J35" t="inlineStr">
        <is>
          <t>0</t>
        </is>
      </c>
      <c r="K35" t="inlineStr">
        <is>
          <t>Jespersen, Otto, 1860-1943.</t>
        </is>
      </c>
      <c r="L35" t="inlineStr">
        <is>
          <t>New York, D. Appleton and Company, 1923.</t>
        </is>
      </c>
      <c r="M35" t="inlineStr">
        <is>
          <t>1923</t>
        </is>
      </c>
      <c r="N35" t="inlineStr">
        <is>
          <t>4th ed.</t>
        </is>
      </c>
      <c r="O35" t="inlineStr">
        <is>
          <t>eng</t>
        </is>
      </c>
      <c r="P35" t="inlineStr">
        <is>
          <t>nyu</t>
        </is>
      </c>
      <c r="R35" t="inlineStr">
        <is>
          <t xml:space="preserve">PE </t>
        </is>
      </c>
      <c r="S35" t="n">
        <v>1</v>
      </c>
      <c r="T35" t="n">
        <v>1</v>
      </c>
      <c r="U35" t="inlineStr">
        <is>
          <t>1999-11-02</t>
        </is>
      </c>
      <c r="V35" t="inlineStr">
        <is>
          <t>1999-11-02</t>
        </is>
      </c>
      <c r="W35" t="inlineStr">
        <is>
          <t>1997-09-18</t>
        </is>
      </c>
      <c r="X35" t="inlineStr">
        <is>
          <t>1997-09-18</t>
        </is>
      </c>
      <c r="Y35" t="n">
        <v>274</v>
      </c>
      <c r="Z35" t="n">
        <v>265</v>
      </c>
      <c r="AA35" t="n">
        <v>1275</v>
      </c>
      <c r="AB35" t="n">
        <v>2</v>
      </c>
      <c r="AC35" t="n">
        <v>10</v>
      </c>
      <c r="AD35" t="n">
        <v>15</v>
      </c>
      <c r="AE35" t="n">
        <v>52</v>
      </c>
      <c r="AF35" t="n">
        <v>4</v>
      </c>
      <c r="AG35" t="n">
        <v>22</v>
      </c>
      <c r="AH35" t="n">
        <v>5</v>
      </c>
      <c r="AI35" t="n">
        <v>10</v>
      </c>
      <c r="AJ35" t="n">
        <v>8</v>
      </c>
      <c r="AK35" t="n">
        <v>24</v>
      </c>
      <c r="AL35" t="n">
        <v>1</v>
      </c>
      <c r="AM35" t="n">
        <v>8</v>
      </c>
      <c r="AN35" t="n">
        <v>0</v>
      </c>
      <c r="AO35" t="n">
        <v>0</v>
      </c>
      <c r="AP35" t="inlineStr">
        <is>
          <t>Yes</t>
        </is>
      </c>
      <c r="AQ35" t="inlineStr">
        <is>
          <t>No</t>
        </is>
      </c>
      <c r="AR35">
        <f>HYPERLINK("http://catalog.hathitrust.org/Record/000330460","HathiTrust Record")</f>
        <v/>
      </c>
      <c r="AS35">
        <f>HYPERLINK("https://creighton-primo.hosted.exlibrisgroup.com/primo-explore/search?tab=default_tab&amp;search_scope=EVERYTHING&amp;vid=01CRU&amp;lang=en_US&amp;offset=0&amp;query=any,contains,991002298589702656","Catalog Record")</f>
        <v/>
      </c>
      <c r="AT35">
        <f>HYPERLINK("http://www.worldcat.org/oclc/316824","WorldCat Record")</f>
        <v/>
      </c>
      <c r="AU35" t="inlineStr">
        <is>
          <t>418630:eng</t>
        </is>
      </c>
      <c r="AV35" t="inlineStr">
        <is>
          <t>316824</t>
        </is>
      </c>
      <c r="AW35" t="inlineStr">
        <is>
          <t>991002298589702656</t>
        </is>
      </c>
      <c r="AX35" t="inlineStr">
        <is>
          <t>991002298589702656</t>
        </is>
      </c>
      <c r="AY35" t="inlineStr">
        <is>
          <t>2269545330002656</t>
        </is>
      </c>
      <c r="AZ35" t="inlineStr">
        <is>
          <t>BOOK</t>
        </is>
      </c>
      <c r="BC35" t="inlineStr">
        <is>
          <t>32285003228748</t>
        </is>
      </c>
      <c r="BD35" t="inlineStr">
        <is>
          <t>893867040</t>
        </is>
      </c>
    </row>
    <row r="36">
      <c r="A36" t="inlineStr">
        <is>
          <t>No</t>
        </is>
      </c>
      <c r="B36" t="inlineStr">
        <is>
          <t>PE1075 .L37 1987</t>
        </is>
      </c>
      <c r="C36" t="inlineStr">
        <is>
          <t>0                      PE 1075000L  37          1987</t>
        </is>
      </c>
      <c r="D36" t="inlineStr">
        <is>
          <t>The shape of English : structure and history / Roger Lass.</t>
        </is>
      </c>
      <c r="F36" t="inlineStr">
        <is>
          <t>No</t>
        </is>
      </c>
      <c r="G36" t="inlineStr">
        <is>
          <t>1</t>
        </is>
      </c>
      <c r="H36" t="inlineStr">
        <is>
          <t>No</t>
        </is>
      </c>
      <c r="I36" t="inlineStr">
        <is>
          <t>No</t>
        </is>
      </c>
      <c r="J36" t="inlineStr">
        <is>
          <t>0</t>
        </is>
      </c>
      <c r="K36" t="inlineStr">
        <is>
          <t>Lass, Roger.</t>
        </is>
      </c>
      <c r="L36" t="inlineStr">
        <is>
          <t>London : Dent, 1987.</t>
        </is>
      </c>
      <c r="M36" t="inlineStr">
        <is>
          <t>1987</t>
        </is>
      </c>
      <c r="O36" t="inlineStr">
        <is>
          <t>eng</t>
        </is>
      </c>
      <c r="P36" t="inlineStr">
        <is>
          <t>enk</t>
        </is>
      </c>
      <c r="R36" t="inlineStr">
        <is>
          <t xml:space="preserve">PE </t>
        </is>
      </c>
      <c r="S36" t="n">
        <v>4</v>
      </c>
      <c r="T36" t="n">
        <v>4</v>
      </c>
      <c r="U36" t="inlineStr">
        <is>
          <t>1997-11-14</t>
        </is>
      </c>
      <c r="V36" t="inlineStr">
        <is>
          <t>1997-11-14</t>
        </is>
      </c>
      <c r="W36" t="inlineStr">
        <is>
          <t>1993-04-23</t>
        </is>
      </c>
      <c r="X36" t="inlineStr">
        <is>
          <t>1993-04-23</t>
        </is>
      </c>
      <c r="Y36" t="n">
        <v>243</v>
      </c>
      <c r="Z36" t="n">
        <v>102</v>
      </c>
      <c r="AA36" t="n">
        <v>102</v>
      </c>
      <c r="AB36" t="n">
        <v>2</v>
      </c>
      <c r="AC36" t="n">
        <v>2</v>
      </c>
      <c r="AD36" t="n">
        <v>3</v>
      </c>
      <c r="AE36" t="n">
        <v>3</v>
      </c>
      <c r="AF36" t="n">
        <v>0</v>
      </c>
      <c r="AG36" t="n">
        <v>0</v>
      </c>
      <c r="AH36" t="n">
        <v>1</v>
      </c>
      <c r="AI36" t="n">
        <v>1</v>
      </c>
      <c r="AJ36" t="n">
        <v>2</v>
      </c>
      <c r="AK36" t="n">
        <v>2</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HYPERLINK("https://creighton-primo.hosted.exlibrisgroup.com/primo-explore/search?tab=default_tab&amp;search_scope=EVERYTHING&amp;vid=01CRU&amp;lang=en_US&amp;offset=0&amp;query=any,contains,991001038479702656","Catalog Record")</f>
        <v/>
      </c>
      <c r="AT36">
        <f>HYPERLINK("http://www.worldcat.org/oclc/18837107","WorldCat Record")</f>
        <v/>
      </c>
      <c r="AU36" t="inlineStr">
        <is>
          <t>837145145:eng</t>
        </is>
      </c>
      <c r="AV36" t="inlineStr">
        <is>
          <t>18837107</t>
        </is>
      </c>
      <c r="AW36" t="inlineStr">
        <is>
          <t>991001038479702656</t>
        </is>
      </c>
      <c r="AX36" t="inlineStr">
        <is>
          <t>991001038479702656</t>
        </is>
      </c>
      <c r="AY36" t="inlineStr">
        <is>
          <t>2256253180002656</t>
        </is>
      </c>
      <c r="AZ36" t="inlineStr">
        <is>
          <t>BOOK</t>
        </is>
      </c>
      <c r="BB36" t="inlineStr">
        <is>
          <t>9780460046848</t>
        </is>
      </c>
      <c r="BC36" t="inlineStr">
        <is>
          <t>32285001646255</t>
        </is>
      </c>
      <c r="BD36" t="inlineStr">
        <is>
          <t>893696406</t>
        </is>
      </c>
    </row>
    <row r="37">
      <c r="A37" t="inlineStr">
        <is>
          <t>No</t>
        </is>
      </c>
      <c r="B37" t="inlineStr">
        <is>
          <t>PE1075 .M58 1986</t>
        </is>
      </c>
      <c r="C37" t="inlineStr">
        <is>
          <t>0                      PE 1075000M  58          1986</t>
        </is>
      </c>
      <c r="D37" t="inlineStr">
        <is>
          <t>The story of English / Robert McCrum, William Cran, Robert MacNeil.</t>
        </is>
      </c>
      <c r="F37" t="inlineStr">
        <is>
          <t>No</t>
        </is>
      </c>
      <c r="G37" t="inlineStr">
        <is>
          <t>1</t>
        </is>
      </c>
      <c r="H37" t="inlineStr">
        <is>
          <t>No</t>
        </is>
      </c>
      <c r="I37" t="inlineStr">
        <is>
          <t>Yes</t>
        </is>
      </c>
      <c r="J37" t="inlineStr">
        <is>
          <t>0</t>
        </is>
      </c>
      <c r="K37" t="inlineStr">
        <is>
          <t>McCrum, Robert.</t>
        </is>
      </c>
      <c r="L37" t="inlineStr">
        <is>
          <t>New York, NY : Viking, 1986.</t>
        </is>
      </c>
      <c r="M37" t="inlineStr">
        <is>
          <t>1986</t>
        </is>
      </c>
      <c r="O37" t="inlineStr">
        <is>
          <t>eng</t>
        </is>
      </c>
      <c r="P37" t="inlineStr">
        <is>
          <t>nyu</t>
        </is>
      </c>
      <c r="R37" t="inlineStr">
        <is>
          <t xml:space="preserve">PE </t>
        </is>
      </c>
      <c r="S37" t="n">
        <v>7</v>
      </c>
      <c r="T37" t="n">
        <v>7</v>
      </c>
      <c r="U37" t="inlineStr">
        <is>
          <t>2009-10-26</t>
        </is>
      </c>
      <c r="V37" t="inlineStr">
        <is>
          <t>2009-10-26</t>
        </is>
      </c>
      <c r="W37" t="inlineStr">
        <is>
          <t>1991-10-28</t>
        </is>
      </c>
      <c r="X37" t="inlineStr">
        <is>
          <t>1991-10-28</t>
        </is>
      </c>
      <c r="Y37" t="n">
        <v>3006</v>
      </c>
      <c r="Z37" t="n">
        <v>2876</v>
      </c>
      <c r="AA37" t="n">
        <v>3475</v>
      </c>
      <c r="AB37" t="n">
        <v>27</v>
      </c>
      <c r="AC37" t="n">
        <v>34</v>
      </c>
      <c r="AD37" t="n">
        <v>58</v>
      </c>
      <c r="AE37" t="n">
        <v>63</v>
      </c>
      <c r="AF37" t="n">
        <v>24</v>
      </c>
      <c r="AG37" t="n">
        <v>26</v>
      </c>
      <c r="AH37" t="n">
        <v>7</v>
      </c>
      <c r="AI37" t="n">
        <v>9</v>
      </c>
      <c r="AJ37" t="n">
        <v>22</v>
      </c>
      <c r="AK37" t="n">
        <v>23</v>
      </c>
      <c r="AL37" t="n">
        <v>13</v>
      </c>
      <c r="AM37" t="n">
        <v>14</v>
      </c>
      <c r="AN37" t="n">
        <v>2</v>
      </c>
      <c r="AO37" t="n">
        <v>2</v>
      </c>
      <c r="AP37" t="inlineStr">
        <is>
          <t>No</t>
        </is>
      </c>
      <c r="AQ37" t="inlineStr">
        <is>
          <t>Yes</t>
        </is>
      </c>
      <c r="AR37">
        <f>HYPERLINK("http://catalog.hathitrust.org/Record/000871930","HathiTrust Record")</f>
        <v/>
      </c>
      <c r="AS37">
        <f>HYPERLINK("https://creighton-primo.hosted.exlibrisgroup.com/primo-explore/search?tab=default_tab&amp;search_scope=EVERYTHING&amp;vid=01CRU&amp;lang=en_US&amp;offset=0&amp;query=any,contains,991000831269702656","Catalog Record")</f>
        <v/>
      </c>
      <c r="AT37">
        <f>HYPERLINK("http://www.worldcat.org/oclc/13455507","WorldCat Record")</f>
        <v/>
      </c>
      <c r="AU37" t="inlineStr">
        <is>
          <t>985370:eng</t>
        </is>
      </c>
      <c r="AV37" t="inlineStr">
        <is>
          <t>13455507</t>
        </is>
      </c>
      <c r="AW37" t="inlineStr">
        <is>
          <t>991000831269702656</t>
        </is>
      </c>
      <c r="AX37" t="inlineStr">
        <is>
          <t>991000831269702656</t>
        </is>
      </c>
      <c r="AY37" t="inlineStr">
        <is>
          <t>2263590160002656</t>
        </is>
      </c>
      <c r="AZ37" t="inlineStr">
        <is>
          <t>BOOK</t>
        </is>
      </c>
      <c r="BB37" t="inlineStr">
        <is>
          <t>9780670804672</t>
        </is>
      </c>
      <c r="BC37" t="inlineStr">
        <is>
          <t>32285000801828</t>
        </is>
      </c>
      <c r="BD37" t="inlineStr">
        <is>
          <t>893426085</t>
        </is>
      </c>
    </row>
    <row r="38">
      <c r="A38" t="inlineStr">
        <is>
          <t>No</t>
        </is>
      </c>
      <c r="B38" t="inlineStr">
        <is>
          <t>PE1075 .M58 2003</t>
        </is>
      </c>
      <c r="C38" t="inlineStr">
        <is>
          <t>0                      PE 1075000M  58          2003</t>
        </is>
      </c>
      <c r="D38" t="inlineStr">
        <is>
          <t>The story of English / Robert McCrum, Willam Cran, Robert MacNeil.</t>
        </is>
      </c>
      <c r="F38" t="inlineStr">
        <is>
          <t>No</t>
        </is>
      </c>
      <c r="G38" t="inlineStr">
        <is>
          <t>1</t>
        </is>
      </c>
      <c r="H38" t="inlineStr">
        <is>
          <t>No</t>
        </is>
      </c>
      <c r="I38" t="inlineStr">
        <is>
          <t>Yes</t>
        </is>
      </c>
      <c r="J38" t="inlineStr">
        <is>
          <t>0</t>
        </is>
      </c>
      <c r="K38" t="inlineStr">
        <is>
          <t>McCrum, Robert.</t>
        </is>
      </c>
      <c r="L38" t="inlineStr">
        <is>
          <t>New York : Penguin Books, 2003.</t>
        </is>
      </c>
      <c r="M38" t="inlineStr">
        <is>
          <t>2003</t>
        </is>
      </c>
      <c r="N38" t="inlineStr">
        <is>
          <t>3rd rev. ed.</t>
        </is>
      </c>
      <c r="O38" t="inlineStr">
        <is>
          <t>eng</t>
        </is>
      </c>
      <c r="P38" t="inlineStr">
        <is>
          <t>nyu</t>
        </is>
      </c>
      <c r="R38" t="inlineStr">
        <is>
          <t xml:space="preserve">PE </t>
        </is>
      </c>
      <c r="S38" t="n">
        <v>8</v>
      </c>
      <c r="T38" t="n">
        <v>8</v>
      </c>
      <c r="U38" t="inlineStr">
        <is>
          <t>2009-10-26</t>
        </is>
      </c>
      <c r="V38" t="inlineStr">
        <is>
          <t>2009-10-26</t>
        </is>
      </c>
      <c r="W38" t="inlineStr">
        <is>
          <t>2003-02-19</t>
        </is>
      </c>
      <c r="X38" t="inlineStr">
        <is>
          <t>2003-02-19</t>
        </is>
      </c>
      <c r="Y38" t="n">
        <v>467</v>
      </c>
      <c r="Z38" t="n">
        <v>414</v>
      </c>
      <c r="AA38" t="n">
        <v>3475</v>
      </c>
      <c r="AB38" t="n">
        <v>5</v>
      </c>
      <c r="AC38" t="n">
        <v>34</v>
      </c>
      <c r="AD38" t="n">
        <v>11</v>
      </c>
      <c r="AE38" t="n">
        <v>63</v>
      </c>
      <c r="AF38" t="n">
        <v>3</v>
      </c>
      <c r="AG38" t="n">
        <v>26</v>
      </c>
      <c r="AH38" t="n">
        <v>5</v>
      </c>
      <c r="AI38" t="n">
        <v>9</v>
      </c>
      <c r="AJ38" t="n">
        <v>4</v>
      </c>
      <c r="AK38" t="n">
        <v>23</v>
      </c>
      <c r="AL38" t="n">
        <v>3</v>
      </c>
      <c r="AM38" t="n">
        <v>14</v>
      </c>
      <c r="AN38" t="n">
        <v>0</v>
      </c>
      <c r="AO38" t="n">
        <v>2</v>
      </c>
      <c r="AP38" t="inlineStr">
        <is>
          <t>No</t>
        </is>
      </c>
      <c r="AQ38" t="inlineStr">
        <is>
          <t>Yes</t>
        </is>
      </c>
      <c r="AR38">
        <f>HYPERLINK("http://catalog.hathitrust.org/Record/004311447","HathiTrust Record")</f>
        <v/>
      </c>
      <c r="AS38">
        <f>HYPERLINK("https://creighton-primo.hosted.exlibrisgroup.com/primo-explore/search?tab=default_tab&amp;search_scope=EVERYTHING&amp;vid=01CRU&amp;lang=en_US&amp;offset=0&amp;query=any,contains,991003979359702656","Catalog Record")</f>
        <v/>
      </c>
      <c r="AT38">
        <f>HYPERLINK("http://www.worldcat.org/oclc/50348116","WorldCat Record")</f>
        <v/>
      </c>
      <c r="AU38" t="inlineStr">
        <is>
          <t>985370:eng</t>
        </is>
      </c>
      <c r="AV38" t="inlineStr">
        <is>
          <t>50348116</t>
        </is>
      </c>
      <c r="AW38" t="inlineStr">
        <is>
          <t>991003979359702656</t>
        </is>
      </c>
      <c r="AX38" t="inlineStr">
        <is>
          <t>991003979359702656</t>
        </is>
      </c>
      <c r="AY38" t="inlineStr">
        <is>
          <t>2260051860002656</t>
        </is>
      </c>
      <c r="AZ38" t="inlineStr">
        <is>
          <t>BOOK</t>
        </is>
      </c>
      <c r="BB38" t="inlineStr">
        <is>
          <t>9780142002315</t>
        </is>
      </c>
      <c r="BC38" t="inlineStr">
        <is>
          <t>32285004699491</t>
        </is>
      </c>
      <c r="BD38" t="inlineStr">
        <is>
          <t>893349454</t>
        </is>
      </c>
    </row>
    <row r="39">
      <c r="A39" t="inlineStr">
        <is>
          <t>No</t>
        </is>
      </c>
      <c r="B39" t="inlineStr">
        <is>
          <t>PE1075.5 .B87 2000</t>
        </is>
      </c>
      <c r="C39" t="inlineStr">
        <is>
          <t>0                      PE 1075500B  87          2000</t>
        </is>
      </c>
      <c r="D39" t="inlineStr">
        <is>
          <t>The history of the English language : a source book / David Burnley.</t>
        </is>
      </c>
      <c r="F39" t="inlineStr">
        <is>
          <t>No</t>
        </is>
      </c>
      <c r="G39" t="inlineStr">
        <is>
          <t>1</t>
        </is>
      </c>
      <c r="H39" t="inlineStr">
        <is>
          <t>No</t>
        </is>
      </c>
      <c r="I39" t="inlineStr">
        <is>
          <t>No</t>
        </is>
      </c>
      <c r="J39" t="inlineStr">
        <is>
          <t>0</t>
        </is>
      </c>
      <c r="K39" t="inlineStr">
        <is>
          <t>Burnley, J. D.</t>
        </is>
      </c>
      <c r="L39" t="inlineStr">
        <is>
          <t>Harlow, England ; New York : Longman, 2000.</t>
        </is>
      </c>
      <c r="M39" t="inlineStr">
        <is>
          <t>2000</t>
        </is>
      </c>
      <c r="N39" t="inlineStr">
        <is>
          <t>2nd ed.</t>
        </is>
      </c>
      <c r="O39" t="inlineStr">
        <is>
          <t>eng</t>
        </is>
      </c>
      <c r="P39" t="inlineStr">
        <is>
          <t>enk</t>
        </is>
      </c>
      <c r="R39" t="inlineStr">
        <is>
          <t xml:space="preserve">PE </t>
        </is>
      </c>
      <c r="S39" t="n">
        <v>1</v>
      </c>
      <c r="T39" t="n">
        <v>1</v>
      </c>
      <c r="U39" t="inlineStr">
        <is>
          <t>2002-05-13</t>
        </is>
      </c>
      <c r="V39" t="inlineStr">
        <is>
          <t>2002-05-13</t>
        </is>
      </c>
      <c r="W39" t="inlineStr">
        <is>
          <t>2002-05-06</t>
        </is>
      </c>
      <c r="X39" t="inlineStr">
        <is>
          <t>2002-05-06</t>
        </is>
      </c>
      <c r="Y39" t="n">
        <v>221</v>
      </c>
      <c r="Z39" t="n">
        <v>138</v>
      </c>
      <c r="AA39" t="n">
        <v>439</v>
      </c>
      <c r="AB39" t="n">
        <v>3</v>
      </c>
      <c r="AC39" t="n">
        <v>7</v>
      </c>
      <c r="AD39" t="n">
        <v>10</v>
      </c>
      <c r="AE39" t="n">
        <v>29</v>
      </c>
      <c r="AF39" t="n">
        <v>4</v>
      </c>
      <c r="AG39" t="n">
        <v>12</v>
      </c>
      <c r="AH39" t="n">
        <v>1</v>
      </c>
      <c r="AI39" t="n">
        <v>8</v>
      </c>
      <c r="AJ39" t="n">
        <v>6</v>
      </c>
      <c r="AK39" t="n">
        <v>10</v>
      </c>
      <c r="AL39" t="n">
        <v>2</v>
      </c>
      <c r="AM39" t="n">
        <v>6</v>
      </c>
      <c r="AN39" t="n">
        <v>0</v>
      </c>
      <c r="AO39" t="n">
        <v>0</v>
      </c>
      <c r="AP39" t="inlineStr">
        <is>
          <t>No</t>
        </is>
      </c>
      <c r="AQ39" t="inlineStr">
        <is>
          <t>No</t>
        </is>
      </c>
      <c r="AS39">
        <f>HYPERLINK("https://creighton-primo.hosted.exlibrisgroup.com/primo-explore/search?tab=default_tab&amp;search_scope=EVERYTHING&amp;vid=01CRU&amp;lang=en_US&amp;offset=0&amp;query=any,contains,991003790409702656","Catalog Record")</f>
        <v/>
      </c>
      <c r="AT39">
        <f>HYPERLINK("http://www.worldcat.org/oclc/43552833","WorldCat Record")</f>
        <v/>
      </c>
      <c r="AU39" t="inlineStr">
        <is>
          <t>4919141093:eng</t>
        </is>
      </c>
      <c r="AV39" t="inlineStr">
        <is>
          <t>43552833</t>
        </is>
      </c>
      <c r="AW39" t="inlineStr">
        <is>
          <t>991003790409702656</t>
        </is>
      </c>
      <c r="AX39" t="inlineStr">
        <is>
          <t>991003790409702656</t>
        </is>
      </c>
      <c r="AY39" t="inlineStr">
        <is>
          <t>2255147430002656</t>
        </is>
      </c>
      <c r="AZ39" t="inlineStr">
        <is>
          <t>BOOK</t>
        </is>
      </c>
      <c r="BB39" t="inlineStr">
        <is>
          <t>9780582312630</t>
        </is>
      </c>
      <c r="BC39" t="inlineStr">
        <is>
          <t>32285004485677</t>
        </is>
      </c>
      <c r="BD39" t="inlineStr">
        <is>
          <t>893422978</t>
        </is>
      </c>
    </row>
    <row r="40">
      <c r="A40" t="inlineStr">
        <is>
          <t>No</t>
        </is>
      </c>
      <c r="B40" t="inlineStr">
        <is>
          <t>PE1075.5 .L3</t>
        </is>
      </c>
      <c r="C40" t="inlineStr">
        <is>
          <t>0                      PE 1075500L  3</t>
        </is>
      </c>
      <c r="D40" t="inlineStr">
        <is>
          <t>English as language: backgrounds, development, usage [by] Charlton Laird [and] Robert M. Gorrell.</t>
        </is>
      </c>
      <c r="F40" t="inlineStr">
        <is>
          <t>No</t>
        </is>
      </c>
      <c r="G40" t="inlineStr">
        <is>
          <t>1</t>
        </is>
      </c>
      <c r="H40" t="inlineStr">
        <is>
          <t>No</t>
        </is>
      </c>
      <c r="I40" t="inlineStr">
        <is>
          <t>No</t>
        </is>
      </c>
      <c r="J40" t="inlineStr">
        <is>
          <t>0</t>
        </is>
      </c>
      <c r="K40" t="inlineStr">
        <is>
          <t>Laird, Charlton, 1901-1984, editor.</t>
        </is>
      </c>
      <c r="L40" t="inlineStr">
        <is>
          <t>New York, Harcourt, Brace &amp; World [1961]</t>
        </is>
      </c>
      <c r="M40" t="inlineStr">
        <is>
          <t>1961</t>
        </is>
      </c>
      <c r="O40" t="inlineStr">
        <is>
          <t>eng</t>
        </is>
      </c>
      <c r="P40" t="inlineStr">
        <is>
          <t>nyu</t>
        </is>
      </c>
      <c r="Q40" t="inlineStr">
        <is>
          <t>Harbrace sourcebooks</t>
        </is>
      </c>
      <c r="R40" t="inlineStr">
        <is>
          <t xml:space="preserve">PE </t>
        </is>
      </c>
      <c r="S40" t="n">
        <v>3</v>
      </c>
      <c r="T40" t="n">
        <v>3</v>
      </c>
      <c r="U40" t="inlineStr">
        <is>
          <t>2005-04-07</t>
        </is>
      </c>
      <c r="V40" t="inlineStr">
        <is>
          <t>2005-04-07</t>
        </is>
      </c>
      <c r="W40" t="inlineStr">
        <is>
          <t>1997-11-13</t>
        </is>
      </c>
      <c r="X40" t="inlineStr">
        <is>
          <t>1997-11-13</t>
        </is>
      </c>
      <c r="Y40" t="n">
        <v>560</v>
      </c>
      <c r="Z40" t="n">
        <v>501</v>
      </c>
      <c r="AA40" t="n">
        <v>507</v>
      </c>
      <c r="AB40" t="n">
        <v>6</v>
      </c>
      <c r="AC40" t="n">
        <v>6</v>
      </c>
      <c r="AD40" t="n">
        <v>26</v>
      </c>
      <c r="AE40" t="n">
        <v>26</v>
      </c>
      <c r="AF40" t="n">
        <v>6</v>
      </c>
      <c r="AG40" t="n">
        <v>6</v>
      </c>
      <c r="AH40" t="n">
        <v>7</v>
      </c>
      <c r="AI40" t="n">
        <v>7</v>
      </c>
      <c r="AJ40" t="n">
        <v>12</v>
      </c>
      <c r="AK40" t="n">
        <v>12</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HYPERLINK("https://creighton-primo.hosted.exlibrisgroup.com/primo-explore/search?tab=default_tab&amp;search_scope=EVERYTHING&amp;vid=01CRU&amp;lang=en_US&amp;offset=0&amp;query=any,contains,991003427939702656","Catalog Record")</f>
        <v/>
      </c>
      <c r="AT40">
        <f>HYPERLINK("http://www.worldcat.org/oclc/964933","WorldCat Record")</f>
        <v/>
      </c>
      <c r="AU40" t="inlineStr">
        <is>
          <t>1918822:eng</t>
        </is>
      </c>
      <c r="AV40" t="inlineStr">
        <is>
          <t>964933</t>
        </is>
      </c>
      <c r="AW40" t="inlineStr">
        <is>
          <t>991003427939702656</t>
        </is>
      </c>
      <c r="AX40" t="inlineStr">
        <is>
          <t>991003427939702656</t>
        </is>
      </c>
      <c r="AY40" t="inlineStr">
        <is>
          <t>2261755730002656</t>
        </is>
      </c>
      <c r="AZ40" t="inlineStr">
        <is>
          <t>BOOK</t>
        </is>
      </c>
      <c r="BC40" t="inlineStr">
        <is>
          <t>32285003279451</t>
        </is>
      </c>
      <c r="BD40" t="inlineStr">
        <is>
          <t>893899961</t>
        </is>
      </c>
    </row>
    <row r="41">
      <c r="A41" t="inlineStr">
        <is>
          <t>No</t>
        </is>
      </c>
      <c r="B41" t="inlineStr">
        <is>
          <t>PE1087 .P3 1968</t>
        </is>
      </c>
      <c r="C41" t="inlineStr">
        <is>
          <t>0                      PE 1087000P  3           1968</t>
        </is>
      </c>
      <c r="D41" t="inlineStr">
        <is>
          <t>British and American English since 1900, by Eric Partridge and John W. Clark. With contributions on English in Canada, South Africa, Australia, New Zealand, and India.</t>
        </is>
      </c>
      <c r="F41" t="inlineStr">
        <is>
          <t>No</t>
        </is>
      </c>
      <c r="G41" t="inlineStr">
        <is>
          <t>1</t>
        </is>
      </c>
      <c r="H41" t="inlineStr">
        <is>
          <t>No</t>
        </is>
      </c>
      <c r="I41" t="inlineStr">
        <is>
          <t>No</t>
        </is>
      </c>
      <c r="J41" t="inlineStr">
        <is>
          <t>0</t>
        </is>
      </c>
      <c r="K41" t="inlineStr">
        <is>
          <t>Partridge, Eric, 1894-1979.</t>
        </is>
      </c>
      <c r="L41" t="inlineStr">
        <is>
          <t>New York, Greenwood Press, 1968 [c1951]</t>
        </is>
      </c>
      <c r="M41" t="inlineStr">
        <is>
          <t>1968</t>
        </is>
      </c>
      <c r="O41" t="inlineStr">
        <is>
          <t>eng</t>
        </is>
      </c>
      <c r="P41" t="inlineStr">
        <is>
          <t>nyu</t>
        </is>
      </c>
      <c r="R41" t="inlineStr">
        <is>
          <t xml:space="preserve">PE </t>
        </is>
      </c>
      <c r="S41" t="n">
        <v>1</v>
      </c>
      <c r="T41" t="n">
        <v>1</v>
      </c>
      <c r="U41" t="inlineStr">
        <is>
          <t>2005-06-14</t>
        </is>
      </c>
      <c r="V41" t="inlineStr">
        <is>
          <t>2005-06-14</t>
        </is>
      </c>
      <c r="W41" t="inlineStr">
        <is>
          <t>1997-09-18</t>
        </is>
      </c>
      <c r="X41" t="inlineStr">
        <is>
          <t>1997-09-18</t>
        </is>
      </c>
      <c r="Y41" t="n">
        <v>264</v>
      </c>
      <c r="Z41" t="n">
        <v>214</v>
      </c>
      <c r="AA41" t="n">
        <v>622</v>
      </c>
      <c r="AB41" t="n">
        <v>1</v>
      </c>
      <c r="AC41" t="n">
        <v>7</v>
      </c>
      <c r="AD41" t="n">
        <v>4</v>
      </c>
      <c r="AE41" t="n">
        <v>35</v>
      </c>
      <c r="AF41" t="n">
        <v>3</v>
      </c>
      <c r="AG41" t="n">
        <v>13</v>
      </c>
      <c r="AH41" t="n">
        <v>1</v>
      </c>
      <c r="AI41" t="n">
        <v>9</v>
      </c>
      <c r="AJ41" t="n">
        <v>1</v>
      </c>
      <c r="AK41" t="n">
        <v>15</v>
      </c>
      <c r="AL41" t="n">
        <v>0</v>
      </c>
      <c r="AM41" t="n">
        <v>6</v>
      </c>
      <c r="AN41" t="n">
        <v>0</v>
      </c>
      <c r="AO41" t="n">
        <v>0</v>
      </c>
      <c r="AP41" t="inlineStr">
        <is>
          <t>No</t>
        </is>
      </c>
      <c r="AQ41" t="inlineStr">
        <is>
          <t>No</t>
        </is>
      </c>
      <c r="AS41">
        <f>HYPERLINK("https://creighton-primo.hosted.exlibrisgroup.com/primo-explore/search?tab=default_tab&amp;search_scope=EVERYTHING&amp;vid=01CRU&amp;lang=en_US&amp;offset=0&amp;query=any,contains,991001191899702656","Catalog Record")</f>
        <v/>
      </c>
      <c r="AT41">
        <f>HYPERLINK("http://www.worldcat.org/oclc/191216","WorldCat Record")</f>
        <v/>
      </c>
      <c r="AU41" t="inlineStr">
        <is>
          <t>499297:eng</t>
        </is>
      </c>
      <c r="AV41" t="inlineStr">
        <is>
          <t>191216</t>
        </is>
      </c>
      <c r="AW41" t="inlineStr">
        <is>
          <t>991001191899702656</t>
        </is>
      </c>
      <c r="AX41" t="inlineStr">
        <is>
          <t>991001191899702656</t>
        </is>
      </c>
      <c r="AY41" t="inlineStr">
        <is>
          <t>2258776530002656</t>
        </is>
      </c>
      <c r="AZ41" t="inlineStr">
        <is>
          <t>BOOK</t>
        </is>
      </c>
      <c r="BC41" t="inlineStr">
        <is>
          <t>32285003228995</t>
        </is>
      </c>
      <c r="BD41" t="inlineStr">
        <is>
          <t>893346327</t>
        </is>
      </c>
    </row>
    <row r="42">
      <c r="A42" t="inlineStr">
        <is>
          <t>No</t>
        </is>
      </c>
      <c r="B42" t="inlineStr">
        <is>
          <t>PE1091 .H8</t>
        </is>
      </c>
      <c r="C42" t="inlineStr">
        <is>
          <t>0                      PE 1091000H  8</t>
        </is>
      </c>
      <c r="D42" t="inlineStr">
        <is>
          <t>A new self-teaching course in practical English and effective speech, comprising vocabulary development, grammar, pronunciation, enunciation and the fundamental principles of effective oral expression, by Estelle B. Hunter. Lesson 1[-15]</t>
        </is>
      </c>
      <c r="F42" t="inlineStr">
        <is>
          <t>Yes</t>
        </is>
      </c>
      <c r="G42" t="inlineStr">
        <is>
          <t>1</t>
        </is>
      </c>
      <c r="H42" t="inlineStr">
        <is>
          <t>No</t>
        </is>
      </c>
      <c r="I42" t="inlineStr">
        <is>
          <t>No</t>
        </is>
      </c>
      <c r="J42" t="inlineStr">
        <is>
          <t>0</t>
        </is>
      </c>
      <c r="K42" t="inlineStr">
        <is>
          <t>Hunter, Estelle B. (Estelle Belle), 1885-1974.</t>
        </is>
      </c>
      <c r="L42" t="inlineStr">
        <is>
          <t>Chicago, Better-speech Institute of America [c1935]</t>
        </is>
      </c>
      <c r="M42" t="inlineStr">
        <is>
          <t>1935</t>
        </is>
      </c>
      <c r="O42" t="inlineStr">
        <is>
          <t>eng</t>
        </is>
      </c>
      <c r="P42" t="inlineStr">
        <is>
          <t>ilu</t>
        </is>
      </c>
      <c r="R42" t="inlineStr">
        <is>
          <t xml:space="preserve">PE </t>
        </is>
      </c>
      <c r="S42" t="n">
        <v>4</v>
      </c>
      <c r="T42" t="n">
        <v>4</v>
      </c>
      <c r="U42" t="inlineStr">
        <is>
          <t>1999-09-13</t>
        </is>
      </c>
      <c r="V42" t="inlineStr">
        <is>
          <t>1999-09-13</t>
        </is>
      </c>
      <c r="W42" t="inlineStr">
        <is>
          <t>1997-09-18</t>
        </is>
      </c>
      <c r="X42" t="inlineStr">
        <is>
          <t>1997-09-18</t>
        </is>
      </c>
      <c r="Y42" t="n">
        <v>36</v>
      </c>
      <c r="Z42" t="n">
        <v>32</v>
      </c>
      <c r="AA42" t="n">
        <v>113</v>
      </c>
      <c r="AB42" t="n">
        <v>2</v>
      </c>
      <c r="AC42" t="n">
        <v>2</v>
      </c>
      <c r="AD42" t="n">
        <v>1</v>
      </c>
      <c r="AE42" t="n">
        <v>4</v>
      </c>
      <c r="AF42" t="n">
        <v>0</v>
      </c>
      <c r="AG42" t="n">
        <v>1</v>
      </c>
      <c r="AH42" t="n">
        <v>0</v>
      </c>
      <c r="AI42" t="n">
        <v>1</v>
      </c>
      <c r="AJ42" t="n">
        <v>0</v>
      </c>
      <c r="AK42" t="n">
        <v>1</v>
      </c>
      <c r="AL42" t="n">
        <v>1</v>
      </c>
      <c r="AM42" t="n">
        <v>1</v>
      </c>
      <c r="AN42" t="n">
        <v>0</v>
      </c>
      <c r="AO42" t="n">
        <v>1</v>
      </c>
      <c r="AP42" t="inlineStr">
        <is>
          <t>No</t>
        </is>
      </c>
      <c r="AQ42" t="inlineStr">
        <is>
          <t>No</t>
        </is>
      </c>
      <c r="AS42">
        <f>HYPERLINK("https://creighton-primo.hosted.exlibrisgroup.com/primo-explore/search?tab=default_tab&amp;search_scope=EVERYTHING&amp;vid=01CRU&amp;lang=en_US&amp;offset=0&amp;query=any,contains,991004310189702656","Catalog Record")</f>
        <v/>
      </c>
      <c r="AT42">
        <f>HYPERLINK("http://www.worldcat.org/oclc/2989840","WorldCat Record")</f>
        <v/>
      </c>
      <c r="AU42" t="inlineStr">
        <is>
          <t>2668890:eng</t>
        </is>
      </c>
      <c r="AV42" t="inlineStr">
        <is>
          <t>2989840</t>
        </is>
      </c>
      <c r="AW42" t="inlineStr">
        <is>
          <t>991004310189702656</t>
        </is>
      </c>
      <c r="AX42" t="inlineStr">
        <is>
          <t>991004310189702656</t>
        </is>
      </c>
      <c r="AY42" t="inlineStr">
        <is>
          <t>2262731130002656</t>
        </is>
      </c>
      <c r="AZ42" t="inlineStr">
        <is>
          <t>BOOK</t>
        </is>
      </c>
      <c r="BC42" t="inlineStr">
        <is>
          <t>32285003229001</t>
        </is>
      </c>
      <c r="BD42" t="inlineStr">
        <is>
          <t>893532245</t>
        </is>
      </c>
    </row>
    <row r="43">
      <c r="A43" t="inlineStr">
        <is>
          <t>No</t>
        </is>
      </c>
      <c r="B43" t="inlineStr">
        <is>
          <t>PE1091 .M9</t>
        </is>
      </c>
      <c r="C43" t="inlineStr">
        <is>
          <t>0                      PE 1091000M  9</t>
        </is>
      </c>
      <c r="D43" t="inlineStr">
        <is>
          <t>The foundations of English.</t>
        </is>
      </c>
      <c r="F43" t="inlineStr">
        <is>
          <t>No</t>
        </is>
      </c>
      <c r="G43" t="inlineStr">
        <is>
          <t>1</t>
        </is>
      </c>
      <c r="H43" t="inlineStr">
        <is>
          <t>No</t>
        </is>
      </c>
      <c r="I43" t="inlineStr">
        <is>
          <t>No</t>
        </is>
      </c>
      <c r="J43" t="inlineStr">
        <is>
          <t>0</t>
        </is>
      </c>
      <c r="K43" t="inlineStr">
        <is>
          <t>Myers, Edward D. (Edward DeLos)</t>
        </is>
      </c>
      <c r="L43" t="inlineStr">
        <is>
          <t>New York, The Macmillan Company, 1940.</t>
        </is>
      </c>
      <c r="M43" t="inlineStr">
        <is>
          <t>1940</t>
        </is>
      </c>
      <c r="O43" t="inlineStr">
        <is>
          <t>eng</t>
        </is>
      </c>
      <c r="P43" t="inlineStr">
        <is>
          <t>nyu</t>
        </is>
      </c>
      <c r="R43" t="inlineStr">
        <is>
          <t xml:space="preserve">PE </t>
        </is>
      </c>
      <c r="S43" t="n">
        <v>1</v>
      </c>
      <c r="T43" t="n">
        <v>1</v>
      </c>
      <c r="U43" t="inlineStr">
        <is>
          <t>2005-06-14</t>
        </is>
      </c>
      <c r="V43" t="inlineStr">
        <is>
          <t>2005-06-14</t>
        </is>
      </c>
      <c r="W43" t="inlineStr">
        <is>
          <t>1997-09-18</t>
        </is>
      </c>
      <c r="X43" t="inlineStr">
        <is>
          <t>1997-09-18</t>
        </is>
      </c>
      <c r="Y43" t="n">
        <v>351</v>
      </c>
      <c r="Z43" t="n">
        <v>324</v>
      </c>
      <c r="AA43" t="n">
        <v>332</v>
      </c>
      <c r="AB43" t="n">
        <v>4</v>
      </c>
      <c r="AC43" t="n">
        <v>4</v>
      </c>
      <c r="AD43" t="n">
        <v>20</v>
      </c>
      <c r="AE43" t="n">
        <v>20</v>
      </c>
      <c r="AF43" t="n">
        <v>4</v>
      </c>
      <c r="AG43" t="n">
        <v>4</v>
      </c>
      <c r="AH43" t="n">
        <v>4</v>
      </c>
      <c r="AI43" t="n">
        <v>4</v>
      </c>
      <c r="AJ43" t="n">
        <v>12</v>
      </c>
      <c r="AK43" t="n">
        <v>12</v>
      </c>
      <c r="AL43" t="n">
        <v>3</v>
      </c>
      <c r="AM43" t="n">
        <v>3</v>
      </c>
      <c r="AN43" t="n">
        <v>0</v>
      </c>
      <c r="AO43" t="n">
        <v>0</v>
      </c>
      <c r="AP43" t="inlineStr">
        <is>
          <t>No</t>
        </is>
      </c>
      <c r="AQ43" t="inlineStr">
        <is>
          <t>Yes</t>
        </is>
      </c>
      <c r="AR43">
        <f>HYPERLINK("http://catalog.hathitrust.org/Record/001440945","HathiTrust Record")</f>
        <v/>
      </c>
      <c r="AS43">
        <f>HYPERLINK("https://creighton-primo.hosted.exlibrisgroup.com/primo-explore/search?tab=default_tab&amp;search_scope=EVERYTHING&amp;vid=01CRU&amp;lang=en_US&amp;offset=0&amp;query=any,contains,991002299089702656","Catalog Record")</f>
        <v/>
      </c>
      <c r="AT43">
        <f>HYPERLINK("http://www.worldcat.org/oclc/316874","WorldCat Record")</f>
        <v/>
      </c>
      <c r="AU43" t="inlineStr">
        <is>
          <t>1388415:eng</t>
        </is>
      </c>
      <c r="AV43" t="inlineStr">
        <is>
          <t>316874</t>
        </is>
      </c>
      <c r="AW43" t="inlineStr">
        <is>
          <t>991002299089702656</t>
        </is>
      </c>
      <c r="AX43" t="inlineStr">
        <is>
          <t>991002299089702656</t>
        </is>
      </c>
      <c r="AY43" t="inlineStr">
        <is>
          <t>2269381870002656</t>
        </is>
      </c>
      <c r="AZ43" t="inlineStr">
        <is>
          <t>BOOK</t>
        </is>
      </c>
      <c r="BC43" t="inlineStr">
        <is>
          <t>32285003229019</t>
        </is>
      </c>
      <c r="BD43" t="inlineStr">
        <is>
          <t>893691468</t>
        </is>
      </c>
    </row>
    <row r="44">
      <c r="A44" t="inlineStr">
        <is>
          <t>No</t>
        </is>
      </c>
      <c r="B44" t="inlineStr">
        <is>
          <t>PE1095 .B4</t>
        </is>
      </c>
      <c r="C44" t="inlineStr">
        <is>
          <t>0                      PE 1095000B  4</t>
        </is>
      </c>
      <c r="D44" t="inlineStr">
        <is>
          <t>The making of English, by Henry Bradley ...</t>
        </is>
      </c>
      <c r="F44" t="inlineStr">
        <is>
          <t>No</t>
        </is>
      </c>
      <c r="G44" t="inlineStr">
        <is>
          <t>1</t>
        </is>
      </c>
      <c r="H44" t="inlineStr">
        <is>
          <t>No</t>
        </is>
      </c>
      <c r="I44" t="inlineStr">
        <is>
          <t>No</t>
        </is>
      </c>
      <c r="J44" t="inlineStr">
        <is>
          <t>0</t>
        </is>
      </c>
      <c r="K44" t="inlineStr">
        <is>
          <t>Bradley, Henry, 1845-1923.</t>
        </is>
      </c>
      <c r="L44" t="inlineStr">
        <is>
          <t>New York, The Macmillan Company; London, Macmillan &amp; Co., ltd., 1904.</t>
        </is>
      </c>
      <c r="M44" t="inlineStr">
        <is>
          <t>1904</t>
        </is>
      </c>
      <c r="O44" t="inlineStr">
        <is>
          <t>eng</t>
        </is>
      </c>
      <c r="P44" t="inlineStr">
        <is>
          <t>nyu</t>
        </is>
      </c>
      <c r="R44" t="inlineStr">
        <is>
          <t xml:space="preserve">PE </t>
        </is>
      </c>
      <c r="S44" t="n">
        <v>2</v>
      </c>
      <c r="T44" t="n">
        <v>2</v>
      </c>
      <c r="U44" t="inlineStr">
        <is>
          <t>2001-09-19</t>
        </is>
      </c>
      <c r="V44" t="inlineStr">
        <is>
          <t>2001-09-19</t>
        </is>
      </c>
      <c r="W44" t="inlineStr">
        <is>
          <t>1997-09-18</t>
        </is>
      </c>
      <c r="X44" t="inlineStr">
        <is>
          <t>1997-09-18</t>
        </is>
      </c>
      <c r="Y44" t="n">
        <v>396</v>
      </c>
      <c r="Z44" t="n">
        <v>331</v>
      </c>
      <c r="AA44" t="n">
        <v>681</v>
      </c>
      <c r="AB44" t="n">
        <v>5</v>
      </c>
      <c r="AC44" t="n">
        <v>9</v>
      </c>
      <c r="AD44" t="n">
        <v>18</v>
      </c>
      <c r="AE44" t="n">
        <v>35</v>
      </c>
      <c r="AF44" t="n">
        <v>5</v>
      </c>
      <c r="AG44" t="n">
        <v>14</v>
      </c>
      <c r="AH44" t="n">
        <v>4</v>
      </c>
      <c r="AI44" t="n">
        <v>7</v>
      </c>
      <c r="AJ44" t="n">
        <v>7</v>
      </c>
      <c r="AK44" t="n">
        <v>15</v>
      </c>
      <c r="AL44" t="n">
        <v>4</v>
      </c>
      <c r="AM44" t="n">
        <v>7</v>
      </c>
      <c r="AN44" t="n">
        <v>0</v>
      </c>
      <c r="AO44" t="n">
        <v>0</v>
      </c>
      <c r="AP44" t="inlineStr">
        <is>
          <t>Yes</t>
        </is>
      </c>
      <c r="AQ44" t="inlineStr">
        <is>
          <t>No</t>
        </is>
      </c>
      <c r="AR44">
        <f>HYPERLINK("http://catalog.hathitrust.org/Record/001902523","HathiTrust Record")</f>
        <v/>
      </c>
      <c r="AS44">
        <f>HYPERLINK("https://creighton-primo.hosted.exlibrisgroup.com/primo-explore/search?tab=default_tab&amp;search_scope=EVERYTHING&amp;vid=01CRU&amp;lang=en_US&amp;offset=0&amp;query=any,contains,991002299119702656","Catalog Record")</f>
        <v/>
      </c>
      <c r="AT44">
        <f>HYPERLINK("http://www.worldcat.org/oclc/316876","WorldCat Record")</f>
        <v/>
      </c>
      <c r="AU44" t="inlineStr">
        <is>
          <t>1206300:eng</t>
        </is>
      </c>
      <c r="AV44" t="inlineStr">
        <is>
          <t>316876</t>
        </is>
      </c>
      <c r="AW44" t="inlineStr">
        <is>
          <t>991002299119702656</t>
        </is>
      </c>
      <c r="AX44" t="inlineStr">
        <is>
          <t>991002299119702656</t>
        </is>
      </c>
      <c r="AY44" t="inlineStr">
        <is>
          <t>2269382010002656</t>
        </is>
      </c>
      <c r="AZ44" t="inlineStr">
        <is>
          <t>BOOK</t>
        </is>
      </c>
      <c r="BC44" t="inlineStr">
        <is>
          <t>32285003229035</t>
        </is>
      </c>
      <c r="BD44" t="inlineStr">
        <is>
          <t>893773452</t>
        </is>
      </c>
    </row>
    <row r="45">
      <c r="A45" t="inlineStr">
        <is>
          <t>No</t>
        </is>
      </c>
      <c r="B45" t="inlineStr">
        <is>
          <t>PE1097  .H3</t>
        </is>
      </c>
      <c r="C45" t="inlineStr">
        <is>
          <t>0                      PE 1097000H  3</t>
        </is>
      </c>
      <c r="D45" t="inlineStr">
        <is>
          <t>Grammar instruction today; a combination instead of a choice.</t>
        </is>
      </c>
      <c r="F45" t="inlineStr">
        <is>
          <t>No</t>
        </is>
      </c>
      <c r="G45" t="inlineStr">
        <is>
          <t>1</t>
        </is>
      </c>
      <c r="H45" t="inlineStr">
        <is>
          <t>No</t>
        </is>
      </c>
      <c r="I45" t="inlineStr">
        <is>
          <t>No</t>
        </is>
      </c>
      <c r="J45" t="inlineStr">
        <is>
          <t>0</t>
        </is>
      </c>
      <c r="K45" t="inlineStr">
        <is>
          <t>Harsh, Wayne.</t>
        </is>
      </c>
      <c r="L45" t="inlineStr">
        <is>
          <t>Davis, Dept. of English, University of California, 1965 [1966]</t>
        </is>
      </c>
      <c r="M45" t="inlineStr">
        <is>
          <t>1965</t>
        </is>
      </c>
      <c r="O45" t="inlineStr">
        <is>
          <t>eng</t>
        </is>
      </c>
      <c r="P45" t="inlineStr">
        <is>
          <t>cau</t>
        </is>
      </c>
      <c r="Q45" t="inlineStr">
        <is>
          <t>University of California, Davis. Davis publications in English, no. 1</t>
        </is>
      </c>
      <c r="R45" t="inlineStr">
        <is>
          <t xml:space="preserve">PE </t>
        </is>
      </c>
      <c r="S45" t="n">
        <v>1</v>
      </c>
      <c r="T45" t="n">
        <v>1</v>
      </c>
      <c r="U45" t="inlineStr">
        <is>
          <t>1999-03-29</t>
        </is>
      </c>
      <c r="V45" t="inlineStr">
        <is>
          <t>1999-03-29</t>
        </is>
      </c>
      <c r="W45" t="inlineStr">
        <is>
          <t>1997-09-18</t>
        </is>
      </c>
      <c r="X45" t="inlineStr">
        <is>
          <t>1997-09-18</t>
        </is>
      </c>
      <c r="Y45" t="n">
        <v>32</v>
      </c>
      <c r="Z45" t="n">
        <v>29</v>
      </c>
      <c r="AA45" t="n">
        <v>65</v>
      </c>
      <c r="AB45" t="n">
        <v>1</v>
      </c>
      <c r="AC45" t="n">
        <v>3</v>
      </c>
      <c r="AD45" t="n">
        <v>0</v>
      </c>
      <c r="AE45" t="n">
        <v>3</v>
      </c>
      <c r="AF45" t="n">
        <v>0</v>
      </c>
      <c r="AG45" t="n">
        <v>0</v>
      </c>
      <c r="AH45" t="n">
        <v>0</v>
      </c>
      <c r="AI45" t="n">
        <v>0</v>
      </c>
      <c r="AJ45" t="n">
        <v>0</v>
      </c>
      <c r="AK45" t="n">
        <v>1</v>
      </c>
      <c r="AL45" t="n">
        <v>0</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HYPERLINK("https://creighton-primo.hosted.exlibrisgroup.com/primo-explore/search?tab=default_tab&amp;search_scope=EVERYTHING&amp;vid=01CRU&amp;lang=en_US&amp;offset=0&amp;query=any,contains,991005231399702656","Catalog Record")</f>
        <v/>
      </c>
      <c r="AT45">
        <f>HYPERLINK("http://www.worldcat.org/oclc/8333992","WorldCat Record")</f>
        <v/>
      </c>
      <c r="AU45" t="inlineStr">
        <is>
          <t>31863819:eng</t>
        </is>
      </c>
      <c r="AV45" t="inlineStr">
        <is>
          <t>8333992</t>
        </is>
      </c>
      <c r="AW45" t="inlineStr">
        <is>
          <t>991005231399702656</t>
        </is>
      </c>
      <c r="AX45" t="inlineStr">
        <is>
          <t>991005231399702656</t>
        </is>
      </c>
      <c r="AY45" t="inlineStr">
        <is>
          <t>2263221950002656</t>
        </is>
      </c>
      <c r="AZ45" t="inlineStr">
        <is>
          <t>BOOK</t>
        </is>
      </c>
      <c r="BC45" t="inlineStr">
        <is>
          <t>32285003229050</t>
        </is>
      </c>
      <c r="BD45" t="inlineStr">
        <is>
          <t>893613345</t>
        </is>
      </c>
    </row>
    <row r="46">
      <c r="A46" t="inlineStr">
        <is>
          <t>No</t>
        </is>
      </c>
      <c r="B46" t="inlineStr">
        <is>
          <t>PE1101 .H94 1995</t>
        </is>
      </c>
      <c r="C46" t="inlineStr">
        <is>
          <t>0                      PE 1101000H  94          1995</t>
        </is>
      </c>
      <c r="D46" t="inlineStr">
        <is>
          <t>The English language : structure and development / Stanley Hussey.</t>
        </is>
      </c>
      <c r="F46" t="inlineStr">
        <is>
          <t>No</t>
        </is>
      </c>
      <c r="G46" t="inlineStr">
        <is>
          <t>1</t>
        </is>
      </c>
      <c r="H46" t="inlineStr">
        <is>
          <t>No</t>
        </is>
      </c>
      <c r="I46" t="inlineStr">
        <is>
          <t>No</t>
        </is>
      </c>
      <c r="J46" t="inlineStr">
        <is>
          <t>0</t>
        </is>
      </c>
      <c r="K46" t="inlineStr">
        <is>
          <t>Hussey, S. S., 1925-</t>
        </is>
      </c>
      <c r="L46" t="inlineStr">
        <is>
          <t>London ; New York : Longman, 1995.</t>
        </is>
      </c>
      <c r="M46" t="inlineStr">
        <is>
          <t>1995</t>
        </is>
      </c>
      <c r="O46" t="inlineStr">
        <is>
          <t>eng</t>
        </is>
      </c>
      <c r="P46" t="inlineStr">
        <is>
          <t>enk</t>
        </is>
      </c>
      <c r="R46" t="inlineStr">
        <is>
          <t xml:space="preserve">PE </t>
        </is>
      </c>
      <c r="S46" t="n">
        <v>2</v>
      </c>
      <c r="T46" t="n">
        <v>2</v>
      </c>
      <c r="U46" t="inlineStr">
        <is>
          <t>1997-11-14</t>
        </is>
      </c>
      <c r="V46" t="inlineStr">
        <is>
          <t>1997-11-14</t>
        </is>
      </c>
      <c r="W46" t="inlineStr">
        <is>
          <t>1996-10-03</t>
        </is>
      </c>
      <c r="X46" t="inlineStr">
        <is>
          <t>1996-10-03</t>
        </is>
      </c>
      <c r="Y46" t="n">
        <v>449</v>
      </c>
      <c r="Z46" t="n">
        <v>331</v>
      </c>
      <c r="AA46" t="n">
        <v>352</v>
      </c>
      <c r="AB46" t="n">
        <v>3</v>
      </c>
      <c r="AC46" t="n">
        <v>3</v>
      </c>
      <c r="AD46" t="n">
        <v>17</v>
      </c>
      <c r="AE46" t="n">
        <v>17</v>
      </c>
      <c r="AF46" t="n">
        <v>6</v>
      </c>
      <c r="AG46" t="n">
        <v>6</v>
      </c>
      <c r="AH46" t="n">
        <v>4</v>
      </c>
      <c r="AI46" t="n">
        <v>4</v>
      </c>
      <c r="AJ46" t="n">
        <v>8</v>
      </c>
      <c r="AK46" t="n">
        <v>8</v>
      </c>
      <c r="AL46" t="n">
        <v>2</v>
      </c>
      <c r="AM46" t="n">
        <v>2</v>
      </c>
      <c r="AN46" t="n">
        <v>0</v>
      </c>
      <c r="AO46" t="n">
        <v>0</v>
      </c>
      <c r="AP46" t="inlineStr">
        <is>
          <t>No</t>
        </is>
      </c>
      <c r="AQ46" t="inlineStr">
        <is>
          <t>Yes</t>
        </is>
      </c>
      <c r="AR46">
        <f>HYPERLINK("http://catalog.hathitrust.org/Record/003036081","HathiTrust Record")</f>
        <v/>
      </c>
      <c r="AS46">
        <f>HYPERLINK("https://creighton-primo.hosted.exlibrisgroup.com/primo-explore/search?tab=default_tab&amp;search_scope=EVERYTHING&amp;vid=01CRU&amp;lang=en_US&amp;offset=0&amp;query=any,contains,991002462069702656","Catalog Record")</f>
        <v/>
      </c>
      <c r="AT46">
        <f>HYPERLINK("http://www.worldcat.org/oclc/32086715","WorldCat Record")</f>
        <v/>
      </c>
      <c r="AU46" t="inlineStr">
        <is>
          <t>837029512:eng</t>
        </is>
      </c>
      <c r="AV46" t="inlineStr">
        <is>
          <t>32086715</t>
        </is>
      </c>
      <c r="AW46" t="inlineStr">
        <is>
          <t>991002462069702656</t>
        </is>
      </c>
      <c r="AX46" t="inlineStr">
        <is>
          <t>991002462069702656</t>
        </is>
      </c>
      <c r="AY46" t="inlineStr">
        <is>
          <t>2271730960002656</t>
        </is>
      </c>
      <c r="AZ46" t="inlineStr">
        <is>
          <t>BOOK</t>
        </is>
      </c>
      <c r="BB46" t="inlineStr">
        <is>
          <t>9780582217614</t>
        </is>
      </c>
      <c r="BC46" t="inlineStr">
        <is>
          <t>32285002322666</t>
        </is>
      </c>
      <c r="BD46" t="inlineStr">
        <is>
          <t>893510769</t>
        </is>
      </c>
    </row>
    <row r="47">
      <c r="A47" t="inlineStr">
        <is>
          <t>No</t>
        </is>
      </c>
      <c r="B47" t="inlineStr">
        <is>
          <t>PE1105 .J4 1964</t>
        </is>
      </c>
      <c r="C47" t="inlineStr">
        <is>
          <t>0                      PE 1105000J  4           1964</t>
        </is>
      </c>
      <c r="D47" t="inlineStr">
        <is>
          <t>Essentials of English grammar.</t>
        </is>
      </c>
      <c r="F47" t="inlineStr">
        <is>
          <t>No</t>
        </is>
      </c>
      <c r="G47" t="inlineStr">
        <is>
          <t>1</t>
        </is>
      </c>
      <c r="H47" t="inlineStr">
        <is>
          <t>Yes</t>
        </is>
      </c>
      <c r="I47" t="inlineStr">
        <is>
          <t>No</t>
        </is>
      </c>
      <c r="J47" t="inlineStr">
        <is>
          <t>0</t>
        </is>
      </c>
      <c r="K47" t="inlineStr">
        <is>
          <t>Jespersen, Otto, 1860-1943.</t>
        </is>
      </c>
      <c r="L47" t="inlineStr">
        <is>
          <t>University, Ala., University of Alabama Press [1964]</t>
        </is>
      </c>
      <c r="M47" t="inlineStr">
        <is>
          <t>1964</t>
        </is>
      </c>
      <c r="O47" t="inlineStr">
        <is>
          <t>eng</t>
        </is>
      </c>
      <c r="P47" t="inlineStr">
        <is>
          <t>alu</t>
        </is>
      </c>
      <c r="Q47" t="inlineStr">
        <is>
          <t>Alabama linguistic &amp; philological series ; no. 1</t>
        </is>
      </c>
      <c r="R47" t="inlineStr">
        <is>
          <t xml:space="preserve">PE </t>
        </is>
      </c>
      <c r="S47" t="n">
        <v>0</v>
      </c>
      <c r="T47" t="n">
        <v>2</v>
      </c>
      <c r="V47" t="inlineStr">
        <is>
          <t>2001-02-26</t>
        </is>
      </c>
      <c r="W47" t="inlineStr">
        <is>
          <t>1997-09-18</t>
        </is>
      </c>
      <c r="X47" t="inlineStr">
        <is>
          <t>1997-09-18</t>
        </is>
      </c>
      <c r="Y47" t="n">
        <v>721</v>
      </c>
      <c r="Z47" t="n">
        <v>678</v>
      </c>
      <c r="AA47" t="n">
        <v>988</v>
      </c>
      <c r="AB47" t="n">
        <v>10</v>
      </c>
      <c r="AC47" t="n">
        <v>11</v>
      </c>
      <c r="AD47" t="n">
        <v>29</v>
      </c>
      <c r="AE47" t="n">
        <v>42</v>
      </c>
      <c r="AF47" t="n">
        <v>5</v>
      </c>
      <c r="AG47" t="n">
        <v>13</v>
      </c>
      <c r="AH47" t="n">
        <v>7</v>
      </c>
      <c r="AI47" t="n">
        <v>9</v>
      </c>
      <c r="AJ47" t="n">
        <v>13</v>
      </c>
      <c r="AK47" t="n">
        <v>21</v>
      </c>
      <c r="AL47" t="n">
        <v>8</v>
      </c>
      <c r="AM47" t="n">
        <v>9</v>
      </c>
      <c r="AN47" t="n">
        <v>0</v>
      </c>
      <c r="AO47" t="n">
        <v>0</v>
      </c>
      <c r="AP47" t="inlineStr">
        <is>
          <t>No</t>
        </is>
      </c>
      <c r="AQ47" t="inlineStr">
        <is>
          <t>Yes</t>
        </is>
      </c>
      <c r="AR47">
        <f>HYPERLINK("http://catalog.hathitrust.org/Record/001182954","HathiTrust Record")</f>
        <v/>
      </c>
      <c r="AS47">
        <f>HYPERLINK("https://creighton-primo.hosted.exlibrisgroup.com/primo-explore/search?tab=default_tab&amp;search_scope=EVERYTHING&amp;vid=01CRU&amp;lang=en_US&amp;offset=0&amp;query=any,contains,991001202229702656","Catalog Record")</f>
        <v/>
      </c>
      <c r="AT47">
        <f>HYPERLINK("http://www.worldcat.org/oclc/191571","WorldCat Record")</f>
        <v/>
      </c>
      <c r="AU47" t="inlineStr">
        <is>
          <t>481767:eng</t>
        </is>
      </c>
      <c r="AV47" t="inlineStr">
        <is>
          <t>191571</t>
        </is>
      </c>
      <c r="AW47" t="inlineStr">
        <is>
          <t>991001202229702656</t>
        </is>
      </c>
      <c r="AX47" t="inlineStr">
        <is>
          <t>991001202229702656</t>
        </is>
      </c>
      <c r="AY47" t="inlineStr">
        <is>
          <t>2258829310002656</t>
        </is>
      </c>
      <c r="AZ47" t="inlineStr">
        <is>
          <t>BOOK</t>
        </is>
      </c>
      <c r="BC47" t="inlineStr">
        <is>
          <t>32285003229209</t>
        </is>
      </c>
      <c r="BD47" t="inlineStr">
        <is>
          <t>893696562</t>
        </is>
      </c>
    </row>
    <row r="48">
      <c r="A48" t="inlineStr">
        <is>
          <t>No</t>
        </is>
      </c>
      <c r="B48" t="inlineStr">
        <is>
          <t>PE1105 .J4 1964</t>
        </is>
      </c>
      <c r="C48" t="inlineStr">
        <is>
          <t>0                      PE 1105000J  4           1964</t>
        </is>
      </c>
      <c r="D48" t="inlineStr">
        <is>
          <t>Essentials of English grammar.</t>
        </is>
      </c>
      <c r="F48" t="inlineStr">
        <is>
          <t>No</t>
        </is>
      </c>
      <c r="G48" t="inlineStr">
        <is>
          <t>2</t>
        </is>
      </c>
      <c r="H48" t="inlineStr">
        <is>
          <t>Yes</t>
        </is>
      </c>
      <c r="I48" t="inlineStr">
        <is>
          <t>No</t>
        </is>
      </c>
      <c r="J48" t="inlineStr">
        <is>
          <t>0</t>
        </is>
      </c>
      <c r="K48" t="inlineStr">
        <is>
          <t>Jespersen, Otto, 1860-1943.</t>
        </is>
      </c>
      <c r="L48" t="inlineStr">
        <is>
          <t>University, Ala., University of Alabama Press [1964]</t>
        </is>
      </c>
      <c r="M48" t="inlineStr">
        <is>
          <t>1964</t>
        </is>
      </c>
      <c r="O48" t="inlineStr">
        <is>
          <t>eng</t>
        </is>
      </c>
      <c r="P48" t="inlineStr">
        <is>
          <t>alu</t>
        </is>
      </c>
      <c r="Q48" t="inlineStr">
        <is>
          <t>Alabama linguistic &amp; philological series ; no. 1</t>
        </is>
      </c>
      <c r="R48" t="inlineStr">
        <is>
          <t xml:space="preserve">PE </t>
        </is>
      </c>
      <c r="S48" t="n">
        <v>2</v>
      </c>
      <c r="T48" t="n">
        <v>2</v>
      </c>
      <c r="U48" t="inlineStr">
        <is>
          <t>2001-02-26</t>
        </is>
      </c>
      <c r="V48" t="inlineStr">
        <is>
          <t>2001-02-26</t>
        </is>
      </c>
      <c r="W48" t="inlineStr">
        <is>
          <t>1997-09-18</t>
        </is>
      </c>
      <c r="X48" t="inlineStr">
        <is>
          <t>1997-09-18</t>
        </is>
      </c>
      <c r="Y48" t="n">
        <v>721</v>
      </c>
      <c r="Z48" t="n">
        <v>678</v>
      </c>
      <c r="AA48" t="n">
        <v>988</v>
      </c>
      <c r="AB48" t="n">
        <v>10</v>
      </c>
      <c r="AC48" t="n">
        <v>11</v>
      </c>
      <c r="AD48" t="n">
        <v>29</v>
      </c>
      <c r="AE48" t="n">
        <v>42</v>
      </c>
      <c r="AF48" t="n">
        <v>5</v>
      </c>
      <c r="AG48" t="n">
        <v>13</v>
      </c>
      <c r="AH48" t="n">
        <v>7</v>
      </c>
      <c r="AI48" t="n">
        <v>9</v>
      </c>
      <c r="AJ48" t="n">
        <v>13</v>
      </c>
      <c r="AK48" t="n">
        <v>21</v>
      </c>
      <c r="AL48" t="n">
        <v>8</v>
      </c>
      <c r="AM48" t="n">
        <v>9</v>
      </c>
      <c r="AN48" t="n">
        <v>0</v>
      </c>
      <c r="AO48" t="n">
        <v>0</v>
      </c>
      <c r="AP48" t="inlineStr">
        <is>
          <t>No</t>
        </is>
      </c>
      <c r="AQ48" t="inlineStr">
        <is>
          <t>Yes</t>
        </is>
      </c>
      <c r="AR48">
        <f>HYPERLINK("http://catalog.hathitrust.org/Record/001182954","HathiTrust Record")</f>
        <v/>
      </c>
      <c r="AS48">
        <f>HYPERLINK("https://creighton-primo.hosted.exlibrisgroup.com/primo-explore/search?tab=default_tab&amp;search_scope=EVERYTHING&amp;vid=01CRU&amp;lang=en_US&amp;offset=0&amp;query=any,contains,991001202229702656","Catalog Record")</f>
        <v/>
      </c>
      <c r="AT48">
        <f>HYPERLINK("http://www.worldcat.org/oclc/191571","WorldCat Record")</f>
        <v/>
      </c>
      <c r="AU48" t="inlineStr">
        <is>
          <t>481767:eng</t>
        </is>
      </c>
      <c r="AV48" t="inlineStr">
        <is>
          <t>191571</t>
        </is>
      </c>
      <c r="AW48" t="inlineStr">
        <is>
          <t>991001202229702656</t>
        </is>
      </c>
      <c r="AX48" t="inlineStr">
        <is>
          <t>991001202229702656</t>
        </is>
      </c>
      <c r="AY48" t="inlineStr">
        <is>
          <t>2258829310002656</t>
        </is>
      </c>
      <c r="AZ48" t="inlineStr">
        <is>
          <t>BOOK</t>
        </is>
      </c>
      <c r="BC48" t="inlineStr">
        <is>
          <t>32285003229217</t>
        </is>
      </c>
      <c r="BD48" t="inlineStr">
        <is>
          <t>893715265</t>
        </is>
      </c>
    </row>
    <row r="49">
      <c r="A49" t="inlineStr">
        <is>
          <t>No</t>
        </is>
      </c>
      <c r="B49" t="inlineStr">
        <is>
          <t>PE1106 .C79 1984</t>
        </is>
      </c>
      <c r="C49" t="inlineStr">
        <is>
          <t>0                      PE 1106000C  79          1984</t>
        </is>
      </c>
      <c r="D49" t="inlineStr">
        <is>
          <t>Who cares about English usage? / David Crystal.</t>
        </is>
      </c>
      <c r="F49" t="inlineStr">
        <is>
          <t>No</t>
        </is>
      </c>
      <c r="G49" t="inlineStr">
        <is>
          <t>1</t>
        </is>
      </c>
      <c r="H49" t="inlineStr">
        <is>
          <t>No</t>
        </is>
      </c>
      <c r="I49" t="inlineStr">
        <is>
          <t>No</t>
        </is>
      </c>
      <c r="J49" t="inlineStr">
        <is>
          <t>0</t>
        </is>
      </c>
      <c r="K49" t="inlineStr">
        <is>
          <t>Crystal, David, 1941-</t>
        </is>
      </c>
      <c r="L49" t="inlineStr">
        <is>
          <t>Harmondsworth, Eng. : Penguin, 1984.</t>
        </is>
      </c>
      <c r="M49" t="inlineStr">
        <is>
          <t>1984</t>
        </is>
      </c>
      <c r="O49" t="inlineStr">
        <is>
          <t>eng</t>
        </is>
      </c>
      <c r="P49" t="inlineStr">
        <is>
          <t>enk</t>
        </is>
      </c>
      <c r="R49" t="inlineStr">
        <is>
          <t xml:space="preserve">PE </t>
        </is>
      </c>
      <c r="S49" t="n">
        <v>4</v>
      </c>
      <c r="T49" t="n">
        <v>4</v>
      </c>
      <c r="U49" t="inlineStr">
        <is>
          <t>2006-02-14</t>
        </is>
      </c>
      <c r="V49" t="inlineStr">
        <is>
          <t>2006-02-14</t>
        </is>
      </c>
      <c r="W49" t="inlineStr">
        <is>
          <t>1993-04-23</t>
        </is>
      </c>
      <c r="X49" t="inlineStr">
        <is>
          <t>1993-04-23</t>
        </is>
      </c>
      <c r="Y49" t="n">
        <v>97</v>
      </c>
      <c r="Z49" t="n">
        <v>23</v>
      </c>
      <c r="AA49" t="n">
        <v>48</v>
      </c>
      <c r="AB49" t="n">
        <v>1</v>
      </c>
      <c r="AC49" t="n">
        <v>2</v>
      </c>
      <c r="AD49" t="n">
        <v>1</v>
      </c>
      <c r="AE49" t="n">
        <v>3</v>
      </c>
      <c r="AF49" t="n">
        <v>0</v>
      </c>
      <c r="AG49" t="n">
        <v>0</v>
      </c>
      <c r="AH49" t="n">
        <v>0</v>
      </c>
      <c r="AI49" t="n">
        <v>1</v>
      </c>
      <c r="AJ49" t="n">
        <v>1</v>
      </c>
      <c r="AK49" t="n">
        <v>2</v>
      </c>
      <c r="AL49" t="n">
        <v>0</v>
      </c>
      <c r="AM49" t="n">
        <v>1</v>
      </c>
      <c r="AN49" t="n">
        <v>0</v>
      </c>
      <c r="AO49" t="n">
        <v>0</v>
      </c>
      <c r="AP49" t="inlineStr">
        <is>
          <t>No</t>
        </is>
      </c>
      <c r="AQ49" t="inlineStr">
        <is>
          <t>No</t>
        </is>
      </c>
      <c r="AS49">
        <f>HYPERLINK("https://creighton-primo.hosted.exlibrisgroup.com/primo-explore/search?tab=default_tab&amp;search_scope=EVERYTHING&amp;vid=01CRU&amp;lang=en_US&amp;offset=0&amp;query=any,contains,991000560649702656","Catalog Record")</f>
        <v/>
      </c>
      <c r="AT49">
        <f>HYPERLINK("http://www.worldcat.org/oclc/11583449","WorldCat Record")</f>
        <v/>
      </c>
      <c r="AU49" t="inlineStr">
        <is>
          <t>4577796:eng</t>
        </is>
      </c>
      <c r="AV49" t="inlineStr">
        <is>
          <t>11583449</t>
        </is>
      </c>
      <c r="AW49" t="inlineStr">
        <is>
          <t>991000560649702656</t>
        </is>
      </c>
      <c r="AX49" t="inlineStr">
        <is>
          <t>991000560649702656</t>
        </is>
      </c>
      <c r="AY49" t="inlineStr">
        <is>
          <t>2267949540002656</t>
        </is>
      </c>
      <c r="AZ49" t="inlineStr">
        <is>
          <t>BOOK</t>
        </is>
      </c>
      <c r="BB49" t="inlineStr">
        <is>
          <t>9780140225440</t>
        </is>
      </c>
      <c r="BC49" t="inlineStr">
        <is>
          <t>32285001646339</t>
        </is>
      </c>
      <c r="BD49" t="inlineStr">
        <is>
          <t>893315054</t>
        </is>
      </c>
    </row>
    <row r="50">
      <c r="A50" t="inlineStr">
        <is>
          <t>No</t>
        </is>
      </c>
      <c r="B50" t="inlineStr">
        <is>
          <t>PE1106 .M3</t>
        </is>
      </c>
      <c r="C50" t="inlineStr">
        <is>
          <t>0                      PE 1106000M  3</t>
        </is>
      </c>
      <c r="D50" t="inlineStr">
        <is>
          <t>The English language yesterday and today [by] Charles B. Martin [and] Curt M. Rulon.</t>
        </is>
      </c>
      <c r="F50" t="inlineStr">
        <is>
          <t>No</t>
        </is>
      </c>
      <c r="G50" t="inlineStr">
        <is>
          <t>1</t>
        </is>
      </c>
      <c r="H50" t="inlineStr">
        <is>
          <t>No</t>
        </is>
      </c>
      <c r="I50" t="inlineStr">
        <is>
          <t>No</t>
        </is>
      </c>
      <c r="J50" t="inlineStr">
        <is>
          <t>0</t>
        </is>
      </c>
      <c r="K50" t="inlineStr">
        <is>
          <t>Martin, Charles B., 1930-</t>
        </is>
      </c>
      <c r="L50" t="inlineStr">
        <is>
          <t>Boston, Allyn and Bacon [1973]</t>
        </is>
      </c>
      <c r="M50" t="inlineStr">
        <is>
          <t>1973</t>
        </is>
      </c>
      <c r="O50" t="inlineStr">
        <is>
          <t>eng</t>
        </is>
      </c>
      <c r="P50" t="inlineStr">
        <is>
          <t>mau</t>
        </is>
      </c>
      <c r="R50" t="inlineStr">
        <is>
          <t xml:space="preserve">PE </t>
        </is>
      </c>
      <c r="S50" t="n">
        <v>1</v>
      </c>
      <c r="T50" t="n">
        <v>1</v>
      </c>
      <c r="U50" t="inlineStr">
        <is>
          <t>2001-09-19</t>
        </is>
      </c>
      <c r="V50" t="inlineStr">
        <is>
          <t>2001-09-19</t>
        </is>
      </c>
      <c r="W50" t="inlineStr">
        <is>
          <t>1997-09-18</t>
        </is>
      </c>
      <c r="X50" t="inlineStr">
        <is>
          <t>1997-09-18</t>
        </is>
      </c>
      <c r="Y50" t="n">
        <v>249</v>
      </c>
      <c r="Z50" t="n">
        <v>217</v>
      </c>
      <c r="AA50" t="n">
        <v>223</v>
      </c>
      <c r="AB50" t="n">
        <v>6</v>
      </c>
      <c r="AC50" t="n">
        <v>6</v>
      </c>
      <c r="AD50" t="n">
        <v>13</v>
      </c>
      <c r="AE50" t="n">
        <v>13</v>
      </c>
      <c r="AF50" t="n">
        <v>4</v>
      </c>
      <c r="AG50" t="n">
        <v>4</v>
      </c>
      <c r="AH50" t="n">
        <v>1</v>
      </c>
      <c r="AI50" t="n">
        <v>1</v>
      </c>
      <c r="AJ50" t="n">
        <v>5</v>
      </c>
      <c r="AK50" t="n">
        <v>5</v>
      </c>
      <c r="AL50" t="n">
        <v>5</v>
      </c>
      <c r="AM50" t="n">
        <v>5</v>
      </c>
      <c r="AN50" t="n">
        <v>0</v>
      </c>
      <c r="AO50" t="n">
        <v>0</v>
      </c>
      <c r="AP50" t="inlineStr">
        <is>
          <t>No</t>
        </is>
      </c>
      <c r="AQ50" t="inlineStr">
        <is>
          <t>No</t>
        </is>
      </c>
      <c r="AS50">
        <f>HYPERLINK("https://creighton-primo.hosted.exlibrisgroup.com/primo-explore/search?tab=default_tab&amp;search_scope=EVERYTHING&amp;vid=01CRU&amp;lang=en_US&amp;offset=0&amp;query=any,contains,991003079499702656","Catalog Record")</f>
        <v/>
      </c>
      <c r="AT50">
        <f>HYPERLINK("http://www.worldcat.org/oclc/632007","WorldCat Record")</f>
        <v/>
      </c>
      <c r="AU50" t="inlineStr">
        <is>
          <t>1744853:eng</t>
        </is>
      </c>
      <c r="AV50" t="inlineStr">
        <is>
          <t>632007</t>
        </is>
      </c>
      <c r="AW50" t="inlineStr">
        <is>
          <t>991003079499702656</t>
        </is>
      </c>
      <c r="AX50" t="inlineStr">
        <is>
          <t>991003079499702656</t>
        </is>
      </c>
      <c r="AY50" t="inlineStr">
        <is>
          <t>2260823310002656</t>
        </is>
      </c>
      <c r="AZ50" t="inlineStr">
        <is>
          <t>BOOK</t>
        </is>
      </c>
      <c r="BC50" t="inlineStr">
        <is>
          <t>32285003229274</t>
        </is>
      </c>
      <c r="BD50" t="inlineStr">
        <is>
          <t>893698651</t>
        </is>
      </c>
    </row>
    <row r="51">
      <c r="A51" t="inlineStr">
        <is>
          <t>No</t>
        </is>
      </c>
      <c r="B51" t="inlineStr">
        <is>
          <t>PE1106 .R6</t>
        </is>
      </c>
      <c r="C51" t="inlineStr">
        <is>
          <t>0                      PE 1106000R  6</t>
        </is>
      </c>
      <c r="D51" t="inlineStr">
        <is>
          <t>Modern grammar.</t>
        </is>
      </c>
      <c r="F51" t="inlineStr">
        <is>
          <t>No</t>
        </is>
      </c>
      <c r="G51" t="inlineStr">
        <is>
          <t>1</t>
        </is>
      </c>
      <c r="H51" t="inlineStr">
        <is>
          <t>No</t>
        </is>
      </c>
      <c r="I51" t="inlineStr">
        <is>
          <t>No</t>
        </is>
      </c>
      <c r="J51" t="inlineStr">
        <is>
          <t>0</t>
        </is>
      </c>
      <c r="K51" t="inlineStr">
        <is>
          <t>Roberts, Paul, 1917-1967.</t>
        </is>
      </c>
      <c r="L51" t="inlineStr">
        <is>
          <t>New York, Harcourt, Brace &amp; World [1968]</t>
        </is>
      </c>
      <c r="M51" t="inlineStr">
        <is>
          <t>1968</t>
        </is>
      </c>
      <c r="O51" t="inlineStr">
        <is>
          <t>eng</t>
        </is>
      </c>
      <c r="P51" t="inlineStr">
        <is>
          <t>nyu</t>
        </is>
      </c>
      <c r="R51" t="inlineStr">
        <is>
          <t xml:space="preserve">PE </t>
        </is>
      </c>
      <c r="S51" t="n">
        <v>2</v>
      </c>
      <c r="T51" t="n">
        <v>2</v>
      </c>
      <c r="U51" t="inlineStr">
        <is>
          <t>2010-07-19</t>
        </is>
      </c>
      <c r="V51" t="inlineStr">
        <is>
          <t>2010-07-19</t>
        </is>
      </c>
      <c r="W51" t="inlineStr">
        <is>
          <t>1992-02-07</t>
        </is>
      </c>
      <c r="X51" t="inlineStr">
        <is>
          <t>1992-02-07</t>
        </is>
      </c>
      <c r="Y51" t="n">
        <v>431</v>
      </c>
      <c r="Z51" t="n">
        <v>343</v>
      </c>
      <c r="AA51" t="n">
        <v>347</v>
      </c>
      <c r="AB51" t="n">
        <v>4</v>
      </c>
      <c r="AC51" t="n">
        <v>4</v>
      </c>
      <c r="AD51" t="n">
        <v>16</v>
      </c>
      <c r="AE51" t="n">
        <v>16</v>
      </c>
      <c r="AF51" t="n">
        <v>8</v>
      </c>
      <c r="AG51" t="n">
        <v>8</v>
      </c>
      <c r="AH51" t="n">
        <v>1</v>
      </c>
      <c r="AI51" t="n">
        <v>1</v>
      </c>
      <c r="AJ51" t="n">
        <v>6</v>
      </c>
      <c r="AK51" t="n">
        <v>6</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HYPERLINK("https://creighton-primo.hosted.exlibrisgroup.com/primo-explore/search?tab=default_tab&amp;search_scope=EVERYTHING&amp;vid=01CRU&amp;lang=en_US&amp;offset=0&amp;query=any,contains,991000957089702656","Catalog Record")</f>
        <v/>
      </c>
      <c r="AT51">
        <f>HYPERLINK("http://www.worldcat.org/oclc/168319","WorldCat Record")</f>
        <v/>
      </c>
      <c r="AU51" t="inlineStr">
        <is>
          <t>19905949:eng</t>
        </is>
      </c>
      <c r="AV51" t="inlineStr">
        <is>
          <t>168319</t>
        </is>
      </c>
      <c r="AW51" t="inlineStr">
        <is>
          <t>991000957089702656</t>
        </is>
      </c>
      <c r="AX51" t="inlineStr">
        <is>
          <t>991000957089702656</t>
        </is>
      </c>
      <c r="AY51" t="inlineStr">
        <is>
          <t>2262081690002656</t>
        </is>
      </c>
      <c r="AZ51" t="inlineStr">
        <is>
          <t>BOOK</t>
        </is>
      </c>
      <c r="BC51" t="inlineStr">
        <is>
          <t>32285000945757</t>
        </is>
      </c>
      <c r="BD51" t="inlineStr">
        <is>
          <t>893620963</t>
        </is>
      </c>
    </row>
    <row r="52">
      <c r="A52" t="inlineStr">
        <is>
          <t>No</t>
        </is>
      </c>
      <c r="B52" t="inlineStr">
        <is>
          <t>PE1111 .M448 1906</t>
        </is>
      </c>
      <c r="C52" t="inlineStr">
        <is>
          <t>0                      PE 1111000M  448         1906</t>
        </is>
      </c>
      <c r="D52" t="inlineStr">
        <is>
          <t>The English language : its grammar, history and literature / by J. M. Meiklejohn.</t>
        </is>
      </c>
      <c r="F52" t="inlineStr">
        <is>
          <t>No</t>
        </is>
      </c>
      <c r="G52" t="inlineStr">
        <is>
          <t>1</t>
        </is>
      </c>
      <c r="H52" t="inlineStr">
        <is>
          <t>No</t>
        </is>
      </c>
      <c r="I52" t="inlineStr">
        <is>
          <t>No</t>
        </is>
      </c>
      <c r="J52" t="inlineStr">
        <is>
          <t>0</t>
        </is>
      </c>
      <c r="K52" t="inlineStr">
        <is>
          <t>Meiklejohn, J. M. D. (John Miller Dow), 1836-1902.</t>
        </is>
      </c>
      <c r="L52" t="inlineStr">
        <is>
          <t>Boston : D.C. Heath &amp; Co., 1906.</t>
        </is>
      </c>
      <c r="M52" t="inlineStr">
        <is>
          <t>1906</t>
        </is>
      </c>
      <c r="N52" t="inlineStr">
        <is>
          <t>American ed., rev.</t>
        </is>
      </c>
      <c r="O52" t="inlineStr">
        <is>
          <t>eng</t>
        </is>
      </c>
      <c r="P52" t="inlineStr">
        <is>
          <t>mau</t>
        </is>
      </c>
      <c r="R52" t="inlineStr">
        <is>
          <t xml:space="preserve">PE </t>
        </is>
      </c>
      <c r="S52" t="n">
        <v>2</v>
      </c>
      <c r="T52" t="n">
        <v>2</v>
      </c>
      <c r="U52" t="inlineStr">
        <is>
          <t>2001-09-19</t>
        </is>
      </c>
      <c r="V52" t="inlineStr">
        <is>
          <t>2001-09-19</t>
        </is>
      </c>
      <c r="W52" t="inlineStr">
        <is>
          <t>1995-10-06</t>
        </is>
      </c>
      <c r="X52" t="inlineStr">
        <is>
          <t>1995-10-06</t>
        </is>
      </c>
      <c r="Y52" t="n">
        <v>90</v>
      </c>
      <c r="Z52" t="n">
        <v>83</v>
      </c>
      <c r="AA52" t="n">
        <v>141</v>
      </c>
      <c r="AB52" t="n">
        <v>1</v>
      </c>
      <c r="AC52" t="n">
        <v>2</v>
      </c>
      <c r="AD52" t="n">
        <v>3</v>
      </c>
      <c r="AE52" t="n">
        <v>5</v>
      </c>
      <c r="AF52" t="n">
        <v>0</v>
      </c>
      <c r="AG52" t="n">
        <v>0</v>
      </c>
      <c r="AH52" t="n">
        <v>1</v>
      </c>
      <c r="AI52" t="n">
        <v>2</v>
      </c>
      <c r="AJ52" t="n">
        <v>3</v>
      </c>
      <c r="AK52" t="n">
        <v>3</v>
      </c>
      <c r="AL52" t="n">
        <v>0</v>
      </c>
      <c r="AM52" t="n">
        <v>1</v>
      </c>
      <c r="AN52" t="n">
        <v>0</v>
      </c>
      <c r="AO52" t="n">
        <v>0</v>
      </c>
      <c r="AP52" t="inlineStr">
        <is>
          <t>Yes</t>
        </is>
      </c>
      <c r="AQ52" t="inlineStr">
        <is>
          <t>No</t>
        </is>
      </c>
      <c r="AR52">
        <f>HYPERLINK("http://catalog.hathitrust.org/Record/006537844","HathiTrust Record")</f>
        <v/>
      </c>
      <c r="AS52">
        <f>HYPERLINK("https://creighton-primo.hosted.exlibrisgroup.com/primo-explore/search?tab=default_tab&amp;search_scope=EVERYTHING&amp;vid=01CRU&amp;lang=en_US&amp;offset=0&amp;query=any,contains,991004114769702656","Catalog Record")</f>
        <v/>
      </c>
      <c r="AT52">
        <f>HYPERLINK("http://www.worldcat.org/oclc/2408265","WorldCat Record")</f>
        <v/>
      </c>
      <c r="AU52" t="inlineStr">
        <is>
          <t>4095496645:eng</t>
        </is>
      </c>
      <c r="AV52" t="inlineStr">
        <is>
          <t>2408265</t>
        </is>
      </c>
      <c r="AW52" t="inlineStr">
        <is>
          <t>991004114769702656</t>
        </is>
      </c>
      <c r="AX52" t="inlineStr">
        <is>
          <t>991004114769702656</t>
        </is>
      </c>
      <c r="AY52" t="inlineStr">
        <is>
          <t>2267190120002656</t>
        </is>
      </c>
      <c r="AZ52" t="inlineStr">
        <is>
          <t>BOOK</t>
        </is>
      </c>
      <c r="BC52" t="inlineStr">
        <is>
          <t>32285002068384</t>
        </is>
      </c>
      <c r="BD52" t="inlineStr">
        <is>
          <t>893794495</t>
        </is>
      </c>
    </row>
    <row r="53">
      <c r="A53" t="inlineStr">
        <is>
          <t>No</t>
        </is>
      </c>
      <c r="B53" t="inlineStr">
        <is>
          <t>PE1111 .M48</t>
        </is>
      </c>
      <c r="C53" t="inlineStr">
        <is>
          <t>0                      PE 1111000M  48</t>
        </is>
      </c>
      <c r="D53" t="inlineStr">
        <is>
          <t>English grammar for common schools / by Robert C. Metcalf and Thomas Metcalf.</t>
        </is>
      </c>
      <c r="F53" t="inlineStr">
        <is>
          <t>No</t>
        </is>
      </c>
      <c r="G53" t="inlineStr">
        <is>
          <t>2</t>
        </is>
      </c>
      <c r="H53" t="inlineStr">
        <is>
          <t>No</t>
        </is>
      </c>
      <c r="I53" t="inlineStr">
        <is>
          <t>No</t>
        </is>
      </c>
      <c r="J53" t="inlineStr">
        <is>
          <t>0</t>
        </is>
      </c>
      <c r="K53" t="inlineStr">
        <is>
          <t>Metcalf, Robert C. (Robert Comfort)</t>
        </is>
      </c>
      <c r="L53" t="inlineStr">
        <is>
          <t>New York : American Book Company, c1894.</t>
        </is>
      </c>
      <c r="M53" t="inlineStr">
        <is>
          <t>1894</t>
        </is>
      </c>
      <c r="O53" t="inlineStr">
        <is>
          <t>eng</t>
        </is>
      </c>
      <c r="P53" t="inlineStr">
        <is>
          <t>nyu</t>
        </is>
      </c>
      <c r="R53" t="inlineStr">
        <is>
          <t xml:space="preserve">PE </t>
        </is>
      </c>
      <c r="S53" t="n">
        <v>1</v>
      </c>
      <c r="T53" t="n">
        <v>1</v>
      </c>
      <c r="U53" t="inlineStr">
        <is>
          <t>2005-06-14</t>
        </is>
      </c>
      <c r="V53" t="inlineStr">
        <is>
          <t>2005-06-14</t>
        </is>
      </c>
      <c r="W53" t="inlineStr">
        <is>
          <t>1997-09-19</t>
        </is>
      </c>
      <c r="X53" t="inlineStr">
        <is>
          <t>1997-09-19</t>
        </is>
      </c>
      <c r="Y53" t="n">
        <v>90</v>
      </c>
      <c r="Z53" t="n">
        <v>88</v>
      </c>
      <c r="AA53" t="n">
        <v>103</v>
      </c>
      <c r="AB53" t="n">
        <v>1</v>
      </c>
      <c r="AC53" t="n">
        <v>1</v>
      </c>
      <c r="AD53" t="n">
        <v>2</v>
      </c>
      <c r="AE53" t="n">
        <v>2</v>
      </c>
      <c r="AF53" t="n">
        <v>0</v>
      </c>
      <c r="AG53" t="n">
        <v>0</v>
      </c>
      <c r="AH53" t="n">
        <v>1</v>
      </c>
      <c r="AI53" t="n">
        <v>1</v>
      </c>
      <c r="AJ53" t="n">
        <v>1</v>
      </c>
      <c r="AK53" t="n">
        <v>1</v>
      </c>
      <c r="AL53" t="n">
        <v>0</v>
      </c>
      <c r="AM53" t="n">
        <v>0</v>
      </c>
      <c r="AN53" t="n">
        <v>0</v>
      </c>
      <c r="AO53" t="n">
        <v>0</v>
      </c>
      <c r="AP53" t="inlineStr">
        <is>
          <t>Yes</t>
        </is>
      </c>
      <c r="AQ53" t="inlineStr">
        <is>
          <t>No</t>
        </is>
      </c>
      <c r="AR53">
        <f>HYPERLINK("http://catalog.hathitrust.org/Record/100395736","HathiTrust Record")</f>
        <v/>
      </c>
      <c r="AS53">
        <f>HYPERLINK("https://creighton-primo.hosted.exlibrisgroup.com/primo-explore/search?tab=default_tab&amp;search_scope=EVERYTHING&amp;vid=01CRU&amp;lang=en_US&amp;offset=0&amp;query=any,contains,991004223309702656","Catalog Record")</f>
        <v/>
      </c>
      <c r="AT53">
        <f>HYPERLINK("http://www.worldcat.org/oclc/2719888","WorldCat Record")</f>
        <v/>
      </c>
      <c r="AU53" t="inlineStr">
        <is>
          <t>5918472:eng</t>
        </is>
      </c>
      <c r="AV53" t="inlineStr">
        <is>
          <t>2719888</t>
        </is>
      </c>
      <c r="AW53" t="inlineStr">
        <is>
          <t>991004223309702656</t>
        </is>
      </c>
      <c r="AX53" t="inlineStr">
        <is>
          <t>991004223309702656</t>
        </is>
      </c>
      <c r="AY53" t="inlineStr">
        <is>
          <t>2272585640002656</t>
        </is>
      </c>
      <c r="AZ53" t="inlineStr">
        <is>
          <t>BOOK</t>
        </is>
      </c>
      <c r="BC53" t="inlineStr">
        <is>
          <t>32285003229548</t>
        </is>
      </c>
      <c r="BD53" t="inlineStr">
        <is>
          <t>893259474</t>
        </is>
      </c>
    </row>
    <row r="54">
      <c r="A54" t="inlineStr">
        <is>
          <t>No</t>
        </is>
      </c>
      <c r="B54" t="inlineStr">
        <is>
          <t>PE1111 .R4</t>
        </is>
      </c>
      <c r="C54" t="inlineStr">
        <is>
          <t>0                      PE 1111000R  4</t>
        </is>
      </c>
      <c r="D54" t="inlineStr">
        <is>
          <t>A high school grammar, dealing with the science of the English language, the history of the parts of speech, the philosophy of the changes these have undergone, and present usage respecting forms in dispute. By Alonzo Reed and Brainerd Kellogg.</t>
        </is>
      </c>
      <c r="F54" t="inlineStr">
        <is>
          <t>No</t>
        </is>
      </c>
      <c r="G54" t="inlineStr">
        <is>
          <t>1</t>
        </is>
      </c>
      <c r="H54" t="inlineStr">
        <is>
          <t>No</t>
        </is>
      </c>
      <c r="I54" t="inlineStr">
        <is>
          <t>No</t>
        </is>
      </c>
      <c r="J54" t="inlineStr">
        <is>
          <t>0</t>
        </is>
      </c>
      <c r="K54" t="inlineStr">
        <is>
          <t>Reed, Alonzo, -1899.</t>
        </is>
      </c>
      <c r="L54" t="inlineStr">
        <is>
          <t>New York, Maynard, Merrill, &amp; co., 1900.</t>
        </is>
      </c>
      <c r="M54" t="inlineStr">
        <is>
          <t>1900</t>
        </is>
      </c>
      <c r="O54" t="inlineStr">
        <is>
          <t>eng</t>
        </is>
      </c>
      <c r="P54" t="inlineStr">
        <is>
          <t>nyu</t>
        </is>
      </c>
      <c r="R54" t="inlineStr">
        <is>
          <t xml:space="preserve">PE </t>
        </is>
      </c>
      <c r="S54" t="n">
        <v>1</v>
      </c>
      <c r="T54" t="n">
        <v>1</v>
      </c>
      <c r="U54" t="inlineStr">
        <is>
          <t>2000-06-27</t>
        </is>
      </c>
      <c r="V54" t="inlineStr">
        <is>
          <t>2000-06-27</t>
        </is>
      </c>
      <c r="W54" t="inlineStr">
        <is>
          <t>1997-09-19</t>
        </is>
      </c>
      <c r="X54" t="inlineStr">
        <is>
          <t>1997-09-19</t>
        </is>
      </c>
      <c r="Y54" t="n">
        <v>20</v>
      </c>
      <c r="Z54" t="n">
        <v>17</v>
      </c>
      <c r="AA54" t="n">
        <v>39</v>
      </c>
      <c r="AB54" t="n">
        <v>2</v>
      </c>
      <c r="AC54" t="n">
        <v>2</v>
      </c>
      <c r="AD54" t="n">
        <v>2</v>
      </c>
      <c r="AE54" t="n">
        <v>2</v>
      </c>
      <c r="AF54" t="n">
        <v>0</v>
      </c>
      <c r="AG54" t="n">
        <v>0</v>
      </c>
      <c r="AH54" t="n">
        <v>1</v>
      </c>
      <c r="AI54" t="n">
        <v>1</v>
      </c>
      <c r="AJ54" t="n">
        <v>1</v>
      </c>
      <c r="AK54" t="n">
        <v>1</v>
      </c>
      <c r="AL54" t="n">
        <v>1</v>
      </c>
      <c r="AM54" t="n">
        <v>1</v>
      </c>
      <c r="AN54" t="n">
        <v>0</v>
      </c>
      <c r="AO54" t="n">
        <v>0</v>
      </c>
      <c r="AP54" t="inlineStr">
        <is>
          <t>Yes</t>
        </is>
      </c>
      <c r="AQ54" t="inlineStr">
        <is>
          <t>No</t>
        </is>
      </c>
      <c r="AR54">
        <f>HYPERLINK("http://catalog.hathitrust.org/Record/008991747","HathiTrust Record")</f>
        <v/>
      </c>
      <c r="AS54">
        <f>HYPERLINK("https://creighton-primo.hosted.exlibrisgroup.com/primo-explore/search?tab=default_tab&amp;search_scope=EVERYTHING&amp;vid=01CRU&amp;lang=en_US&amp;offset=0&amp;query=any,contains,991004796209702656","Catalog Record")</f>
        <v/>
      </c>
      <c r="AT54">
        <f>HYPERLINK("http://www.worldcat.org/oclc/5187837","WorldCat Record")</f>
        <v/>
      </c>
      <c r="AU54" t="inlineStr">
        <is>
          <t>16761098:eng</t>
        </is>
      </c>
      <c r="AV54" t="inlineStr">
        <is>
          <t>5187837</t>
        </is>
      </c>
      <c r="AW54" t="inlineStr">
        <is>
          <t>991004796209702656</t>
        </is>
      </c>
      <c r="AX54" t="inlineStr">
        <is>
          <t>991004796209702656</t>
        </is>
      </c>
      <c r="AY54" t="inlineStr">
        <is>
          <t>2259008910002656</t>
        </is>
      </c>
      <c r="AZ54" t="inlineStr">
        <is>
          <t>BOOK</t>
        </is>
      </c>
      <c r="BC54" t="inlineStr">
        <is>
          <t>32285003229605</t>
        </is>
      </c>
      <c r="BD54" t="inlineStr">
        <is>
          <t>893241848</t>
        </is>
      </c>
    </row>
    <row r="55">
      <c r="A55" t="inlineStr">
        <is>
          <t>No</t>
        </is>
      </c>
      <c r="B55" t="inlineStr">
        <is>
          <t>PE1111 .R733</t>
        </is>
      </c>
      <c r="C55" t="inlineStr">
        <is>
          <t>0                      PE 1111000R  733</t>
        </is>
      </c>
      <c r="D55" t="inlineStr">
        <is>
          <t>English sentences.</t>
        </is>
      </c>
      <c r="F55" t="inlineStr">
        <is>
          <t>No</t>
        </is>
      </c>
      <c r="G55" t="inlineStr">
        <is>
          <t>1</t>
        </is>
      </c>
      <c r="H55" t="inlineStr">
        <is>
          <t>No</t>
        </is>
      </c>
      <c r="I55" t="inlineStr">
        <is>
          <t>No</t>
        </is>
      </c>
      <c r="J55" t="inlineStr">
        <is>
          <t>0</t>
        </is>
      </c>
      <c r="K55" t="inlineStr">
        <is>
          <t>Roberts, Paul, 1917-1967.</t>
        </is>
      </c>
      <c r="L55" t="inlineStr">
        <is>
          <t>New York, Harcourt, Brace &amp; World [1962]</t>
        </is>
      </c>
      <c r="M55" t="inlineStr">
        <is>
          <t>1962</t>
        </is>
      </c>
      <c r="O55" t="inlineStr">
        <is>
          <t>eng</t>
        </is>
      </c>
      <c r="P55" t="inlineStr">
        <is>
          <t>nyu</t>
        </is>
      </c>
      <c r="R55" t="inlineStr">
        <is>
          <t xml:space="preserve">PE </t>
        </is>
      </c>
      <c r="S55" t="n">
        <v>2</v>
      </c>
      <c r="T55" t="n">
        <v>2</v>
      </c>
      <c r="U55" t="inlineStr">
        <is>
          <t>2009-11-11</t>
        </is>
      </c>
      <c r="V55" t="inlineStr">
        <is>
          <t>2009-11-11</t>
        </is>
      </c>
      <c r="W55" t="inlineStr">
        <is>
          <t>1997-09-19</t>
        </is>
      </c>
      <c r="X55" t="inlineStr">
        <is>
          <t>1997-09-19</t>
        </is>
      </c>
      <c r="Y55" t="n">
        <v>628</v>
      </c>
      <c r="Z55" t="n">
        <v>506</v>
      </c>
      <c r="AA55" t="n">
        <v>533</v>
      </c>
      <c r="AB55" t="n">
        <v>8</v>
      </c>
      <c r="AC55" t="n">
        <v>8</v>
      </c>
      <c r="AD55" t="n">
        <v>28</v>
      </c>
      <c r="AE55" t="n">
        <v>33</v>
      </c>
      <c r="AF55" t="n">
        <v>11</v>
      </c>
      <c r="AG55" t="n">
        <v>12</v>
      </c>
      <c r="AH55" t="n">
        <v>5</v>
      </c>
      <c r="AI55" t="n">
        <v>8</v>
      </c>
      <c r="AJ55" t="n">
        <v>11</v>
      </c>
      <c r="AK55" t="n">
        <v>12</v>
      </c>
      <c r="AL55" t="n">
        <v>7</v>
      </c>
      <c r="AM55" t="n">
        <v>7</v>
      </c>
      <c r="AN55" t="n">
        <v>0</v>
      </c>
      <c r="AO55" t="n">
        <v>1</v>
      </c>
      <c r="AP55" t="inlineStr">
        <is>
          <t>No</t>
        </is>
      </c>
      <c r="AQ55" t="inlineStr">
        <is>
          <t>Yes</t>
        </is>
      </c>
      <c r="AR55">
        <f>HYPERLINK("http://catalog.hathitrust.org/Record/001182978","HathiTrust Record")</f>
        <v/>
      </c>
      <c r="AS55">
        <f>HYPERLINK("https://creighton-primo.hosted.exlibrisgroup.com/primo-explore/search?tab=default_tab&amp;search_scope=EVERYTHING&amp;vid=01CRU&amp;lang=en_US&amp;offset=0&amp;query=any,contains,991002299029702656","Catalog Record")</f>
        <v/>
      </c>
      <c r="AT55">
        <f>HYPERLINK("http://www.worldcat.org/oclc/316872","WorldCat Record")</f>
        <v/>
      </c>
      <c r="AU55" t="inlineStr">
        <is>
          <t>64304124:eng</t>
        </is>
      </c>
      <c r="AV55" t="inlineStr">
        <is>
          <t>316872</t>
        </is>
      </c>
      <c r="AW55" t="inlineStr">
        <is>
          <t>991002299029702656</t>
        </is>
      </c>
      <c r="AX55" t="inlineStr">
        <is>
          <t>991002299029702656</t>
        </is>
      </c>
      <c r="AY55" t="inlineStr">
        <is>
          <t>2269382120002656</t>
        </is>
      </c>
      <c r="AZ55" t="inlineStr">
        <is>
          <t>BOOK</t>
        </is>
      </c>
      <c r="BC55" t="inlineStr">
        <is>
          <t>32285003229613</t>
        </is>
      </c>
      <c r="BD55" t="inlineStr">
        <is>
          <t>893408938</t>
        </is>
      </c>
    </row>
    <row r="56">
      <c r="A56" t="inlineStr">
        <is>
          <t>No</t>
        </is>
      </c>
      <c r="B56" t="inlineStr">
        <is>
          <t>PE1111 .R74</t>
        </is>
      </c>
      <c r="C56" t="inlineStr">
        <is>
          <t>0                      PE 1111000R  74</t>
        </is>
      </c>
      <c r="D56" t="inlineStr">
        <is>
          <t>Understanding grammar.</t>
        </is>
      </c>
      <c r="F56" t="inlineStr">
        <is>
          <t>No</t>
        </is>
      </c>
      <c r="G56" t="inlineStr">
        <is>
          <t>1</t>
        </is>
      </c>
      <c r="H56" t="inlineStr">
        <is>
          <t>No</t>
        </is>
      </c>
      <c r="I56" t="inlineStr">
        <is>
          <t>No</t>
        </is>
      </c>
      <c r="J56" t="inlineStr">
        <is>
          <t>0</t>
        </is>
      </c>
      <c r="K56" t="inlineStr">
        <is>
          <t>Roberts, Paul, 1917-1967.</t>
        </is>
      </c>
      <c r="L56" t="inlineStr">
        <is>
          <t>New York : Harper, [c1954]</t>
        </is>
      </c>
      <c r="M56" t="inlineStr">
        <is>
          <t>1954</t>
        </is>
      </c>
      <c r="O56" t="inlineStr">
        <is>
          <t>eng</t>
        </is>
      </c>
      <c r="P56" t="inlineStr">
        <is>
          <t>nyu</t>
        </is>
      </c>
      <c r="R56" t="inlineStr">
        <is>
          <t xml:space="preserve">PE </t>
        </is>
      </c>
      <c r="S56" t="n">
        <v>4</v>
      </c>
      <c r="T56" t="n">
        <v>4</v>
      </c>
      <c r="U56" t="inlineStr">
        <is>
          <t>1995-11-17</t>
        </is>
      </c>
      <c r="V56" t="inlineStr">
        <is>
          <t>1995-11-17</t>
        </is>
      </c>
      <c r="W56" t="inlineStr">
        <is>
          <t>1992-05-13</t>
        </is>
      </c>
      <c r="X56" t="inlineStr">
        <is>
          <t>1992-05-13</t>
        </is>
      </c>
      <c r="Y56" t="n">
        <v>773</v>
      </c>
      <c r="Z56" t="n">
        <v>649</v>
      </c>
      <c r="AA56" t="n">
        <v>659</v>
      </c>
      <c r="AB56" t="n">
        <v>8</v>
      </c>
      <c r="AC56" t="n">
        <v>8</v>
      </c>
      <c r="AD56" t="n">
        <v>22</v>
      </c>
      <c r="AE56" t="n">
        <v>22</v>
      </c>
      <c r="AF56" t="n">
        <v>8</v>
      </c>
      <c r="AG56" t="n">
        <v>8</v>
      </c>
      <c r="AH56" t="n">
        <v>1</v>
      </c>
      <c r="AI56" t="n">
        <v>1</v>
      </c>
      <c r="AJ56" t="n">
        <v>9</v>
      </c>
      <c r="AK56" t="n">
        <v>9</v>
      </c>
      <c r="AL56" t="n">
        <v>7</v>
      </c>
      <c r="AM56" t="n">
        <v>7</v>
      </c>
      <c r="AN56" t="n">
        <v>0</v>
      </c>
      <c r="AO56" t="n">
        <v>0</v>
      </c>
      <c r="AP56" t="inlineStr">
        <is>
          <t>No</t>
        </is>
      </c>
      <c r="AQ56" t="inlineStr">
        <is>
          <t>Yes</t>
        </is>
      </c>
      <c r="AR56">
        <f>HYPERLINK("http://catalog.hathitrust.org/Record/001182980","HathiTrust Record")</f>
        <v/>
      </c>
      <c r="AS56">
        <f>HYPERLINK("https://creighton-primo.hosted.exlibrisgroup.com/primo-explore/search?tab=default_tab&amp;search_scope=EVERYTHING&amp;vid=01CRU&amp;lang=en_US&amp;offset=0&amp;query=any,contains,991002299249702656","Catalog Record")</f>
        <v/>
      </c>
      <c r="AT56">
        <f>HYPERLINK("http://www.worldcat.org/oclc/316909","WorldCat Record")</f>
        <v/>
      </c>
      <c r="AU56" t="inlineStr">
        <is>
          <t>19711475:eng</t>
        </is>
      </c>
      <c r="AV56" t="inlineStr">
        <is>
          <t>316909</t>
        </is>
      </c>
      <c r="AW56" t="inlineStr">
        <is>
          <t>991002299249702656</t>
        </is>
      </c>
      <c r="AX56" t="inlineStr">
        <is>
          <t>991002299249702656</t>
        </is>
      </c>
      <c r="AY56" t="inlineStr">
        <is>
          <t>2269493850002656</t>
        </is>
      </c>
      <c r="AZ56" t="inlineStr">
        <is>
          <t>BOOK</t>
        </is>
      </c>
      <c r="BC56" t="inlineStr">
        <is>
          <t>32285001108470</t>
        </is>
      </c>
      <c r="BD56" t="inlineStr">
        <is>
          <t>893335140</t>
        </is>
      </c>
    </row>
    <row r="57">
      <c r="A57" t="inlineStr">
        <is>
          <t>No</t>
        </is>
      </c>
      <c r="B57" t="inlineStr">
        <is>
          <t>PE1111 .S4575</t>
        </is>
      </c>
      <c r="C57" t="inlineStr">
        <is>
          <t>0                      PE 1111000S  4575</t>
        </is>
      </c>
      <c r="D57" t="inlineStr">
        <is>
          <t>Fundamentals of grammar, by Charles William Shumway.</t>
        </is>
      </c>
      <c r="F57" t="inlineStr">
        <is>
          <t>No</t>
        </is>
      </c>
      <c r="G57" t="inlineStr">
        <is>
          <t>1</t>
        </is>
      </c>
      <c r="H57" t="inlineStr">
        <is>
          <t>No</t>
        </is>
      </c>
      <c r="I57" t="inlineStr">
        <is>
          <t>No</t>
        </is>
      </c>
      <c r="J57" t="inlineStr">
        <is>
          <t>0</t>
        </is>
      </c>
      <c r="K57" t="inlineStr">
        <is>
          <t>Shumway, Charles William.</t>
        </is>
      </c>
      <c r="L57" t="inlineStr">
        <is>
          <t>New York, R.R. Smith, inc. 1931.</t>
        </is>
      </c>
      <c r="M57" t="inlineStr">
        <is>
          <t>1931</t>
        </is>
      </c>
      <c r="O57" t="inlineStr">
        <is>
          <t>eng</t>
        </is>
      </c>
      <c r="P57" t="inlineStr">
        <is>
          <t>nyu</t>
        </is>
      </c>
      <c r="R57" t="inlineStr">
        <is>
          <t xml:space="preserve">PE </t>
        </is>
      </c>
      <c r="S57" t="n">
        <v>1</v>
      </c>
      <c r="T57" t="n">
        <v>1</v>
      </c>
      <c r="U57" t="inlineStr">
        <is>
          <t>2009-11-11</t>
        </is>
      </c>
      <c r="V57" t="inlineStr">
        <is>
          <t>2009-11-11</t>
        </is>
      </c>
      <c r="W57" t="inlineStr">
        <is>
          <t>1997-09-19</t>
        </is>
      </c>
      <c r="X57" t="inlineStr">
        <is>
          <t>1997-09-19</t>
        </is>
      </c>
      <c r="Y57" t="n">
        <v>38</v>
      </c>
      <c r="Z57" t="n">
        <v>32</v>
      </c>
      <c r="AA57" t="n">
        <v>33</v>
      </c>
      <c r="AB57" t="n">
        <v>1</v>
      </c>
      <c r="AC57" t="n">
        <v>1</v>
      </c>
      <c r="AD57" t="n">
        <v>1</v>
      </c>
      <c r="AE57" t="n">
        <v>1</v>
      </c>
      <c r="AF57" t="n">
        <v>0</v>
      </c>
      <c r="AG57" t="n">
        <v>0</v>
      </c>
      <c r="AH57" t="n">
        <v>0</v>
      </c>
      <c r="AI57" t="n">
        <v>0</v>
      </c>
      <c r="AJ57" t="n">
        <v>1</v>
      </c>
      <c r="AK57" t="n">
        <v>1</v>
      </c>
      <c r="AL57" t="n">
        <v>0</v>
      </c>
      <c r="AM57" t="n">
        <v>0</v>
      </c>
      <c r="AN57" t="n">
        <v>0</v>
      </c>
      <c r="AO57" t="n">
        <v>0</v>
      </c>
      <c r="AP57" t="inlineStr">
        <is>
          <t>No</t>
        </is>
      </c>
      <c r="AQ57" t="inlineStr">
        <is>
          <t>Yes</t>
        </is>
      </c>
      <c r="AR57">
        <f>HYPERLINK("http://catalog.hathitrust.org/Record/102063029","HathiTrust Record")</f>
        <v/>
      </c>
      <c r="AS57">
        <f>HYPERLINK("https://creighton-primo.hosted.exlibrisgroup.com/primo-explore/search?tab=default_tab&amp;search_scope=EVERYTHING&amp;vid=01CRU&amp;lang=en_US&amp;offset=0&amp;query=any,contains,991003794819702656","Catalog Record")</f>
        <v/>
      </c>
      <c r="AT57">
        <f>HYPERLINK("http://www.worldcat.org/oclc/1515780","WorldCat Record")</f>
        <v/>
      </c>
      <c r="AU57" t="inlineStr">
        <is>
          <t>4226651281:eng</t>
        </is>
      </c>
      <c r="AV57" t="inlineStr">
        <is>
          <t>1515780</t>
        </is>
      </c>
      <c r="AW57" t="inlineStr">
        <is>
          <t>991003794819702656</t>
        </is>
      </c>
      <c r="AX57" t="inlineStr">
        <is>
          <t>991003794819702656</t>
        </is>
      </c>
      <c r="AY57" t="inlineStr">
        <is>
          <t>2264056390002656</t>
        </is>
      </c>
      <c r="AZ57" t="inlineStr">
        <is>
          <t>BOOK</t>
        </is>
      </c>
      <c r="BC57" t="inlineStr">
        <is>
          <t>32285003229639</t>
        </is>
      </c>
      <c r="BD57" t="inlineStr">
        <is>
          <t>893686982</t>
        </is>
      </c>
    </row>
    <row r="58">
      <c r="A58" t="inlineStr">
        <is>
          <t>No</t>
        </is>
      </c>
      <c r="B58" t="inlineStr">
        <is>
          <t>PE1112 .F64 1986</t>
        </is>
      </c>
      <c r="C58" t="inlineStr">
        <is>
          <t>0                      PE 1112000F  64          1986</t>
        </is>
      </c>
      <c r="D58" t="inlineStr">
        <is>
          <t>The Little, Brown handbook / H. Ramsey Fowler, with the editors of Little, Brown.</t>
        </is>
      </c>
      <c r="F58" t="inlineStr">
        <is>
          <t>No</t>
        </is>
      </c>
      <c r="G58" t="inlineStr">
        <is>
          <t>1</t>
        </is>
      </c>
      <c r="H58" t="inlineStr">
        <is>
          <t>No</t>
        </is>
      </c>
      <c r="I58" t="inlineStr">
        <is>
          <t>No</t>
        </is>
      </c>
      <c r="J58" t="inlineStr">
        <is>
          <t>0</t>
        </is>
      </c>
      <c r="K58" t="inlineStr">
        <is>
          <t>Fowler, H. Ramsey (Henry Ramsey)</t>
        </is>
      </c>
      <c r="L58" t="inlineStr">
        <is>
          <t>Boston : Little, Brown, c1986.</t>
        </is>
      </c>
      <c r="M58" t="inlineStr">
        <is>
          <t>1986</t>
        </is>
      </c>
      <c r="N58" t="inlineStr">
        <is>
          <t>3rd ed.</t>
        </is>
      </c>
      <c r="O58" t="inlineStr">
        <is>
          <t>eng</t>
        </is>
      </c>
      <c r="P58" t="inlineStr">
        <is>
          <t>mau</t>
        </is>
      </c>
      <c r="R58" t="inlineStr">
        <is>
          <t xml:space="preserve">PE </t>
        </is>
      </c>
      <c r="S58" t="n">
        <v>14</v>
      </c>
      <c r="T58" t="n">
        <v>14</v>
      </c>
      <c r="U58" t="inlineStr">
        <is>
          <t>2002-01-17</t>
        </is>
      </c>
      <c r="V58" t="inlineStr">
        <is>
          <t>2002-01-17</t>
        </is>
      </c>
      <c r="W58" t="inlineStr">
        <is>
          <t>1993-09-24</t>
        </is>
      </c>
      <c r="X58" t="inlineStr">
        <is>
          <t>1993-09-24</t>
        </is>
      </c>
      <c r="Y58" t="n">
        <v>211</v>
      </c>
      <c r="Z58" t="n">
        <v>187</v>
      </c>
      <c r="AA58" t="n">
        <v>1710</v>
      </c>
      <c r="AB58" t="n">
        <v>1</v>
      </c>
      <c r="AC58" t="n">
        <v>8</v>
      </c>
      <c r="AD58" t="n">
        <v>3</v>
      </c>
      <c r="AE58" t="n">
        <v>35</v>
      </c>
      <c r="AF58" t="n">
        <v>2</v>
      </c>
      <c r="AG58" t="n">
        <v>15</v>
      </c>
      <c r="AH58" t="n">
        <v>0</v>
      </c>
      <c r="AI58" t="n">
        <v>5</v>
      </c>
      <c r="AJ58" t="n">
        <v>1</v>
      </c>
      <c r="AK58" t="n">
        <v>14</v>
      </c>
      <c r="AL58" t="n">
        <v>0</v>
      </c>
      <c r="AM58" t="n">
        <v>5</v>
      </c>
      <c r="AN58" t="n">
        <v>0</v>
      </c>
      <c r="AO58" t="n">
        <v>5</v>
      </c>
      <c r="AP58" t="inlineStr">
        <is>
          <t>No</t>
        </is>
      </c>
      <c r="AQ58" t="inlineStr">
        <is>
          <t>Yes</t>
        </is>
      </c>
      <c r="AR58">
        <f>HYPERLINK("http://catalog.hathitrust.org/Record/001293337","HathiTrust Record")</f>
        <v/>
      </c>
      <c r="AS58">
        <f>HYPERLINK("https://creighton-primo.hosted.exlibrisgroup.com/primo-explore/search?tab=default_tab&amp;search_scope=EVERYTHING&amp;vid=01CRU&amp;lang=en_US&amp;offset=0&amp;query=any,contains,991000722249702656","Catalog Record")</f>
        <v/>
      </c>
      <c r="AT58">
        <f>HYPERLINK("http://www.worldcat.org/oclc/12668013","WorldCat Record")</f>
        <v/>
      </c>
      <c r="AU58" t="inlineStr">
        <is>
          <t>678629:eng</t>
        </is>
      </c>
      <c r="AV58" t="inlineStr">
        <is>
          <t>12668013</t>
        </is>
      </c>
      <c r="AW58" t="inlineStr">
        <is>
          <t>991000722249702656</t>
        </is>
      </c>
      <c r="AX58" t="inlineStr">
        <is>
          <t>991000722249702656</t>
        </is>
      </c>
      <c r="AY58" t="inlineStr">
        <is>
          <t>2266568330002656</t>
        </is>
      </c>
      <c r="AZ58" t="inlineStr">
        <is>
          <t>BOOK</t>
        </is>
      </c>
      <c r="BB58" t="inlineStr">
        <is>
          <t>9780316289955</t>
        </is>
      </c>
      <c r="BC58" t="inlineStr">
        <is>
          <t>32285001759397</t>
        </is>
      </c>
      <c r="BD58" t="inlineStr">
        <is>
          <t>893345918</t>
        </is>
      </c>
    </row>
    <row r="59">
      <c r="A59" t="inlineStr">
        <is>
          <t>No</t>
        </is>
      </c>
      <c r="B59" t="inlineStr">
        <is>
          <t>PE1112 .H3</t>
        </is>
      </c>
      <c r="C59" t="inlineStr">
        <is>
          <t>0                      PE 1112000H  3</t>
        </is>
      </c>
      <c r="D59" t="inlineStr">
        <is>
          <t>A transformational syntax; the grammar of modern American English.</t>
        </is>
      </c>
      <c r="F59" t="inlineStr">
        <is>
          <t>No</t>
        </is>
      </c>
      <c r="G59" t="inlineStr">
        <is>
          <t>1</t>
        </is>
      </c>
      <c r="H59" t="inlineStr">
        <is>
          <t>No</t>
        </is>
      </c>
      <c r="I59" t="inlineStr">
        <is>
          <t>No</t>
        </is>
      </c>
      <c r="J59" t="inlineStr">
        <is>
          <t>0</t>
        </is>
      </c>
      <c r="K59" t="inlineStr">
        <is>
          <t>Hathaway, Baxter, 1909-1984.</t>
        </is>
      </c>
      <c r="L59" t="inlineStr">
        <is>
          <t>New York, Ronald Press Co. [1967]</t>
        </is>
      </c>
      <c r="M59" t="inlineStr">
        <is>
          <t>1967</t>
        </is>
      </c>
      <c r="O59" t="inlineStr">
        <is>
          <t>eng</t>
        </is>
      </c>
      <c r="P59" t="inlineStr">
        <is>
          <t>nyu</t>
        </is>
      </c>
      <c r="R59" t="inlineStr">
        <is>
          <t xml:space="preserve">PE </t>
        </is>
      </c>
      <c r="S59" t="n">
        <v>1</v>
      </c>
      <c r="T59" t="n">
        <v>1</v>
      </c>
      <c r="U59" t="inlineStr">
        <is>
          <t>2008-07-17</t>
        </is>
      </c>
      <c r="V59" t="inlineStr">
        <is>
          <t>2008-07-17</t>
        </is>
      </c>
      <c r="W59" t="inlineStr">
        <is>
          <t>1997-09-19</t>
        </is>
      </c>
      <c r="X59" t="inlineStr">
        <is>
          <t>1997-09-19</t>
        </is>
      </c>
      <c r="Y59" t="n">
        <v>387</v>
      </c>
      <c r="Z59" t="n">
        <v>301</v>
      </c>
      <c r="AA59" t="n">
        <v>306</v>
      </c>
      <c r="AB59" t="n">
        <v>4</v>
      </c>
      <c r="AC59" t="n">
        <v>4</v>
      </c>
      <c r="AD59" t="n">
        <v>14</v>
      </c>
      <c r="AE59" t="n">
        <v>14</v>
      </c>
      <c r="AF59" t="n">
        <v>4</v>
      </c>
      <c r="AG59" t="n">
        <v>4</v>
      </c>
      <c r="AH59" t="n">
        <v>4</v>
      </c>
      <c r="AI59" t="n">
        <v>4</v>
      </c>
      <c r="AJ59" t="n">
        <v>9</v>
      </c>
      <c r="AK59" t="n">
        <v>9</v>
      </c>
      <c r="AL59" t="n">
        <v>3</v>
      </c>
      <c r="AM59" t="n">
        <v>3</v>
      </c>
      <c r="AN59" t="n">
        <v>0</v>
      </c>
      <c r="AO59" t="n">
        <v>0</v>
      </c>
      <c r="AP59" t="inlineStr">
        <is>
          <t>No</t>
        </is>
      </c>
      <c r="AQ59" t="inlineStr">
        <is>
          <t>Yes</t>
        </is>
      </c>
      <c r="AR59">
        <f>HYPERLINK("http://catalog.hathitrust.org/Record/001441304","HathiTrust Record")</f>
        <v/>
      </c>
      <c r="AS59">
        <f>HYPERLINK("https://creighton-primo.hosted.exlibrisgroup.com/primo-explore/search?tab=default_tab&amp;search_scope=EVERYTHING&amp;vid=01CRU&amp;lang=en_US&amp;offset=0&amp;query=any,contains,991003516019702656","Catalog Record")</f>
        <v/>
      </c>
      <c r="AT59">
        <f>HYPERLINK("http://www.worldcat.org/oclc/1073562","WorldCat Record")</f>
        <v/>
      </c>
      <c r="AU59" t="inlineStr">
        <is>
          <t>3901108430:eng</t>
        </is>
      </c>
      <c r="AV59" t="inlineStr">
        <is>
          <t>1073562</t>
        </is>
      </c>
      <c r="AW59" t="inlineStr">
        <is>
          <t>991003516019702656</t>
        </is>
      </c>
      <c r="AX59" t="inlineStr">
        <is>
          <t>991003516019702656</t>
        </is>
      </c>
      <c r="AY59" t="inlineStr">
        <is>
          <t>2254801960002656</t>
        </is>
      </c>
      <c r="AZ59" t="inlineStr">
        <is>
          <t>BOOK</t>
        </is>
      </c>
      <c r="BC59" t="inlineStr">
        <is>
          <t>32285003229746</t>
        </is>
      </c>
      <c r="BD59" t="inlineStr">
        <is>
          <t>893717745</t>
        </is>
      </c>
    </row>
    <row r="60">
      <c r="A60" t="inlineStr">
        <is>
          <t>No</t>
        </is>
      </c>
      <c r="B60" t="inlineStr">
        <is>
          <t>PE1112 .H53 1993</t>
        </is>
      </c>
      <c r="C60" t="inlineStr">
        <is>
          <t>0                      PE 1112000H  53          1993</t>
        </is>
      </c>
      <c r="D60" t="inlineStr">
        <is>
          <t>English for journalists / Wynford Hicks.</t>
        </is>
      </c>
      <c r="F60" t="inlineStr">
        <is>
          <t>No</t>
        </is>
      </c>
      <c r="G60" t="inlineStr">
        <is>
          <t>1</t>
        </is>
      </c>
      <c r="H60" t="inlineStr">
        <is>
          <t>No</t>
        </is>
      </c>
      <c r="I60" t="inlineStr">
        <is>
          <t>No</t>
        </is>
      </c>
      <c r="J60" t="inlineStr">
        <is>
          <t>0</t>
        </is>
      </c>
      <c r="K60" t="inlineStr">
        <is>
          <t>Hicks, Wynford, 1942-</t>
        </is>
      </c>
      <c r="L60" t="inlineStr">
        <is>
          <t>London ; New York : Routledge, 1993.</t>
        </is>
      </c>
      <c r="M60" t="inlineStr">
        <is>
          <t>1993</t>
        </is>
      </c>
      <c r="O60" t="inlineStr">
        <is>
          <t>eng</t>
        </is>
      </c>
      <c r="P60" t="inlineStr">
        <is>
          <t>enk</t>
        </is>
      </c>
      <c r="R60" t="inlineStr">
        <is>
          <t xml:space="preserve">PE </t>
        </is>
      </c>
      <c r="S60" t="n">
        <v>4</v>
      </c>
      <c r="T60" t="n">
        <v>4</v>
      </c>
      <c r="U60" t="inlineStr">
        <is>
          <t>1995-11-17</t>
        </is>
      </c>
      <c r="V60" t="inlineStr">
        <is>
          <t>1995-11-17</t>
        </is>
      </c>
      <c r="W60" t="inlineStr">
        <is>
          <t>1995-05-31</t>
        </is>
      </c>
      <c r="X60" t="inlineStr">
        <is>
          <t>1995-05-31</t>
        </is>
      </c>
      <c r="Y60" t="n">
        <v>144</v>
      </c>
      <c r="Z60" t="n">
        <v>45</v>
      </c>
      <c r="AA60" t="n">
        <v>774</v>
      </c>
      <c r="AB60" t="n">
        <v>1</v>
      </c>
      <c r="AC60" t="n">
        <v>15</v>
      </c>
      <c r="AD60" t="n">
        <v>0</v>
      </c>
      <c r="AE60" t="n">
        <v>19</v>
      </c>
      <c r="AF60" t="n">
        <v>0</v>
      </c>
      <c r="AG60" t="n">
        <v>3</v>
      </c>
      <c r="AH60" t="n">
        <v>0</v>
      </c>
      <c r="AI60" t="n">
        <v>2</v>
      </c>
      <c r="AJ60" t="n">
        <v>0</v>
      </c>
      <c r="AK60" t="n">
        <v>4</v>
      </c>
      <c r="AL60" t="n">
        <v>0</v>
      </c>
      <c r="AM60" t="n">
        <v>12</v>
      </c>
      <c r="AN60" t="n">
        <v>0</v>
      </c>
      <c r="AO60" t="n">
        <v>0</v>
      </c>
      <c r="AP60" t="inlineStr">
        <is>
          <t>No</t>
        </is>
      </c>
      <c r="AQ60" t="inlineStr">
        <is>
          <t>No</t>
        </is>
      </c>
      <c r="AS60">
        <f>HYPERLINK("https://creighton-primo.hosted.exlibrisgroup.com/primo-explore/search?tab=default_tab&amp;search_scope=EVERYTHING&amp;vid=01CRU&amp;lang=en_US&amp;offset=0&amp;query=any,contains,991002164799702656","Catalog Record")</f>
        <v/>
      </c>
      <c r="AT60">
        <f>HYPERLINK("http://www.worldcat.org/oclc/27894581","WorldCat Record")</f>
        <v/>
      </c>
      <c r="AU60" t="inlineStr">
        <is>
          <t>337768:eng</t>
        </is>
      </c>
      <c r="AV60" t="inlineStr">
        <is>
          <t>27894581</t>
        </is>
      </c>
      <c r="AW60" t="inlineStr">
        <is>
          <t>991002164799702656</t>
        </is>
      </c>
      <c r="AX60" t="inlineStr">
        <is>
          <t>991002164799702656</t>
        </is>
      </c>
      <c r="AY60" t="inlineStr">
        <is>
          <t>2261345630002656</t>
        </is>
      </c>
      <c r="AZ60" t="inlineStr">
        <is>
          <t>BOOK</t>
        </is>
      </c>
      <c r="BB60" t="inlineStr">
        <is>
          <t>9780415094931</t>
        </is>
      </c>
      <c r="BC60" t="inlineStr">
        <is>
          <t>32285002047768</t>
        </is>
      </c>
      <c r="BD60" t="inlineStr">
        <is>
          <t>893244838</t>
        </is>
      </c>
    </row>
    <row r="61">
      <c r="A61" t="inlineStr">
        <is>
          <t>No</t>
        </is>
      </c>
      <c r="B61" t="inlineStr">
        <is>
          <t>PE1112 .H6 1990</t>
        </is>
      </c>
      <c r="C61" t="inlineStr">
        <is>
          <t>0                      PE 1112000H  6           1990</t>
        </is>
      </c>
      <c r="D61" t="inlineStr">
        <is>
          <t>Harbrace college handbook / John C. Hodges ... [et al.].</t>
        </is>
      </c>
      <c r="F61" t="inlineStr">
        <is>
          <t>No</t>
        </is>
      </c>
      <c r="G61" t="inlineStr">
        <is>
          <t>1</t>
        </is>
      </c>
      <c r="H61" t="inlineStr">
        <is>
          <t>No</t>
        </is>
      </c>
      <c r="I61" t="inlineStr">
        <is>
          <t>Yes</t>
        </is>
      </c>
      <c r="J61" t="inlineStr">
        <is>
          <t>0</t>
        </is>
      </c>
      <c r="L61" t="inlineStr">
        <is>
          <t>San Diego : Harcourt Brace Jovanovich, c1990.</t>
        </is>
      </c>
      <c r="M61" t="inlineStr">
        <is>
          <t>1990</t>
        </is>
      </c>
      <c r="N61" t="inlineStr">
        <is>
          <t>11th ed.</t>
        </is>
      </c>
      <c r="O61" t="inlineStr">
        <is>
          <t>eng</t>
        </is>
      </c>
      <c r="P61" t="inlineStr">
        <is>
          <t>cau</t>
        </is>
      </c>
      <c r="R61" t="inlineStr">
        <is>
          <t xml:space="preserve">PE </t>
        </is>
      </c>
      <c r="S61" t="n">
        <v>8</v>
      </c>
      <c r="T61" t="n">
        <v>8</v>
      </c>
      <c r="U61" t="inlineStr">
        <is>
          <t>2002-12-19</t>
        </is>
      </c>
      <c r="V61" t="inlineStr">
        <is>
          <t>2002-12-19</t>
        </is>
      </c>
      <c r="W61" t="inlineStr">
        <is>
          <t>1996-09-04</t>
        </is>
      </c>
      <c r="X61" t="inlineStr">
        <is>
          <t>1996-09-04</t>
        </is>
      </c>
      <c r="Y61" t="n">
        <v>603</v>
      </c>
      <c r="Z61" t="n">
        <v>568</v>
      </c>
      <c r="AA61" t="n">
        <v>2291</v>
      </c>
      <c r="AB61" t="n">
        <v>7</v>
      </c>
      <c r="AC61" t="n">
        <v>18</v>
      </c>
      <c r="AD61" t="n">
        <v>10</v>
      </c>
      <c r="AE61" t="n">
        <v>53</v>
      </c>
      <c r="AF61" t="n">
        <v>3</v>
      </c>
      <c r="AG61" t="n">
        <v>13</v>
      </c>
      <c r="AH61" t="n">
        <v>1</v>
      </c>
      <c r="AI61" t="n">
        <v>8</v>
      </c>
      <c r="AJ61" t="n">
        <v>5</v>
      </c>
      <c r="AK61" t="n">
        <v>17</v>
      </c>
      <c r="AL61" t="n">
        <v>3</v>
      </c>
      <c r="AM61" t="n">
        <v>10</v>
      </c>
      <c r="AN61" t="n">
        <v>0</v>
      </c>
      <c r="AO61" t="n">
        <v>11</v>
      </c>
      <c r="AP61" t="inlineStr">
        <is>
          <t>No</t>
        </is>
      </c>
      <c r="AQ61" t="inlineStr">
        <is>
          <t>No</t>
        </is>
      </c>
      <c r="AS61">
        <f>HYPERLINK("https://creighton-primo.hosted.exlibrisgroup.com/primo-explore/search?tab=default_tab&amp;search_scope=EVERYTHING&amp;vid=01CRU&amp;lang=en_US&amp;offset=0&amp;query=any,contains,991001630109702656","Catalog Record")</f>
        <v/>
      </c>
      <c r="AT61">
        <f>HYPERLINK("http://www.worldcat.org/oclc/20898963","WorldCat Record")</f>
        <v/>
      </c>
      <c r="AU61" t="inlineStr">
        <is>
          <t>2247450:eng</t>
        </is>
      </c>
      <c r="AV61" t="inlineStr">
        <is>
          <t>20898963</t>
        </is>
      </c>
      <c r="AW61" t="inlineStr">
        <is>
          <t>991001630109702656</t>
        </is>
      </c>
      <c r="AX61" t="inlineStr">
        <is>
          <t>991001630109702656</t>
        </is>
      </c>
      <c r="AY61" t="inlineStr">
        <is>
          <t>2268060660002656</t>
        </is>
      </c>
      <c r="AZ61" t="inlineStr">
        <is>
          <t>BOOK</t>
        </is>
      </c>
      <c r="BB61" t="inlineStr">
        <is>
          <t>9780155318625</t>
        </is>
      </c>
      <c r="BC61" t="inlineStr">
        <is>
          <t>32285002294410</t>
        </is>
      </c>
      <c r="BD61" t="inlineStr">
        <is>
          <t>893879003</t>
        </is>
      </c>
    </row>
    <row r="62">
      <c r="A62" t="inlineStr">
        <is>
          <t>No</t>
        </is>
      </c>
      <c r="B62" t="inlineStr">
        <is>
          <t>PE1112 .M64 1991</t>
        </is>
      </c>
      <c r="C62" t="inlineStr">
        <is>
          <t>0                      PE 1112000M  64          1991</t>
        </is>
      </c>
      <c r="D62" t="inlineStr">
        <is>
          <t>Doing grammar / Max Morenberg.</t>
        </is>
      </c>
      <c r="F62" t="inlineStr">
        <is>
          <t>No</t>
        </is>
      </c>
      <c r="G62" t="inlineStr">
        <is>
          <t>1</t>
        </is>
      </c>
      <c r="H62" t="inlineStr">
        <is>
          <t>No</t>
        </is>
      </c>
      <c r="I62" t="inlineStr">
        <is>
          <t>No</t>
        </is>
      </c>
      <c r="J62" t="inlineStr">
        <is>
          <t>0</t>
        </is>
      </c>
      <c r="K62" t="inlineStr">
        <is>
          <t>Morenberg, Max, 1940-</t>
        </is>
      </c>
      <c r="L62" t="inlineStr">
        <is>
          <t>New York : Oxford University Press, 1991.</t>
        </is>
      </c>
      <c r="M62" t="inlineStr">
        <is>
          <t>1991</t>
        </is>
      </c>
      <c r="O62" t="inlineStr">
        <is>
          <t>eng</t>
        </is>
      </c>
      <c r="P62" t="inlineStr">
        <is>
          <t>nyu</t>
        </is>
      </c>
      <c r="R62" t="inlineStr">
        <is>
          <t xml:space="preserve">PE </t>
        </is>
      </c>
      <c r="S62" t="n">
        <v>14</v>
      </c>
      <c r="T62" t="n">
        <v>14</v>
      </c>
      <c r="U62" t="inlineStr">
        <is>
          <t>1994-09-29</t>
        </is>
      </c>
      <c r="V62" t="inlineStr">
        <is>
          <t>1994-09-29</t>
        </is>
      </c>
      <c r="W62" t="inlineStr">
        <is>
          <t>1991-11-18</t>
        </is>
      </c>
      <c r="X62" t="inlineStr">
        <is>
          <t>1991-11-18</t>
        </is>
      </c>
      <c r="Y62" t="n">
        <v>267</v>
      </c>
      <c r="Z62" t="n">
        <v>207</v>
      </c>
      <c r="AA62" t="n">
        <v>476</v>
      </c>
      <c r="AB62" t="n">
        <v>2</v>
      </c>
      <c r="AC62" t="n">
        <v>5</v>
      </c>
      <c r="AD62" t="n">
        <v>9</v>
      </c>
      <c r="AE62" t="n">
        <v>19</v>
      </c>
      <c r="AF62" t="n">
        <v>5</v>
      </c>
      <c r="AG62" t="n">
        <v>8</v>
      </c>
      <c r="AH62" t="n">
        <v>1</v>
      </c>
      <c r="AI62" t="n">
        <v>5</v>
      </c>
      <c r="AJ62" t="n">
        <v>3</v>
      </c>
      <c r="AK62" t="n">
        <v>8</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HYPERLINK("https://creighton-primo.hosted.exlibrisgroup.com/primo-explore/search?tab=default_tab&amp;search_scope=EVERYTHING&amp;vid=01CRU&amp;lang=en_US&amp;offset=0&amp;query=any,contains,991001704949702656","Catalog Record")</f>
        <v/>
      </c>
      <c r="AT62">
        <f>HYPERLINK("http://www.worldcat.org/oclc/21560131","WorldCat Record")</f>
        <v/>
      </c>
      <c r="AU62" t="inlineStr">
        <is>
          <t>22984261:eng</t>
        </is>
      </c>
      <c r="AV62" t="inlineStr">
        <is>
          <t>21560131</t>
        </is>
      </c>
      <c r="AW62" t="inlineStr">
        <is>
          <t>991001704949702656</t>
        </is>
      </c>
      <c r="AX62" t="inlineStr">
        <is>
          <t>991001704949702656</t>
        </is>
      </c>
      <c r="AY62" t="inlineStr">
        <is>
          <t>2262956620002656</t>
        </is>
      </c>
      <c r="AZ62" t="inlineStr">
        <is>
          <t>BOOK</t>
        </is>
      </c>
      <c r="BB62" t="inlineStr">
        <is>
          <t>9780195064278</t>
        </is>
      </c>
      <c r="BC62" t="inlineStr">
        <is>
          <t>32285000816743</t>
        </is>
      </c>
      <c r="BD62" t="inlineStr">
        <is>
          <t>893903535</t>
        </is>
      </c>
    </row>
    <row r="63">
      <c r="A63" t="inlineStr">
        <is>
          <t>No</t>
        </is>
      </c>
      <c r="B63" t="inlineStr">
        <is>
          <t>PE1112 .P3 1970</t>
        </is>
      </c>
      <c r="C63" t="inlineStr">
        <is>
          <t>0                      PE 1112000P  3           1970</t>
        </is>
      </c>
      <c r="D63" t="inlineStr">
        <is>
          <t>English; a course for human beings.</t>
        </is>
      </c>
      <c r="F63" t="inlineStr">
        <is>
          <t>No</t>
        </is>
      </c>
      <c r="G63" t="inlineStr">
        <is>
          <t>1</t>
        </is>
      </c>
      <c r="H63" t="inlineStr">
        <is>
          <t>No</t>
        </is>
      </c>
      <c r="I63" t="inlineStr">
        <is>
          <t>No</t>
        </is>
      </c>
      <c r="J63" t="inlineStr">
        <is>
          <t>0</t>
        </is>
      </c>
      <c r="K63" t="inlineStr">
        <is>
          <t>Partridge, Eric, 1894-1979.</t>
        </is>
      </c>
      <c r="L63" t="inlineStr">
        <is>
          <t>Freeport, N.Y., Books for Libraries Press [1970]</t>
        </is>
      </c>
      <c r="M63" t="inlineStr">
        <is>
          <t>1970</t>
        </is>
      </c>
      <c r="N63" t="inlineStr">
        <is>
          <t>4th ed.</t>
        </is>
      </c>
      <c r="O63" t="inlineStr">
        <is>
          <t>eng</t>
        </is>
      </c>
      <c r="P63" t="inlineStr">
        <is>
          <t>nyu</t>
        </is>
      </c>
      <c r="R63" t="inlineStr">
        <is>
          <t xml:space="preserve">PE </t>
        </is>
      </c>
      <c r="S63" t="n">
        <v>2</v>
      </c>
      <c r="T63" t="n">
        <v>2</v>
      </c>
      <c r="U63" t="inlineStr">
        <is>
          <t>2004-03-05</t>
        </is>
      </c>
      <c r="V63" t="inlineStr">
        <is>
          <t>2004-03-05</t>
        </is>
      </c>
      <c r="W63" t="inlineStr">
        <is>
          <t>1997-09-19</t>
        </is>
      </c>
      <c r="X63" t="inlineStr">
        <is>
          <t>1997-09-19</t>
        </is>
      </c>
      <c r="Y63" t="n">
        <v>142</v>
      </c>
      <c r="Z63" t="n">
        <v>134</v>
      </c>
      <c r="AA63" t="n">
        <v>232</v>
      </c>
      <c r="AB63" t="n">
        <v>3</v>
      </c>
      <c r="AC63" t="n">
        <v>3</v>
      </c>
      <c r="AD63" t="n">
        <v>7</v>
      </c>
      <c r="AE63" t="n">
        <v>17</v>
      </c>
      <c r="AF63" t="n">
        <v>2</v>
      </c>
      <c r="AG63" t="n">
        <v>5</v>
      </c>
      <c r="AH63" t="n">
        <v>2</v>
      </c>
      <c r="AI63" t="n">
        <v>5</v>
      </c>
      <c r="AJ63" t="n">
        <v>3</v>
      </c>
      <c r="AK63" t="n">
        <v>11</v>
      </c>
      <c r="AL63" t="n">
        <v>2</v>
      </c>
      <c r="AM63" t="n">
        <v>2</v>
      </c>
      <c r="AN63" t="n">
        <v>0</v>
      </c>
      <c r="AO63" t="n">
        <v>0</v>
      </c>
      <c r="AP63" t="inlineStr">
        <is>
          <t>No</t>
        </is>
      </c>
      <c r="AQ63" t="inlineStr">
        <is>
          <t>Yes</t>
        </is>
      </c>
      <c r="AR63">
        <f>HYPERLINK("http://catalog.hathitrust.org/Record/102068661","HathiTrust Record")</f>
        <v/>
      </c>
      <c r="AS63">
        <f>HYPERLINK("https://creighton-primo.hosted.exlibrisgroup.com/primo-explore/search?tab=default_tab&amp;search_scope=EVERYTHING&amp;vid=01CRU&amp;lang=en_US&amp;offset=0&amp;query=any,contains,991000490149702656","Catalog Record")</f>
        <v/>
      </c>
      <c r="AT63">
        <f>HYPERLINK("http://www.worldcat.org/oclc/80186","WorldCat Record")</f>
        <v/>
      </c>
      <c r="AU63" t="inlineStr">
        <is>
          <t>14661744:eng</t>
        </is>
      </c>
      <c r="AV63" t="inlineStr">
        <is>
          <t>80186</t>
        </is>
      </c>
      <c r="AW63" t="inlineStr">
        <is>
          <t>991000490149702656</t>
        </is>
      </c>
      <c r="AX63" t="inlineStr">
        <is>
          <t>991000490149702656</t>
        </is>
      </c>
      <c r="AY63" t="inlineStr">
        <is>
          <t>2264923260002656</t>
        </is>
      </c>
      <c r="AZ63" t="inlineStr">
        <is>
          <t>BOOK</t>
        </is>
      </c>
      <c r="BB63" t="inlineStr">
        <is>
          <t>9780836953541</t>
        </is>
      </c>
      <c r="BC63" t="inlineStr">
        <is>
          <t>32285003229803</t>
        </is>
      </c>
      <c r="BD63" t="inlineStr">
        <is>
          <t>893225022</t>
        </is>
      </c>
    </row>
    <row r="64">
      <c r="A64" t="inlineStr">
        <is>
          <t>No</t>
        </is>
      </c>
      <c r="B64" t="inlineStr">
        <is>
          <t>PE1112 .R45 1998</t>
        </is>
      </c>
      <c r="C64" t="inlineStr">
        <is>
          <t>0                      PE 1112000R  45          1998</t>
        </is>
      </c>
      <c r="D64" t="inlineStr">
        <is>
          <t>English grammar : prescriptive, descriptive, generative, performance / Kathryn Riley, Frank Parker.</t>
        </is>
      </c>
      <c r="F64" t="inlineStr">
        <is>
          <t>No</t>
        </is>
      </c>
      <c r="G64" t="inlineStr">
        <is>
          <t>1</t>
        </is>
      </c>
      <c r="H64" t="inlineStr">
        <is>
          <t>No</t>
        </is>
      </c>
      <c r="I64" t="inlineStr">
        <is>
          <t>No</t>
        </is>
      </c>
      <c r="J64" t="inlineStr">
        <is>
          <t>0</t>
        </is>
      </c>
      <c r="K64" t="inlineStr">
        <is>
          <t>Riley, Kathryn Louise, 1951-</t>
        </is>
      </c>
      <c r="L64" t="inlineStr">
        <is>
          <t>Boston : Allyn and Bacon, c1998.</t>
        </is>
      </c>
      <c r="M64" t="inlineStr">
        <is>
          <t>1998</t>
        </is>
      </c>
      <c r="O64" t="inlineStr">
        <is>
          <t>eng</t>
        </is>
      </c>
      <c r="P64" t="inlineStr">
        <is>
          <t>mau</t>
        </is>
      </c>
      <c r="R64" t="inlineStr">
        <is>
          <t xml:space="preserve">PE </t>
        </is>
      </c>
      <c r="S64" t="n">
        <v>9</v>
      </c>
      <c r="T64" t="n">
        <v>9</v>
      </c>
      <c r="U64" t="inlineStr">
        <is>
          <t>2008-07-17</t>
        </is>
      </c>
      <c r="V64" t="inlineStr">
        <is>
          <t>2008-07-17</t>
        </is>
      </c>
      <c r="W64" t="inlineStr">
        <is>
          <t>1998-12-14</t>
        </is>
      </c>
      <c r="X64" t="inlineStr">
        <is>
          <t>1998-12-14</t>
        </is>
      </c>
      <c r="Y64" t="n">
        <v>70</v>
      </c>
      <c r="Z64" t="n">
        <v>53</v>
      </c>
      <c r="AA64" t="n">
        <v>53</v>
      </c>
      <c r="AB64" t="n">
        <v>3</v>
      </c>
      <c r="AC64" t="n">
        <v>3</v>
      </c>
      <c r="AD64" t="n">
        <v>3</v>
      </c>
      <c r="AE64" t="n">
        <v>3</v>
      </c>
      <c r="AF64" t="n">
        <v>1</v>
      </c>
      <c r="AG64" t="n">
        <v>1</v>
      </c>
      <c r="AH64" t="n">
        <v>0</v>
      </c>
      <c r="AI64" t="n">
        <v>0</v>
      </c>
      <c r="AJ64" t="n">
        <v>1</v>
      </c>
      <c r="AK64" t="n">
        <v>1</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HYPERLINK("https://creighton-primo.hosted.exlibrisgroup.com/primo-explore/search?tab=default_tab&amp;search_scope=EVERYTHING&amp;vid=01CRU&amp;lang=en_US&amp;offset=0&amp;query=any,contains,991002908769702656","Catalog Record")</f>
        <v/>
      </c>
      <c r="AT64">
        <f>HYPERLINK("http://www.worldcat.org/oclc/38438790","WorldCat Record")</f>
        <v/>
      </c>
      <c r="AU64" t="inlineStr">
        <is>
          <t>477451240:eng</t>
        </is>
      </c>
      <c r="AV64" t="inlineStr">
        <is>
          <t>38438790</t>
        </is>
      </c>
      <c r="AW64" t="inlineStr">
        <is>
          <t>991002908769702656</t>
        </is>
      </c>
      <c r="AX64" t="inlineStr">
        <is>
          <t>991002908769702656</t>
        </is>
      </c>
      <c r="AY64" t="inlineStr">
        <is>
          <t>2271516140002656</t>
        </is>
      </c>
      <c r="AZ64" t="inlineStr">
        <is>
          <t>BOOK</t>
        </is>
      </c>
      <c r="BB64" t="inlineStr">
        <is>
          <t>9780205200252</t>
        </is>
      </c>
      <c r="BC64" t="inlineStr">
        <is>
          <t>32285003505954</t>
        </is>
      </c>
      <c r="BD64" t="inlineStr">
        <is>
          <t>893780378</t>
        </is>
      </c>
    </row>
    <row r="65">
      <c r="A65" t="inlineStr">
        <is>
          <t>No</t>
        </is>
      </c>
      <c r="B65" t="inlineStr">
        <is>
          <t>PE1112 .S7 1971</t>
        </is>
      </c>
      <c r="C65" t="inlineStr">
        <is>
          <t>0                      PE 1112000S  7           1971</t>
        </is>
      </c>
      <c r="D65" t="inlineStr">
        <is>
          <t>An introductory English grammar / [by] Norman C. Stageberg. With a chapter on Transformational grammar, by Ralph M. Goodman.</t>
        </is>
      </c>
      <c r="F65" t="inlineStr">
        <is>
          <t>No</t>
        </is>
      </c>
      <c r="G65" t="inlineStr">
        <is>
          <t>1</t>
        </is>
      </c>
      <c r="H65" t="inlineStr">
        <is>
          <t>No</t>
        </is>
      </c>
      <c r="I65" t="inlineStr">
        <is>
          <t>No</t>
        </is>
      </c>
      <c r="J65" t="inlineStr">
        <is>
          <t>0</t>
        </is>
      </c>
      <c r="K65" t="inlineStr">
        <is>
          <t>Stageberg, Norman C.</t>
        </is>
      </c>
      <c r="L65" t="inlineStr">
        <is>
          <t>New York : Holt, Rinehart and Winston, [c1971]</t>
        </is>
      </c>
      <c r="M65" t="inlineStr">
        <is>
          <t>1971</t>
        </is>
      </c>
      <c r="N65" t="inlineStr">
        <is>
          <t>2d ed.</t>
        </is>
      </c>
      <c r="O65" t="inlineStr">
        <is>
          <t>eng</t>
        </is>
      </c>
      <c r="P65" t="inlineStr">
        <is>
          <t>nyu</t>
        </is>
      </c>
      <c r="R65" t="inlineStr">
        <is>
          <t xml:space="preserve">PE </t>
        </is>
      </c>
      <c r="S65" t="n">
        <v>5</v>
      </c>
      <c r="T65" t="n">
        <v>5</v>
      </c>
      <c r="U65" t="inlineStr">
        <is>
          <t>1994-05-12</t>
        </is>
      </c>
      <c r="V65" t="inlineStr">
        <is>
          <t>1994-05-12</t>
        </is>
      </c>
      <c r="W65" t="inlineStr">
        <is>
          <t>1992-04-23</t>
        </is>
      </c>
      <c r="X65" t="inlineStr">
        <is>
          <t>1992-04-23</t>
        </is>
      </c>
      <c r="Y65" t="n">
        <v>205</v>
      </c>
      <c r="Z65" t="n">
        <v>149</v>
      </c>
      <c r="AA65" t="n">
        <v>523</v>
      </c>
      <c r="AB65" t="n">
        <v>1</v>
      </c>
      <c r="AC65" t="n">
        <v>4</v>
      </c>
      <c r="AD65" t="n">
        <v>8</v>
      </c>
      <c r="AE65" t="n">
        <v>21</v>
      </c>
      <c r="AF65" t="n">
        <v>2</v>
      </c>
      <c r="AG65" t="n">
        <v>7</v>
      </c>
      <c r="AH65" t="n">
        <v>2</v>
      </c>
      <c r="AI65" t="n">
        <v>4</v>
      </c>
      <c r="AJ65" t="n">
        <v>6</v>
      </c>
      <c r="AK65" t="n">
        <v>11</v>
      </c>
      <c r="AL65" t="n">
        <v>0</v>
      </c>
      <c r="AM65" t="n">
        <v>3</v>
      </c>
      <c r="AN65" t="n">
        <v>0</v>
      </c>
      <c r="AO65" t="n">
        <v>1</v>
      </c>
      <c r="AP65" t="inlineStr">
        <is>
          <t>No</t>
        </is>
      </c>
      <c r="AQ65" t="inlineStr">
        <is>
          <t>No</t>
        </is>
      </c>
      <c r="AS65">
        <f>HYPERLINK("https://creighton-primo.hosted.exlibrisgroup.com/primo-explore/search?tab=default_tab&amp;search_scope=EVERYTHING&amp;vid=01CRU&amp;lang=en_US&amp;offset=0&amp;query=any,contains,991000656799702656","Catalog Record")</f>
        <v/>
      </c>
      <c r="AT65">
        <f>HYPERLINK("http://www.worldcat.org/oclc/115839","WorldCat Record")</f>
        <v/>
      </c>
      <c r="AU65" t="inlineStr">
        <is>
          <t>1233114:eng</t>
        </is>
      </c>
      <c r="AV65" t="inlineStr">
        <is>
          <t>115839</t>
        </is>
      </c>
      <c r="AW65" t="inlineStr">
        <is>
          <t>991000656799702656</t>
        </is>
      </c>
      <c r="AX65" t="inlineStr">
        <is>
          <t>991000656799702656</t>
        </is>
      </c>
      <c r="AY65" t="inlineStr">
        <is>
          <t>2260338150002656</t>
        </is>
      </c>
      <c r="AZ65" t="inlineStr">
        <is>
          <t>BOOK</t>
        </is>
      </c>
      <c r="BB65" t="inlineStr">
        <is>
          <t>9780030793707</t>
        </is>
      </c>
      <c r="BC65" t="inlineStr">
        <is>
          <t>32285001085306</t>
        </is>
      </c>
      <c r="BD65" t="inlineStr">
        <is>
          <t>893413562</t>
        </is>
      </c>
    </row>
    <row r="66">
      <c r="A66" t="inlineStr">
        <is>
          <t>No</t>
        </is>
      </c>
      <c r="B66" t="inlineStr">
        <is>
          <t>PE1112 .W47</t>
        </is>
      </c>
      <c r="C66" t="inlineStr">
        <is>
          <t>0                      PE 1112000W  47</t>
        </is>
      </c>
      <c r="D66" t="inlineStr">
        <is>
          <t>Style and grammar : a writer's handbook of transformations / by John B. Williams.</t>
        </is>
      </c>
      <c r="F66" t="inlineStr">
        <is>
          <t>No</t>
        </is>
      </c>
      <c r="G66" t="inlineStr">
        <is>
          <t>1</t>
        </is>
      </c>
      <c r="H66" t="inlineStr">
        <is>
          <t>No</t>
        </is>
      </c>
      <c r="I66" t="inlineStr">
        <is>
          <t>No</t>
        </is>
      </c>
      <c r="J66" t="inlineStr">
        <is>
          <t>0</t>
        </is>
      </c>
      <c r="K66" t="inlineStr">
        <is>
          <t>Williams, John Brindley, 1919-</t>
        </is>
      </c>
      <c r="L66" t="inlineStr">
        <is>
          <t>New York : Dodd, Mead, 1973.</t>
        </is>
      </c>
      <c r="M66" t="inlineStr">
        <is>
          <t>1973</t>
        </is>
      </c>
      <c r="O66" t="inlineStr">
        <is>
          <t>eng</t>
        </is>
      </c>
      <c r="P66" t="inlineStr">
        <is>
          <t>nyu</t>
        </is>
      </c>
      <c r="R66" t="inlineStr">
        <is>
          <t xml:space="preserve">PE </t>
        </is>
      </c>
      <c r="S66" t="n">
        <v>4</v>
      </c>
      <c r="T66" t="n">
        <v>4</v>
      </c>
      <c r="U66" t="inlineStr">
        <is>
          <t>1994-01-24</t>
        </is>
      </c>
      <c r="V66" t="inlineStr">
        <is>
          <t>1994-01-24</t>
        </is>
      </c>
      <c r="W66" t="inlineStr">
        <is>
          <t>1991-09-05</t>
        </is>
      </c>
      <c r="X66" t="inlineStr">
        <is>
          <t>1991-09-05</t>
        </is>
      </c>
      <c r="Y66" t="n">
        <v>136</v>
      </c>
      <c r="Z66" t="n">
        <v>115</v>
      </c>
      <c r="AA66" t="n">
        <v>120</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HYPERLINK("https://creighton-primo.hosted.exlibrisgroup.com/primo-explore/search?tab=default_tab&amp;search_scope=EVERYTHING&amp;vid=01CRU&amp;lang=en_US&amp;offset=0&amp;query=any,contains,991003079059702656","Catalog Record")</f>
        <v/>
      </c>
      <c r="AT66">
        <f>HYPERLINK("http://www.worldcat.org/oclc/631911","WorldCat Record")</f>
        <v/>
      </c>
      <c r="AU66" t="inlineStr">
        <is>
          <t>1103049731:eng</t>
        </is>
      </c>
      <c r="AV66" t="inlineStr">
        <is>
          <t>631911</t>
        </is>
      </c>
      <c r="AW66" t="inlineStr">
        <is>
          <t>991003079059702656</t>
        </is>
      </c>
      <c r="AX66" t="inlineStr">
        <is>
          <t>991003079059702656</t>
        </is>
      </c>
      <c r="AY66" t="inlineStr">
        <is>
          <t>2263100000002656</t>
        </is>
      </c>
      <c r="AZ66" t="inlineStr">
        <is>
          <t>BOOK</t>
        </is>
      </c>
      <c r="BB66" t="inlineStr">
        <is>
          <t>9780396067573</t>
        </is>
      </c>
      <c r="BC66" t="inlineStr">
        <is>
          <t>32285000736214</t>
        </is>
      </c>
      <c r="BD66" t="inlineStr">
        <is>
          <t>893348320</t>
        </is>
      </c>
    </row>
    <row r="67">
      <c r="A67" t="inlineStr">
        <is>
          <t>No</t>
        </is>
      </c>
      <c r="B67" t="inlineStr">
        <is>
          <t>PE1113 .A55</t>
        </is>
      </c>
      <c r="C67" t="inlineStr">
        <is>
          <t>0                      PE 1113000A  55</t>
        </is>
      </c>
      <c r="D67" t="inlineStr">
        <is>
          <t>A brief English grammar, by H.S. Alshouse with the assistance of Minnie R. Root.</t>
        </is>
      </c>
      <c r="F67" t="inlineStr">
        <is>
          <t>No</t>
        </is>
      </c>
      <c r="G67" t="inlineStr">
        <is>
          <t>1</t>
        </is>
      </c>
      <c r="H67" t="inlineStr">
        <is>
          <t>No</t>
        </is>
      </c>
      <c r="I67" t="inlineStr">
        <is>
          <t>No</t>
        </is>
      </c>
      <c r="J67" t="inlineStr">
        <is>
          <t>0</t>
        </is>
      </c>
      <c r="K67" t="inlineStr">
        <is>
          <t>Alshouse, H. S. (Herman Smith), 1879-</t>
        </is>
      </c>
      <c r="L67" t="inlineStr">
        <is>
          <t>New York, The A.S. Barnes company, 1913.</t>
        </is>
      </c>
      <c r="M67" t="inlineStr">
        <is>
          <t>1913</t>
        </is>
      </c>
      <c r="O67" t="inlineStr">
        <is>
          <t>eng</t>
        </is>
      </c>
      <c r="P67" t="inlineStr">
        <is>
          <t>nyu</t>
        </is>
      </c>
      <c r="R67" t="inlineStr">
        <is>
          <t xml:space="preserve">PE </t>
        </is>
      </c>
      <c r="S67" t="n">
        <v>1</v>
      </c>
      <c r="T67" t="n">
        <v>1</v>
      </c>
      <c r="U67" t="inlineStr">
        <is>
          <t>2001-06-04</t>
        </is>
      </c>
      <c r="V67" t="inlineStr">
        <is>
          <t>2001-06-04</t>
        </is>
      </c>
      <c r="W67" t="inlineStr">
        <is>
          <t>1997-09-19</t>
        </is>
      </c>
      <c r="X67" t="inlineStr">
        <is>
          <t>1997-09-19</t>
        </is>
      </c>
      <c r="Y67" t="n">
        <v>6</v>
      </c>
      <c r="Z67" t="n">
        <v>6</v>
      </c>
      <c r="AA67" t="n">
        <v>14</v>
      </c>
      <c r="AB67" t="n">
        <v>1</v>
      </c>
      <c r="AC67" t="n">
        <v>1</v>
      </c>
      <c r="AD67" t="n">
        <v>0</v>
      </c>
      <c r="AE67" t="n">
        <v>0</v>
      </c>
      <c r="AF67" t="n">
        <v>0</v>
      </c>
      <c r="AG67" t="n">
        <v>0</v>
      </c>
      <c r="AH67" t="n">
        <v>0</v>
      </c>
      <c r="AI67" t="n">
        <v>0</v>
      </c>
      <c r="AJ67" t="n">
        <v>0</v>
      </c>
      <c r="AK67" t="n">
        <v>0</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HYPERLINK("https://creighton-primo.hosted.exlibrisgroup.com/primo-explore/search?tab=default_tab&amp;search_scope=EVERYTHING&amp;vid=01CRU&amp;lang=en_US&amp;offset=0&amp;query=any,contains,991001239629702656","Catalog Record")</f>
        <v/>
      </c>
      <c r="AT67">
        <f>HYPERLINK("http://www.worldcat.org/oclc/17603867","WorldCat Record")</f>
        <v/>
      </c>
      <c r="AU67" t="inlineStr">
        <is>
          <t>15447259:eng</t>
        </is>
      </c>
      <c r="AV67" t="inlineStr">
        <is>
          <t>17603867</t>
        </is>
      </c>
      <c r="AW67" t="inlineStr">
        <is>
          <t>991001239629702656</t>
        </is>
      </c>
      <c r="AX67" t="inlineStr">
        <is>
          <t>991001239629702656</t>
        </is>
      </c>
      <c r="AY67" t="inlineStr">
        <is>
          <t>2257117720002656</t>
        </is>
      </c>
      <c r="AZ67" t="inlineStr">
        <is>
          <t>BOOK</t>
        </is>
      </c>
      <c r="BC67" t="inlineStr">
        <is>
          <t>32285003229811</t>
        </is>
      </c>
      <c r="BD67" t="inlineStr">
        <is>
          <t>893503231</t>
        </is>
      </c>
    </row>
    <row r="68">
      <c r="A68" t="inlineStr">
        <is>
          <t>No</t>
        </is>
      </c>
      <c r="B68" t="inlineStr">
        <is>
          <t>PE1115 .A3</t>
        </is>
      </c>
      <c r="C68" t="inlineStr">
        <is>
          <t>0                      PE 1115000A  3</t>
        </is>
      </c>
      <c r="D68" t="inlineStr">
        <is>
          <t>Contemporary business writing / [by] Michael E. Adelstein.</t>
        </is>
      </c>
      <c r="F68" t="inlineStr">
        <is>
          <t>No</t>
        </is>
      </c>
      <c r="G68" t="inlineStr">
        <is>
          <t>1</t>
        </is>
      </c>
      <c r="H68" t="inlineStr">
        <is>
          <t>No</t>
        </is>
      </c>
      <c r="I68" t="inlineStr">
        <is>
          <t>No</t>
        </is>
      </c>
      <c r="J68" t="inlineStr">
        <is>
          <t>0</t>
        </is>
      </c>
      <c r="K68" t="inlineStr">
        <is>
          <t>Adelstein, Michael E.</t>
        </is>
      </c>
      <c r="L68" t="inlineStr">
        <is>
          <t>New York : Random House, [1971]</t>
        </is>
      </c>
      <c r="M68" t="inlineStr">
        <is>
          <t>1971</t>
        </is>
      </c>
      <c r="N68" t="inlineStr">
        <is>
          <t>[1st ed.]</t>
        </is>
      </c>
      <c r="O68" t="inlineStr">
        <is>
          <t>eng</t>
        </is>
      </c>
      <c r="P68" t="inlineStr">
        <is>
          <t>nyu</t>
        </is>
      </c>
      <c r="R68" t="inlineStr">
        <is>
          <t xml:space="preserve">PE </t>
        </is>
      </c>
      <c r="S68" t="n">
        <v>1</v>
      </c>
      <c r="T68" t="n">
        <v>1</v>
      </c>
      <c r="U68" t="inlineStr">
        <is>
          <t>1993-05-21</t>
        </is>
      </c>
      <c r="V68" t="inlineStr">
        <is>
          <t>1993-05-21</t>
        </is>
      </c>
      <c r="W68" t="inlineStr">
        <is>
          <t>1992-03-06</t>
        </is>
      </c>
      <c r="X68" t="inlineStr">
        <is>
          <t>1992-03-06</t>
        </is>
      </c>
      <c r="Y68" t="n">
        <v>261</v>
      </c>
      <c r="Z68" t="n">
        <v>231</v>
      </c>
      <c r="AA68" t="n">
        <v>237</v>
      </c>
      <c r="AB68" t="n">
        <v>4</v>
      </c>
      <c r="AC68" t="n">
        <v>4</v>
      </c>
      <c r="AD68" t="n">
        <v>15</v>
      </c>
      <c r="AE68" t="n">
        <v>15</v>
      </c>
      <c r="AF68" t="n">
        <v>6</v>
      </c>
      <c r="AG68" t="n">
        <v>6</v>
      </c>
      <c r="AH68" t="n">
        <v>2</v>
      </c>
      <c r="AI68" t="n">
        <v>2</v>
      </c>
      <c r="AJ68" t="n">
        <v>6</v>
      </c>
      <c r="AK68" t="n">
        <v>6</v>
      </c>
      <c r="AL68" t="n">
        <v>3</v>
      </c>
      <c r="AM68" t="n">
        <v>3</v>
      </c>
      <c r="AN68" t="n">
        <v>0</v>
      </c>
      <c r="AO68" t="n">
        <v>0</v>
      </c>
      <c r="AP68" t="inlineStr">
        <is>
          <t>No</t>
        </is>
      </c>
      <c r="AQ68" t="inlineStr">
        <is>
          <t>Yes</t>
        </is>
      </c>
      <c r="AR68">
        <f>HYPERLINK("http://catalog.hathitrust.org/Record/007010401","HathiTrust Record")</f>
        <v/>
      </c>
      <c r="AS68">
        <f>HYPERLINK("https://creighton-primo.hosted.exlibrisgroup.com/primo-explore/search?tab=default_tab&amp;search_scope=EVERYTHING&amp;vid=01CRU&amp;lang=en_US&amp;offset=0&amp;query=any,contains,991000922839702656","Catalog Record")</f>
        <v/>
      </c>
      <c r="AT68">
        <f>HYPERLINK("http://www.worldcat.org/oclc/162314","WorldCat Record")</f>
        <v/>
      </c>
      <c r="AU68" t="inlineStr">
        <is>
          <t>1271403:eng</t>
        </is>
      </c>
      <c r="AV68" t="inlineStr">
        <is>
          <t>162314</t>
        </is>
      </c>
      <c r="AW68" t="inlineStr">
        <is>
          <t>991000922839702656</t>
        </is>
      </c>
      <c r="AX68" t="inlineStr">
        <is>
          <t>991000922839702656</t>
        </is>
      </c>
      <c r="AY68" t="inlineStr">
        <is>
          <t>2269044120002656</t>
        </is>
      </c>
      <c r="AZ68" t="inlineStr">
        <is>
          <t>BOOK</t>
        </is>
      </c>
      <c r="BB68" t="inlineStr">
        <is>
          <t>9780394303734</t>
        </is>
      </c>
      <c r="BC68" t="inlineStr">
        <is>
          <t>32285000992528</t>
        </is>
      </c>
      <c r="BD68" t="inlineStr">
        <is>
          <t>893333899</t>
        </is>
      </c>
    </row>
    <row r="69">
      <c r="A69" t="inlineStr">
        <is>
          <t>No</t>
        </is>
      </c>
      <c r="B69" t="inlineStr">
        <is>
          <t>PE1115 .R58 1981</t>
        </is>
      </c>
      <c r="C69" t="inlineStr">
        <is>
          <t>0                      PE 1115000R  58          1981</t>
        </is>
      </c>
      <c r="D69" t="inlineStr">
        <is>
          <t>Writing that works : how to write memos, letters, reports, speeches, resumes, and other papers that say what you mean, and get things done / by Kenneth Roman and Joel Raphaelson.</t>
        </is>
      </c>
      <c r="F69" t="inlineStr">
        <is>
          <t>No</t>
        </is>
      </c>
      <c r="G69" t="inlineStr">
        <is>
          <t>1</t>
        </is>
      </c>
      <c r="H69" t="inlineStr">
        <is>
          <t>No</t>
        </is>
      </c>
      <c r="I69" t="inlineStr">
        <is>
          <t>No</t>
        </is>
      </c>
      <c r="J69" t="inlineStr">
        <is>
          <t>0</t>
        </is>
      </c>
      <c r="K69" t="inlineStr">
        <is>
          <t>Roman, Kenneth.</t>
        </is>
      </c>
      <c r="L69" t="inlineStr">
        <is>
          <t>New York : Harper &amp; Row, c1981.</t>
        </is>
      </c>
      <c r="M69" t="inlineStr">
        <is>
          <t>1981</t>
        </is>
      </c>
      <c r="N69" t="inlineStr">
        <is>
          <t>1st ed.</t>
        </is>
      </c>
      <c r="O69" t="inlineStr">
        <is>
          <t>eng</t>
        </is>
      </c>
      <c r="P69" t="inlineStr">
        <is>
          <t>nyu</t>
        </is>
      </c>
      <c r="R69" t="inlineStr">
        <is>
          <t xml:space="preserve">PE </t>
        </is>
      </c>
      <c r="S69" t="n">
        <v>5</v>
      </c>
      <c r="T69" t="n">
        <v>5</v>
      </c>
      <c r="U69" t="inlineStr">
        <is>
          <t>1996-08-12</t>
        </is>
      </c>
      <c r="V69" t="inlineStr">
        <is>
          <t>1996-08-12</t>
        </is>
      </c>
      <c r="W69" t="inlineStr">
        <is>
          <t>1992-03-10</t>
        </is>
      </c>
      <c r="X69" t="inlineStr">
        <is>
          <t>1992-03-10</t>
        </is>
      </c>
      <c r="Y69" t="n">
        <v>658</v>
      </c>
      <c r="Z69" t="n">
        <v>614</v>
      </c>
      <c r="AA69" t="n">
        <v>796</v>
      </c>
      <c r="AB69" t="n">
        <v>5</v>
      </c>
      <c r="AC69" t="n">
        <v>5</v>
      </c>
      <c r="AD69" t="n">
        <v>10</v>
      </c>
      <c r="AE69" t="n">
        <v>14</v>
      </c>
      <c r="AF69" t="n">
        <v>3</v>
      </c>
      <c r="AG69" t="n">
        <v>6</v>
      </c>
      <c r="AH69" t="n">
        <v>2</v>
      </c>
      <c r="AI69" t="n">
        <v>3</v>
      </c>
      <c r="AJ69" t="n">
        <v>5</v>
      </c>
      <c r="AK69" t="n">
        <v>6</v>
      </c>
      <c r="AL69" t="n">
        <v>2</v>
      </c>
      <c r="AM69" t="n">
        <v>2</v>
      </c>
      <c r="AN69" t="n">
        <v>1</v>
      </c>
      <c r="AO69" t="n">
        <v>1</v>
      </c>
      <c r="AP69" t="inlineStr">
        <is>
          <t>No</t>
        </is>
      </c>
      <c r="AQ69" t="inlineStr">
        <is>
          <t>Yes</t>
        </is>
      </c>
      <c r="AR69">
        <f>HYPERLINK("http://catalog.hathitrust.org/Record/000370794","HathiTrust Record")</f>
        <v/>
      </c>
      <c r="AS69">
        <f>HYPERLINK("https://creighton-primo.hosted.exlibrisgroup.com/primo-explore/search?tab=default_tab&amp;search_scope=EVERYTHING&amp;vid=01CRU&amp;lang=en_US&amp;offset=0&amp;query=any,contains,991005097139702656","Catalog Record")</f>
        <v/>
      </c>
      <c r="AT69">
        <f>HYPERLINK("http://www.worldcat.org/oclc/7275111","WorldCat Record")</f>
        <v/>
      </c>
      <c r="AU69" t="inlineStr">
        <is>
          <t>34833119:eng</t>
        </is>
      </c>
      <c r="AV69" t="inlineStr">
        <is>
          <t>7275111</t>
        </is>
      </c>
      <c r="AW69" t="inlineStr">
        <is>
          <t>991005097139702656</t>
        </is>
      </c>
      <c r="AX69" t="inlineStr">
        <is>
          <t>991005097139702656</t>
        </is>
      </c>
      <c r="AY69" t="inlineStr">
        <is>
          <t>2260642780002656</t>
        </is>
      </c>
      <c r="AZ69" t="inlineStr">
        <is>
          <t>BOOK</t>
        </is>
      </c>
      <c r="BB69" t="inlineStr">
        <is>
          <t>9780060148430</t>
        </is>
      </c>
      <c r="BC69" t="inlineStr">
        <is>
          <t>32285001000867</t>
        </is>
      </c>
      <c r="BD69" t="inlineStr">
        <is>
          <t>893437146</t>
        </is>
      </c>
    </row>
    <row r="70">
      <c r="A70" t="inlineStr">
        <is>
          <t>No</t>
        </is>
      </c>
      <c r="B70" t="inlineStr">
        <is>
          <t>PE1115 .R58 2000</t>
        </is>
      </c>
      <c r="C70" t="inlineStr">
        <is>
          <t>0                      PE 1115000R  58          2000</t>
        </is>
      </c>
      <c r="D70" t="inlineStr">
        <is>
          <t>Writing that works : how to communicate effectively in business : e-mail, letters, memos, presentations, plans, reports, proposals, resumes, speeches / Kenneth Roman and Joel Raphaelson.</t>
        </is>
      </c>
      <c r="F70" t="inlineStr">
        <is>
          <t>No</t>
        </is>
      </c>
      <c r="G70" t="inlineStr">
        <is>
          <t>1</t>
        </is>
      </c>
      <c r="H70" t="inlineStr">
        <is>
          <t>No</t>
        </is>
      </c>
      <c r="I70" t="inlineStr">
        <is>
          <t>No</t>
        </is>
      </c>
      <c r="J70" t="inlineStr">
        <is>
          <t>0</t>
        </is>
      </c>
      <c r="K70" t="inlineStr">
        <is>
          <t>Roman, Kenneth.</t>
        </is>
      </c>
      <c r="L70" t="inlineStr">
        <is>
          <t>New York : Quill : HarperCollins, c2000.</t>
        </is>
      </c>
      <c r="M70" t="inlineStr">
        <is>
          <t>2000</t>
        </is>
      </c>
      <c r="N70" t="inlineStr">
        <is>
          <t>3rd. ed., rev. and updated, 1st Quill ed.</t>
        </is>
      </c>
      <c r="O70" t="inlineStr">
        <is>
          <t>eng</t>
        </is>
      </c>
      <c r="P70" t="inlineStr">
        <is>
          <t>nyu</t>
        </is>
      </c>
      <c r="R70" t="inlineStr">
        <is>
          <t xml:space="preserve">PE </t>
        </is>
      </c>
      <c r="S70" t="n">
        <v>6</v>
      </c>
      <c r="T70" t="n">
        <v>6</v>
      </c>
      <c r="U70" t="inlineStr">
        <is>
          <t>2004-11-22</t>
        </is>
      </c>
      <c r="V70" t="inlineStr">
        <is>
          <t>2004-11-22</t>
        </is>
      </c>
      <c r="W70" t="inlineStr">
        <is>
          <t>2001-01-23</t>
        </is>
      </c>
      <c r="X70" t="inlineStr">
        <is>
          <t>2001-01-23</t>
        </is>
      </c>
      <c r="Y70" t="n">
        <v>326</v>
      </c>
      <c r="Z70" t="n">
        <v>277</v>
      </c>
      <c r="AA70" t="n">
        <v>354</v>
      </c>
      <c r="AB70" t="n">
        <v>3</v>
      </c>
      <c r="AC70" t="n">
        <v>3</v>
      </c>
      <c r="AD70" t="n">
        <v>6</v>
      </c>
      <c r="AE70" t="n">
        <v>6</v>
      </c>
      <c r="AF70" t="n">
        <v>2</v>
      </c>
      <c r="AG70" t="n">
        <v>2</v>
      </c>
      <c r="AH70" t="n">
        <v>2</v>
      </c>
      <c r="AI70" t="n">
        <v>2</v>
      </c>
      <c r="AJ70" t="n">
        <v>2</v>
      </c>
      <c r="AK70" t="n">
        <v>2</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HYPERLINK("https://creighton-primo.hosted.exlibrisgroup.com/primo-explore/search?tab=default_tab&amp;search_scope=EVERYTHING&amp;vid=01CRU&amp;lang=en_US&amp;offset=0&amp;query=any,contains,991003331199702656","Catalog Record")</f>
        <v/>
      </c>
      <c r="AT70">
        <f>HYPERLINK("http://www.worldcat.org/oclc/45040138","WorldCat Record")</f>
        <v/>
      </c>
      <c r="AU70" t="inlineStr">
        <is>
          <t>3902724443:eng</t>
        </is>
      </c>
      <c r="AV70" t="inlineStr">
        <is>
          <t>45040138</t>
        </is>
      </c>
      <c r="AW70" t="inlineStr">
        <is>
          <t>991003331199702656</t>
        </is>
      </c>
      <c r="AX70" t="inlineStr">
        <is>
          <t>991003331199702656</t>
        </is>
      </c>
      <c r="AY70" t="inlineStr">
        <is>
          <t>2267366690002656</t>
        </is>
      </c>
      <c r="AZ70" t="inlineStr">
        <is>
          <t>BOOK</t>
        </is>
      </c>
      <c r="BB70" t="inlineStr">
        <is>
          <t>9780060956431</t>
        </is>
      </c>
      <c r="BC70" t="inlineStr">
        <is>
          <t>32285004290986</t>
        </is>
      </c>
      <c r="BD70" t="inlineStr">
        <is>
          <t>893617241</t>
        </is>
      </c>
    </row>
    <row r="71">
      <c r="A71" t="inlineStr">
        <is>
          <t>No</t>
        </is>
      </c>
      <c r="B71" t="inlineStr">
        <is>
          <t>PE1117 .M245 1970</t>
        </is>
      </c>
      <c r="C71" t="inlineStr">
        <is>
          <t>0                      PE 1117000M  245         1970</t>
        </is>
      </c>
      <c r="D71" t="inlineStr">
        <is>
          <t>[McGuffey's eclectic readers].</t>
        </is>
      </c>
      <c r="E71" t="inlineStr">
        <is>
          <t>v.1</t>
        </is>
      </c>
      <c r="F71" t="inlineStr">
        <is>
          <t>Yes</t>
        </is>
      </c>
      <c r="G71" t="inlineStr">
        <is>
          <t>1</t>
        </is>
      </c>
      <c r="H71" t="inlineStr">
        <is>
          <t>Yes</t>
        </is>
      </c>
      <c r="I71" t="inlineStr">
        <is>
          <t>No</t>
        </is>
      </c>
      <c r="J71" t="inlineStr">
        <is>
          <t>0</t>
        </is>
      </c>
      <c r="K71" t="inlineStr">
        <is>
          <t>McGuffey, William Holmes, 1800-1873.</t>
        </is>
      </c>
      <c r="L71" t="inlineStr">
        <is>
          <t>New York : Van Nostrand Reinhold : American Book Co., [1970?]</t>
        </is>
      </c>
      <c r="M71" t="inlineStr">
        <is>
          <t>1970</t>
        </is>
      </c>
      <c r="N71" t="inlineStr">
        <is>
          <t>Rev. ed.</t>
        </is>
      </c>
      <c r="O71" t="inlineStr">
        <is>
          <t>eng</t>
        </is>
      </c>
      <c r="P71" t="inlineStr">
        <is>
          <t>nyu</t>
        </is>
      </c>
      <c r="Q71" t="inlineStr">
        <is>
          <t>Eclectic educational series</t>
        </is>
      </c>
      <c r="R71" t="inlineStr">
        <is>
          <t xml:space="preserve">PE </t>
        </is>
      </c>
      <c r="S71" t="n">
        <v>1</v>
      </c>
      <c r="T71" t="n">
        <v>18</v>
      </c>
      <c r="V71" t="inlineStr">
        <is>
          <t>1997-05-06</t>
        </is>
      </c>
      <c r="W71" t="inlineStr">
        <is>
          <t>1992-09-10</t>
        </is>
      </c>
      <c r="X71" t="inlineStr">
        <is>
          <t>1999-02-15</t>
        </is>
      </c>
      <c r="Y71" t="n">
        <v>114</v>
      </c>
      <c r="Z71" t="n">
        <v>113</v>
      </c>
      <c r="AA71" t="n">
        <v>152</v>
      </c>
      <c r="AB71" t="n">
        <v>2</v>
      </c>
      <c r="AC71" t="n">
        <v>2</v>
      </c>
      <c r="AD71" t="n">
        <v>2</v>
      </c>
      <c r="AE71" t="n">
        <v>2</v>
      </c>
      <c r="AF71" t="n">
        <v>0</v>
      </c>
      <c r="AG71" t="n">
        <v>0</v>
      </c>
      <c r="AH71" t="n">
        <v>0</v>
      </c>
      <c r="AI71" t="n">
        <v>0</v>
      </c>
      <c r="AJ71" t="n">
        <v>1</v>
      </c>
      <c r="AK71" t="n">
        <v>1</v>
      </c>
      <c r="AL71" t="n">
        <v>1</v>
      </c>
      <c r="AM71" t="n">
        <v>1</v>
      </c>
      <c r="AN71" t="n">
        <v>0</v>
      </c>
      <c r="AO71" t="n">
        <v>0</v>
      </c>
      <c r="AP71" t="inlineStr">
        <is>
          <t>Yes</t>
        </is>
      </c>
      <c r="AQ71" t="inlineStr">
        <is>
          <t>No</t>
        </is>
      </c>
      <c r="AR71">
        <f>HYPERLINK("http://catalog.hathitrust.org/Record/100754111","HathiTrust Record")</f>
        <v/>
      </c>
      <c r="AS71">
        <f>HYPERLINK("https://creighton-primo.hosted.exlibrisgroup.com/primo-explore/search?tab=default_tab&amp;search_scope=EVERYTHING&amp;vid=01CRU&amp;lang=en_US&amp;offset=0&amp;query=any,contains,991004440069702656","Catalog Record")</f>
        <v/>
      </c>
      <c r="AT71">
        <f>HYPERLINK("http://www.worldcat.org/oclc/9374212","WorldCat Record")</f>
        <v/>
      </c>
      <c r="AU71" t="inlineStr">
        <is>
          <t>3373166618:eng</t>
        </is>
      </c>
      <c r="AV71" t="inlineStr">
        <is>
          <t>9374212</t>
        </is>
      </c>
      <c r="AW71" t="inlineStr">
        <is>
          <t>991004440069702656</t>
        </is>
      </c>
      <c r="AX71" t="inlineStr">
        <is>
          <t>991004440069702656</t>
        </is>
      </c>
      <c r="AY71" t="inlineStr">
        <is>
          <t>2271896800002656</t>
        </is>
      </c>
      <c r="AZ71" t="inlineStr">
        <is>
          <t>BOOK</t>
        </is>
      </c>
      <c r="BB71" t="inlineStr">
        <is>
          <t>9780442235604</t>
        </is>
      </c>
      <c r="BC71" t="inlineStr">
        <is>
          <t>32285001298552</t>
        </is>
      </c>
      <c r="BD71" t="inlineStr">
        <is>
          <t>893314220</t>
        </is>
      </c>
    </row>
    <row r="72">
      <c r="A72" t="inlineStr">
        <is>
          <t>No</t>
        </is>
      </c>
      <c r="B72" t="inlineStr">
        <is>
          <t>PE1117 .M245 1970</t>
        </is>
      </c>
      <c r="C72" t="inlineStr">
        <is>
          <t>0                      PE 1117000M  245         1970</t>
        </is>
      </c>
      <c r="D72" t="inlineStr">
        <is>
          <t>[McGuffey's eclectic readers].</t>
        </is>
      </c>
      <c r="E72" t="inlineStr">
        <is>
          <t>v.2</t>
        </is>
      </c>
      <c r="F72" t="inlineStr">
        <is>
          <t>Yes</t>
        </is>
      </c>
      <c r="G72" t="inlineStr">
        <is>
          <t>1</t>
        </is>
      </c>
      <c r="H72" t="inlineStr">
        <is>
          <t>Yes</t>
        </is>
      </c>
      <c r="I72" t="inlineStr">
        <is>
          <t>No</t>
        </is>
      </c>
      <c r="J72" t="inlineStr">
        <is>
          <t>0</t>
        </is>
      </c>
      <c r="K72" t="inlineStr">
        <is>
          <t>McGuffey, William Holmes, 1800-1873.</t>
        </is>
      </c>
      <c r="L72" t="inlineStr">
        <is>
          <t>New York : Van Nostrand Reinhold : American Book Co., [1970?]</t>
        </is>
      </c>
      <c r="M72" t="inlineStr">
        <is>
          <t>1970</t>
        </is>
      </c>
      <c r="N72" t="inlineStr">
        <is>
          <t>Rev. ed.</t>
        </is>
      </c>
      <c r="O72" t="inlineStr">
        <is>
          <t>eng</t>
        </is>
      </c>
      <c r="P72" t="inlineStr">
        <is>
          <t>nyu</t>
        </is>
      </c>
      <c r="Q72" t="inlineStr">
        <is>
          <t>Eclectic educational series</t>
        </is>
      </c>
      <c r="R72" t="inlineStr">
        <is>
          <t xml:space="preserve">PE </t>
        </is>
      </c>
      <c r="S72" t="n">
        <v>2</v>
      </c>
      <c r="T72" t="n">
        <v>18</v>
      </c>
      <c r="U72" t="inlineStr">
        <is>
          <t>1995-09-18</t>
        </is>
      </c>
      <c r="V72" t="inlineStr">
        <is>
          <t>1997-05-06</t>
        </is>
      </c>
      <c r="W72" t="inlineStr">
        <is>
          <t>1992-09-10</t>
        </is>
      </c>
      <c r="X72" t="inlineStr">
        <is>
          <t>1999-02-15</t>
        </is>
      </c>
      <c r="Y72" t="n">
        <v>114</v>
      </c>
      <c r="Z72" t="n">
        <v>113</v>
      </c>
      <c r="AA72" t="n">
        <v>152</v>
      </c>
      <c r="AB72" t="n">
        <v>2</v>
      </c>
      <c r="AC72" t="n">
        <v>2</v>
      </c>
      <c r="AD72" t="n">
        <v>2</v>
      </c>
      <c r="AE72" t="n">
        <v>2</v>
      </c>
      <c r="AF72" t="n">
        <v>0</v>
      </c>
      <c r="AG72" t="n">
        <v>0</v>
      </c>
      <c r="AH72" t="n">
        <v>0</v>
      </c>
      <c r="AI72" t="n">
        <v>0</v>
      </c>
      <c r="AJ72" t="n">
        <v>1</v>
      </c>
      <c r="AK72" t="n">
        <v>1</v>
      </c>
      <c r="AL72" t="n">
        <v>1</v>
      </c>
      <c r="AM72" t="n">
        <v>1</v>
      </c>
      <c r="AN72" t="n">
        <v>0</v>
      </c>
      <c r="AO72" t="n">
        <v>0</v>
      </c>
      <c r="AP72" t="inlineStr">
        <is>
          <t>Yes</t>
        </is>
      </c>
      <c r="AQ72" t="inlineStr">
        <is>
          <t>No</t>
        </is>
      </c>
      <c r="AR72">
        <f>HYPERLINK("http://catalog.hathitrust.org/Record/100754111","HathiTrust Record")</f>
        <v/>
      </c>
      <c r="AS72">
        <f>HYPERLINK("https://creighton-primo.hosted.exlibrisgroup.com/primo-explore/search?tab=default_tab&amp;search_scope=EVERYTHING&amp;vid=01CRU&amp;lang=en_US&amp;offset=0&amp;query=any,contains,991004440069702656","Catalog Record")</f>
        <v/>
      </c>
      <c r="AT72">
        <f>HYPERLINK("http://www.worldcat.org/oclc/9374212","WorldCat Record")</f>
        <v/>
      </c>
      <c r="AU72" t="inlineStr">
        <is>
          <t>3373166618:eng</t>
        </is>
      </c>
      <c r="AV72" t="inlineStr">
        <is>
          <t>9374212</t>
        </is>
      </c>
      <c r="AW72" t="inlineStr">
        <is>
          <t>991004440069702656</t>
        </is>
      </c>
      <c r="AX72" t="inlineStr">
        <is>
          <t>991004440069702656</t>
        </is>
      </c>
      <c r="AY72" t="inlineStr">
        <is>
          <t>2271896800002656</t>
        </is>
      </c>
      <c r="AZ72" t="inlineStr">
        <is>
          <t>BOOK</t>
        </is>
      </c>
      <c r="BB72" t="inlineStr">
        <is>
          <t>9780442235604</t>
        </is>
      </c>
      <c r="BC72" t="inlineStr">
        <is>
          <t>32285001298560</t>
        </is>
      </c>
      <c r="BD72" t="inlineStr">
        <is>
          <t>893311327</t>
        </is>
      </c>
    </row>
    <row r="73">
      <c r="A73" t="inlineStr">
        <is>
          <t>No</t>
        </is>
      </c>
      <c r="B73" t="inlineStr">
        <is>
          <t>PE1117 .M245 1970</t>
        </is>
      </c>
      <c r="C73" t="inlineStr">
        <is>
          <t>0                      PE 1117000M  245         1970</t>
        </is>
      </c>
      <c r="D73" t="inlineStr">
        <is>
          <t>[McGuffey's eclectic readers].</t>
        </is>
      </c>
      <c r="E73" t="inlineStr">
        <is>
          <t>v.4</t>
        </is>
      </c>
      <c r="F73" t="inlineStr">
        <is>
          <t>Yes</t>
        </is>
      </c>
      <c r="G73" t="inlineStr">
        <is>
          <t>1</t>
        </is>
      </c>
      <c r="H73" t="inlineStr">
        <is>
          <t>Yes</t>
        </is>
      </c>
      <c r="I73" t="inlineStr">
        <is>
          <t>No</t>
        </is>
      </c>
      <c r="J73" t="inlineStr">
        <is>
          <t>0</t>
        </is>
      </c>
      <c r="K73" t="inlineStr">
        <is>
          <t>McGuffey, William Holmes, 1800-1873.</t>
        </is>
      </c>
      <c r="L73" t="inlineStr">
        <is>
          <t>New York : Van Nostrand Reinhold : American Book Co., [1970?]</t>
        </is>
      </c>
      <c r="M73" t="inlineStr">
        <is>
          <t>1970</t>
        </is>
      </c>
      <c r="N73" t="inlineStr">
        <is>
          <t>Rev. ed.</t>
        </is>
      </c>
      <c r="O73" t="inlineStr">
        <is>
          <t>eng</t>
        </is>
      </c>
      <c r="P73" t="inlineStr">
        <is>
          <t>nyu</t>
        </is>
      </c>
      <c r="Q73" t="inlineStr">
        <is>
          <t>Eclectic educational series</t>
        </is>
      </c>
      <c r="R73" t="inlineStr">
        <is>
          <t xml:space="preserve">PE </t>
        </is>
      </c>
      <c r="S73" t="n">
        <v>3</v>
      </c>
      <c r="T73" t="n">
        <v>18</v>
      </c>
      <c r="U73" t="inlineStr">
        <is>
          <t>1997-05-06</t>
        </is>
      </c>
      <c r="V73" t="inlineStr">
        <is>
          <t>1997-05-06</t>
        </is>
      </c>
      <c r="W73" t="inlineStr">
        <is>
          <t>1992-09-10</t>
        </is>
      </c>
      <c r="X73" t="inlineStr">
        <is>
          <t>1999-02-15</t>
        </is>
      </c>
      <c r="Y73" t="n">
        <v>114</v>
      </c>
      <c r="Z73" t="n">
        <v>113</v>
      </c>
      <c r="AA73" t="n">
        <v>152</v>
      </c>
      <c r="AB73" t="n">
        <v>2</v>
      </c>
      <c r="AC73" t="n">
        <v>2</v>
      </c>
      <c r="AD73" t="n">
        <v>2</v>
      </c>
      <c r="AE73" t="n">
        <v>2</v>
      </c>
      <c r="AF73" t="n">
        <v>0</v>
      </c>
      <c r="AG73" t="n">
        <v>0</v>
      </c>
      <c r="AH73" t="n">
        <v>0</v>
      </c>
      <c r="AI73" t="n">
        <v>0</v>
      </c>
      <c r="AJ73" t="n">
        <v>1</v>
      </c>
      <c r="AK73" t="n">
        <v>1</v>
      </c>
      <c r="AL73" t="n">
        <v>1</v>
      </c>
      <c r="AM73" t="n">
        <v>1</v>
      </c>
      <c r="AN73" t="n">
        <v>0</v>
      </c>
      <c r="AO73" t="n">
        <v>0</v>
      </c>
      <c r="AP73" t="inlineStr">
        <is>
          <t>Yes</t>
        </is>
      </c>
      <c r="AQ73" t="inlineStr">
        <is>
          <t>No</t>
        </is>
      </c>
      <c r="AR73">
        <f>HYPERLINK("http://catalog.hathitrust.org/Record/100754111","HathiTrust Record")</f>
        <v/>
      </c>
      <c r="AS73">
        <f>HYPERLINK("https://creighton-primo.hosted.exlibrisgroup.com/primo-explore/search?tab=default_tab&amp;search_scope=EVERYTHING&amp;vid=01CRU&amp;lang=en_US&amp;offset=0&amp;query=any,contains,991004440069702656","Catalog Record")</f>
        <v/>
      </c>
      <c r="AT73">
        <f>HYPERLINK("http://www.worldcat.org/oclc/9374212","WorldCat Record")</f>
        <v/>
      </c>
      <c r="AU73" t="inlineStr">
        <is>
          <t>3373166618:eng</t>
        </is>
      </c>
      <c r="AV73" t="inlineStr">
        <is>
          <t>9374212</t>
        </is>
      </c>
      <c r="AW73" t="inlineStr">
        <is>
          <t>991004440069702656</t>
        </is>
      </c>
      <c r="AX73" t="inlineStr">
        <is>
          <t>991004440069702656</t>
        </is>
      </c>
      <c r="AY73" t="inlineStr">
        <is>
          <t>2271896800002656</t>
        </is>
      </c>
      <c r="AZ73" t="inlineStr">
        <is>
          <t>BOOK</t>
        </is>
      </c>
      <c r="BB73" t="inlineStr">
        <is>
          <t>9780442235604</t>
        </is>
      </c>
      <c r="BC73" t="inlineStr">
        <is>
          <t>32285001298586</t>
        </is>
      </c>
      <c r="BD73" t="inlineStr">
        <is>
          <t>893311330</t>
        </is>
      </c>
    </row>
    <row r="74">
      <c r="A74" t="inlineStr">
        <is>
          <t>No</t>
        </is>
      </c>
      <c r="B74" t="inlineStr">
        <is>
          <t>PE1117 .M245 1970</t>
        </is>
      </c>
      <c r="C74" t="inlineStr">
        <is>
          <t>0                      PE 1117000M  245         1970</t>
        </is>
      </c>
      <c r="D74" t="inlineStr">
        <is>
          <t>[McGuffey's eclectic readers].</t>
        </is>
      </c>
      <c r="E74" t="inlineStr">
        <is>
          <t>v.3</t>
        </is>
      </c>
      <c r="F74" t="inlineStr">
        <is>
          <t>Yes</t>
        </is>
      </c>
      <c r="G74" t="inlineStr">
        <is>
          <t>1</t>
        </is>
      </c>
      <c r="H74" t="inlineStr">
        <is>
          <t>Yes</t>
        </is>
      </c>
      <c r="I74" t="inlineStr">
        <is>
          <t>No</t>
        </is>
      </c>
      <c r="J74" t="inlineStr">
        <is>
          <t>0</t>
        </is>
      </c>
      <c r="K74" t="inlineStr">
        <is>
          <t>McGuffey, William Holmes, 1800-1873.</t>
        </is>
      </c>
      <c r="L74" t="inlineStr">
        <is>
          <t>New York : Van Nostrand Reinhold : American Book Co., [1970?]</t>
        </is>
      </c>
      <c r="M74" t="inlineStr">
        <is>
          <t>1970</t>
        </is>
      </c>
      <c r="N74" t="inlineStr">
        <is>
          <t>Rev. ed.</t>
        </is>
      </c>
      <c r="O74" t="inlineStr">
        <is>
          <t>eng</t>
        </is>
      </c>
      <c r="P74" t="inlineStr">
        <is>
          <t>nyu</t>
        </is>
      </c>
      <c r="Q74" t="inlineStr">
        <is>
          <t>Eclectic educational series</t>
        </is>
      </c>
      <c r="R74" t="inlineStr">
        <is>
          <t xml:space="preserve">PE </t>
        </is>
      </c>
      <c r="S74" t="n">
        <v>2</v>
      </c>
      <c r="T74" t="n">
        <v>18</v>
      </c>
      <c r="U74" t="inlineStr">
        <is>
          <t>1997-05-06</t>
        </is>
      </c>
      <c r="V74" t="inlineStr">
        <is>
          <t>1997-05-06</t>
        </is>
      </c>
      <c r="W74" t="inlineStr">
        <is>
          <t>1992-09-10</t>
        </is>
      </c>
      <c r="X74" t="inlineStr">
        <is>
          <t>1999-02-15</t>
        </is>
      </c>
      <c r="Y74" t="n">
        <v>114</v>
      </c>
      <c r="Z74" t="n">
        <v>113</v>
      </c>
      <c r="AA74" t="n">
        <v>152</v>
      </c>
      <c r="AB74" t="n">
        <v>2</v>
      </c>
      <c r="AC74" t="n">
        <v>2</v>
      </c>
      <c r="AD74" t="n">
        <v>2</v>
      </c>
      <c r="AE74" t="n">
        <v>2</v>
      </c>
      <c r="AF74" t="n">
        <v>0</v>
      </c>
      <c r="AG74" t="n">
        <v>0</v>
      </c>
      <c r="AH74" t="n">
        <v>0</v>
      </c>
      <c r="AI74" t="n">
        <v>0</v>
      </c>
      <c r="AJ74" t="n">
        <v>1</v>
      </c>
      <c r="AK74" t="n">
        <v>1</v>
      </c>
      <c r="AL74" t="n">
        <v>1</v>
      </c>
      <c r="AM74" t="n">
        <v>1</v>
      </c>
      <c r="AN74" t="n">
        <v>0</v>
      </c>
      <c r="AO74" t="n">
        <v>0</v>
      </c>
      <c r="AP74" t="inlineStr">
        <is>
          <t>Yes</t>
        </is>
      </c>
      <c r="AQ74" t="inlineStr">
        <is>
          <t>No</t>
        </is>
      </c>
      <c r="AR74">
        <f>HYPERLINK("http://catalog.hathitrust.org/Record/100754111","HathiTrust Record")</f>
        <v/>
      </c>
      <c r="AS74">
        <f>HYPERLINK("https://creighton-primo.hosted.exlibrisgroup.com/primo-explore/search?tab=default_tab&amp;search_scope=EVERYTHING&amp;vid=01CRU&amp;lang=en_US&amp;offset=0&amp;query=any,contains,991004440069702656","Catalog Record")</f>
        <v/>
      </c>
      <c r="AT74">
        <f>HYPERLINK("http://www.worldcat.org/oclc/9374212","WorldCat Record")</f>
        <v/>
      </c>
      <c r="AU74" t="inlineStr">
        <is>
          <t>3373166618:eng</t>
        </is>
      </c>
      <c r="AV74" t="inlineStr">
        <is>
          <t>9374212</t>
        </is>
      </c>
      <c r="AW74" t="inlineStr">
        <is>
          <t>991004440069702656</t>
        </is>
      </c>
      <c r="AX74" t="inlineStr">
        <is>
          <t>991004440069702656</t>
        </is>
      </c>
      <c r="AY74" t="inlineStr">
        <is>
          <t>2271896800002656</t>
        </is>
      </c>
      <c r="AZ74" t="inlineStr">
        <is>
          <t>BOOK</t>
        </is>
      </c>
      <c r="BB74" t="inlineStr">
        <is>
          <t>9780442235604</t>
        </is>
      </c>
      <c r="BC74" t="inlineStr">
        <is>
          <t>32285001298578</t>
        </is>
      </c>
      <c r="BD74" t="inlineStr">
        <is>
          <t>893311329</t>
        </is>
      </c>
    </row>
    <row r="75">
      <c r="A75" t="inlineStr">
        <is>
          <t>No</t>
        </is>
      </c>
      <c r="B75" t="inlineStr">
        <is>
          <t>PE1117 .M245 1970</t>
        </is>
      </c>
      <c r="C75" t="inlineStr">
        <is>
          <t>0                      PE 1117000M  245         1970</t>
        </is>
      </c>
      <c r="D75" t="inlineStr">
        <is>
          <t>[McGuffey's eclectic readers].</t>
        </is>
      </c>
      <c r="E75" t="inlineStr">
        <is>
          <t>v.6</t>
        </is>
      </c>
      <c r="F75" t="inlineStr">
        <is>
          <t>Yes</t>
        </is>
      </c>
      <c r="G75" t="inlineStr">
        <is>
          <t>1</t>
        </is>
      </c>
      <c r="H75" t="inlineStr">
        <is>
          <t>Yes</t>
        </is>
      </c>
      <c r="I75" t="inlineStr">
        <is>
          <t>No</t>
        </is>
      </c>
      <c r="J75" t="inlineStr">
        <is>
          <t>0</t>
        </is>
      </c>
      <c r="K75" t="inlineStr">
        <is>
          <t>McGuffey, William Holmes, 1800-1873.</t>
        </is>
      </c>
      <c r="L75" t="inlineStr">
        <is>
          <t>New York : Van Nostrand Reinhold : American Book Co., [1970?]</t>
        </is>
      </c>
      <c r="M75" t="inlineStr">
        <is>
          <t>1970</t>
        </is>
      </c>
      <c r="N75" t="inlineStr">
        <is>
          <t>Rev. ed.</t>
        </is>
      </c>
      <c r="O75" t="inlineStr">
        <is>
          <t>eng</t>
        </is>
      </c>
      <c r="P75" t="inlineStr">
        <is>
          <t>nyu</t>
        </is>
      </c>
      <c r="Q75" t="inlineStr">
        <is>
          <t>Eclectic educational series</t>
        </is>
      </c>
      <c r="R75" t="inlineStr">
        <is>
          <t xml:space="preserve">PE </t>
        </is>
      </c>
      <c r="S75" t="n">
        <v>5</v>
      </c>
      <c r="T75" t="n">
        <v>18</v>
      </c>
      <c r="U75" t="inlineStr">
        <is>
          <t>1997-05-06</t>
        </is>
      </c>
      <c r="V75" t="inlineStr">
        <is>
          <t>1997-05-06</t>
        </is>
      </c>
      <c r="W75" t="inlineStr">
        <is>
          <t>1992-09-10</t>
        </is>
      </c>
      <c r="X75" t="inlineStr">
        <is>
          <t>1999-02-15</t>
        </is>
      </c>
      <c r="Y75" t="n">
        <v>114</v>
      </c>
      <c r="Z75" t="n">
        <v>113</v>
      </c>
      <c r="AA75" t="n">
        <v>152</v>
      </c>
      <c r="AB75" t="n">
        <v>2</v>
      </c>
      <c r="AC75" t="n">
        <v>2</v>
      </c>
      <c r="AD75" t="n">
        <v>2</v>
      </c>
      <c r="AE75" t="n">
        <v>2</v>
      </c>
      <c r="AF75" t="n">
        <v>0</v>
      </c>
      <c r="AG75" t="n">
        <v>0</v>
      </c>
      <c r="AH75" t="n">
        <v>0</v>
      </c>
      <c r="AI75" t="n">
        <v>0</v>
      </c>
      <c r="AJ75" t="n">
        <v>1</v>
      </c>
      <c r="AK75" t="n">
        <v>1</v>
      </c>
      <c r="AL75" t="n">
        <v>1</v>
      </c>
      <c r="AM75" t="n">
        <v>1</v>
      </c>
      <c r="AN75" t="n">
        <v>0</v>
      </c>
      <c r="AO75" t="n">
        <v>0</v>
      </c>
      <c r="AP75" t="inlineStr">
        <is>
          <t>Yes</t>
        </is>
      </c>
      <c r="AQ75" t="inlineStr">
        <is>
          <t>No</t>
        </is>
      </c>
      <c r="AR75">
        <f>HYPERLINK("http://catalog.hathitrust.org/Record/100754111","HathiTrust Record")</f>
        <v/>
      </c>
      <c r="AS75">
        <f>HYPERLINK("https://creighton-primo.hosted.exlibrisgroup.com/primo-explore/search?tab=default_tab&amp;search_scope=EVERYTHING&amp;vid=01CRU&amp;lang=en_US&amp;offset=0&amp;query=any,contains,991004440069702656","Catalog Record")</f>
        <v/>
      </c>
      <c r="AT75">
        <f>HYPERLINK("http://www.worldcat.org/oclc/9374212","WorldCat Record")</f>
        <v/>
      </c>
      <c r="AU75" t="inlineStr">
        <is>
          <t>3373166618:eng</t>
        </is>
      </c>
      <c r="AV75" t="inlineStr">
        <is>
          <t>9374212</t>
        </is>
      </c>
      <c r="AW75" t="inlineStr">
        <is>
          <t>991004440069702656</t>
        </is>
      </c>
      <c r="AX75" t="inlineStr">
        <is>
          <t>991004440069702656</t>
        </is>
      </c>
      <c r="AY75" t="inlineStr">
        <is>
          <t>2271896800002656</t>
        </is>
      </c>
      <c r="AZ75" t="inlineStr">
        <is>
          <t>BOOK</t>
        </is>
      </c>
      <c r="BB75" t="inlineStr">
        <is>
          <t>9780442235604</t>
        </is>
      </c>
      <c r="BC75" t="inlineStr">
        <is>
          <t>32285001298602</t>
        </is>
      </c>
      <c r="BD75" t="inlineStr">
        <is>
          <t>893311328</t>
        </is>
      </c>
    </row>
    <row r="76">
      <c r="A76" t="inlineStr">
        <is>
          <t>No</t>
        </is>
      </c>
      <c r="B76" t="inlineStr">
        <is>
          <t>PE1117 .M245 1970</t>
        </is>
      </c>
      <c r="C76" t="inlineStr">
        <is>
          <t>0                      PE 1117000M  245         1970</t>
        </is>
      </c>
      <c r="D76" t="inlineStr">
        <is>
          <t>[McGuffey's eclectic readers].</t>
        </is>
      </c>
      <c r="E76" t="inlineStr">
        <is>
          <t>v.7</t>
        </is>
      </c>
      <c r="F76" t="inlineStr">
        <is>
          <t>Yes</t>
        </is>
      </c>
      <c r="G76" t="inlineStr">
        <is>
          <t>1</t>
        </is>
      </c>
      <c r="H76" t="inlineStr">
        <is>
          <t>Yes</t>
        </is>
      </c>
      <c r="I76" t="inlineStr">
        <is>
          <t>No</t>
        </is>
      </c>
      <c r="J76" t="inlineStr">
        <is>
          <t>0</t>
        </is>
      </c>
      <c r="K76" t="inlineStr">
        <is>
          <t>McGuffey, William Holmes, 1800-1873.</t>
        </is>
      </c>
      <c r="L76" t="inlineStr">
        <is>
          <t>New York : Van Nostrand Reinhold : American Book Co., [1970?]</t>
        </is>
      </c>
      <c r="M76" t="inlineStr">
        <is>
          <t>1970</t>
        </is>
      </c>
      <c r="N76" t="inlineStr">
        <is>
          <t>Rev. ed.</t>
        </is>
      </c>
      <c r="O76" t="inlineStr">
        <is>
          <t>eng</t>
        </is>
      </c>
      <c r="P76" t="inlineStr">
        <is>
          <t>nyu</t>
        </is>
      </c>
      <c r="Q76" t="inlineStr">
        <is>
          <t>Eclectic educational series</t>
        </is>
      </c>
      <c r="R76" t="inlineStr">
        <is>
          <t xml:space="preserve">PE </t>
        </is>
      </c>
      <c r="S76" t="n">
        <v>3</v>
      </c>
      <c r="T76" t="n">
        <v>18</v>
      </c>
      <c r="U76" t="inlineStr">
        <is>
          <t>1997-05-06</t>
        </is>
      </c>
      <c r="V76" t="inlineStr">
        <is>
          <t>1997-05-06</t>
        </is>
      </c>
      <c r="W76" t="inlineStr">
        <is>
          <t>1992-09-10</t>
        </is>
      </c>
      <c r="X76" t="inlineStr">
        <is>
          <t>1999-02-15</t>
        </is>
      </c>
      <c r="Y76" t="n">
        <v>114</v>
      </c>
      <c r="Z76" t="n">
        <v>113</v>
      </c>
      <c r="AA76" t="n">
        <v>152</v>
      </c>
      <c r="AB76" t="n">
        <v>2</v>
      </c>
      <c r="AC76" t="n">
        <v>2</v>
      </c>
      <c r="AD76" t="n">
        <v>2</v>
      </c>
      <c r="AE76" t="n">
        <v>2</v>
      </c>
      <c r="AF76" t="n">
        <v>0</v>
      </c>
      <c r="AG76" t="n">
        <v>0</v>
      </c>
      <c r="AH76" t="n">
        <v>0</v>
      </c>
      <c r="AI76" t="n">
        <v>0</v>
      </c>
      <c r="AJ76" t="n">
        <v>1</v>
      </c>
      <c r="AK76" t="n">
        <v>1</v>
      </c>
      <c r="AL76" t="n">
        <v>1</v>
      </c>
      <c r="AM76" t="n">
        <v>1</v>
      </c>
      <c r="AN76" t="n">
        <v>0</v>
      </c>
      <c r="AO76" t="n">
        <v>0</v>
      </c>
      <c r="AP76" t="inlineStr">
        <is>
          <t>Yes</t>
        </is>
      </c>
      <c r="AQ76" t="inlineStr">
        <is>
          <t>No</t>
        </is>
      </c>
      <c r="AR76">
        <f>HYPERLINK("http://catalog.hathitrust.org/Record/100754111","HathiTrust Record")</f>
        <v/>
      </c>
      <c r="AS76">
        <f>HYPERLINK("https://creighton-primo.hosted.exlibrisgroup.com/primo-explore/search?tab=default_tab&amp;search_scope=EVERYTHING&amp;vid=01CRU&amp;lang=en_US&amp;offset=0&amp;query=any,contains,991004440069702656","Catalog Record")</f>
        <v/>
      </c>
      <c r="AT76">
        <f>HYPERLINK("http://www.worldcat.org/oclc/9374212","WorldCat Record")</f>
        <v/>
      </c>
      <c r="AU76" t="inlineStr">
        <is>
          <t>3373166618:eng</t>
        </is>
      </c>
      <c r="AV76" t="inlineStr">
        <is>
          <t>9374212</t>
        </is>
      </c>
      <c r="AW76" t="inlineStr">
        <is>
          <t>991004440069702656</t>
        </is>
      </c>
      <c r="AX76" t="inlineStr">
        <is>
          <t>991004440069702656</t>
        </is>
      </c>
      <c r="AY76" t="inlineStr">
        <is>
          <t>2271896800002656</t>
        </is>
      </c>
      <c r="AZ76" t="inlineStr">
        <is>
          <t>BOOK</t>
        </is>
      </c>
      <c r="BB76" t="inlineStr">
        <is>
          <t>9780442235604</t>
        </is>
      </c>
      <c r="BC76" t="inlineStr">
        <is>
          <t>32285001298610</t>
        </is>
      </c>
      <c r="BD76" t="inlineStr">
        <is>
          <t>893311326</t>
        </is>
      </c>
    </row>
    <row r="77">
      <c r="A77" t="inlineStr">
        <is>
          <t>No</t>
        </is>
      </c>
      <c r="B77" t="inlineStr">
        <is>
          <t>PE1117 .M245 1970</t>
        </is>
      </c>
      <c r="C77" t="inlineStr">
        <is>
          <t>0                      PE 1117000M  245         1970</t>
        </is>
      </c>
      <c r="D77" t="inlineStr">
        <is>
          <t>[McGuffey's eclectic readers].</t>
        </is>
      </c>
      <c r="E77" t="inlineStr">
        <is>
          <t>v.5</t>
        </is>
      </c>
      <c r="F77" t="inlineStr">
        <is>
          <t>Yes</t>
        </is>
      </c>
      <c r="G77" t="inlineStr">
        <is>
          <t>1</t>
        </is>
      </c>
      <c r="H77" t="inlineStr">
        <is>
          <t>Yes</t>
        </is>
      </c>
      <c r="I77" t="inlineStr">
        <is>
          <t>No</t>
        </is>
      </c>
      <c r="J77" t="inlineStr">
        <is>
          <t>0</t>
        </is>
      </c>
      <c r="K77" t="inlineStr">
        <is>
          <t>McGuffey, William Holmes, 1800-1873.</t>
        </is>
      </c>
      <c r="L77" t="inlineStr">
        <is>
          <t>New York : Van Nostrand Reinhold : American Book Co., [1970?]</t>
        </is>
      </c>
      <c r="M77" t="inlineStr">
        <is>
          <t>1970</t>
        </is>
      </c>
      <c r="N77" t="inlineStr">
        <is>
          <t>Rev. ed.</t>
        </is>
      </c>
      <c r="O77" t="inlineStr">
        <is>
          <t>eng</t>
        </is>
      </c>
      <c r="P77" t="inlineStr">
        <is>
          <t>nyu</t>
        </is>
      </c>
      <c r="Q77" t="inlineStr">
        <is>
          <t>Eclectic educational series</t>
        </is>
      </c>
      <c r="R77" t="inlineStr">
        <is>
          <t xml:space="preserve">PE </t>
        </is>
      </c>
      <c r="S77" t="n">
        <v>2</v>
      </c>
      <c r="T77" t="n">
        <v>18</v>
      </c>
      <c r="U77" t="inlineStr">
        <is>
          <t>1997-05-06</t>
        </is>
      </c>
      <c r="V77" t="inlineStr">
        <is>
          <t>1997-05-06</t>
        </is>
      </c>
      <c r="W77" t="inlineStr">
        <is>
          <t>1992-09-10</t>
        </is>
      </c>
      <c r="X77" t="inlineStr">
        <is>
          <t>1999-02-15</t>
        </is>
      </c>
      <c r="Y77" t="n">
        <v>114</v>
      </c>
      <c r="Z77" t="n">
        <v>113</v>
      </c>
      <c r="AA77" t="n">
        <v>152</v>
      </c>
      <c r="AB77" t="n">
        <v>2</v>
      </c>
      <c r="AC77" t="n">
        <v>2</v>
      </c>
      <c r="AD77" t="n">
        <v>2</v>
      </c>
      <c r="AE77" t="n">
        <v>2</v>
      </c>
      <c r="AF77" t="n">
        <v>0</v>
      </c>
      <c r="AG77" t="n">
        <v>0</v>
      </c>
      <c r="AH77" t="n">
        <v>0</v>
      </c>
      <c r="AI77" t="n">
        <v>0</v>
      </c>
      <c r="AJ77" t="n">
        <v>1</v>
      </c>
      <c r="AK77" t="n">
        <v>1</v>
      </c>
      <c r="AL77" t="n">
        <v>1</v>
      </c>
      <c r="AM77" t="n">
        <v>1</v>
      </c>
      <c r="AN77" t="n">
        <v>0</v>
      </c>
      <c r="AO77" t="n">
        <v>0</v>
      </c>
      <c r="AP77" t="inlineStr">
        <is>
          <t>Yes</t>
        </is>
      </c>
      <c r="AQ77" t="inlineStr">
        <is>
          <t>No</t>
        </is>
      </c>
      <c r="AR77">
        <f>HYPERLINK("http://catalog.hathitrust.org/Record/100754111","HathiTrust Record")</f>
        <v/>
      </c>
      <c r="AS77">
        <f>HYPERLINK("https://creighton-primo.hosted.exlibrisgroup.com/primo-explore/search?tab=default_tab&amp;search_scope=EVERYTHING&amp;vid=01CRU&amp;lang=en_US&amp;offset=0&amp;query=any,contains,991004440069702656","Catalog Record")</f>
        <v/>
      </c>
      <c r="AT77">
        <f>HYPERLINK("http://www.worldcat.org/oclc/9374212","WorldCat Record")</f>
        <v/>
      </c>
      <c r="AU77" t="inlineStr">
        <is>
          <t>3373166618:eng</t>
        </is>
      </c>
      <c r="AV77" t="inlineStr">
        <is>
          <t>9374212</t>
        </is>
      </c>
      <c r="AW77" t="inlineStr">
        <is>
          <t>991004440069702656</t>
        </is>
      </c>
      <c r="AX77" t="inlineStr">
        <is>
          <t>991004440069702656</t>
        </is>
      </c>
      <c r="AY77" t="inlineStr">
        <is>
          <t>2271896800002656</t>
        </is>
      </c>
      <c r="AZ77" t="inlineStr">
        <is>
          <t>BOOK</t>
        </is>
      </c>
      <c r="BB77" t="inlineStr">
        <is>
          <t>9780442235604</t>
        </is>
      </c>
      <c r="BC77" t="inlineStr">
        <is>
          <t>32285001298594</t>
        </is>
      </c>
      <c r="BD77" t="inlineStr">
        <is>
          <t>893314219</t>
        </is>
      </c>
    </row>
    <row r="78">
      <c r="A78" t="inlineStr">
        <is>
          <t>No</t>
        </is>
      </c>
      <c r="B78" t="inlineStr">
        <is>
          <t>PE1119 .C8</t>
        </is>
      </c>
      <c r="C78" t="inlineStr">
        <is>
          <t>0                      PE 1119000C  8</t>
        </is>
      </c>
      <c r="D78" t="inlineStr">
        <is>
          <t>The Palmer Cox brownie primer, arranged from Palmer Cox's brownie books; text by Mary C. Judd, pictures by Palmer Cox, grading and editing by Montrose J. Moses.</t>
        </is>
      </c>
      <c r="F78" t="inlineStr">
        <is>
          <t>No</t>
        </is>
      </c>
      <c r="G78" t="inlineStr">
        <is>
          <t>1</t>
        </is>
      </c>
      <c r="H78" t="inlineStr">
        <is>
          <t>No</t>
        </is>
      </c>
      <c r="I78" t="inlineStr">
        <is>
          <t>No</t>
        </is>
      </c>
      <c r="J78" t="inlineStr">
        <is>
          <t>0</t>
        </is>
      </c>
      <c r="K78" t="inlineStr">
        <is>
          <t>Cox, Palmer, 1840-1924.</t>
        </is>
      </c>
      <c r="L78" t="inlineStr">
        <is>
          <t>New York, The Century Co., 1906.</t>
        </is>
      </c>
      <c r="M78" t="inlineStr">
        <is>
          <t>1906</t>
        </is>
      </c>
      <c r="O78" t="inlineStr">
        <is>
          <t>eng</t>
        </is>
      </c>
      <c r="P78" t="inlineStr">
        <is>
          <t>nyu</t>
        </is>
      </c>
      <c r="R78" t="inlineStr">
        <is>
          <t xml:space="preserve">PE </t>
        </is>
      </c>
      <c r="S78" t="n">
        <v>0</v>
      </c>
      <c r="T78" t="n">
        <v>0</v>
      </c>
      <c r="U78" t="inlineStr">
        <is>
          <t>2005-04-25</t>
        </is>
      </c>
      <c r="V78" t="inlineStr">
        <is>
          <t>2005-04-25</t>
        </is>
      </c>
      <c r="W78" t="inlineStr">
        <is>
          <t>1997-09-19</t>
        </is>
      </c>
      <c r="X78" t="inlineStr">
        <is>
          <t>1997-09-19</t>
        </is>
      </c>
      <c r="Y78" t="n">
        <v>19</v>
      </c>
      <c r="Z78" t="n">
        <v>18</v>
      </c>
      <c r="AA78" t="n">
        <v>24</v>
      </c>
      <c r="AB78" t="n">
        <v>1</v>
      </c>
      <c r="AC78" t="n">
        <v>1</v>
      </c>
      <c r="AD78" t="n">
        <v>1</v>
      </c>
      <c r="AE78" t="n">
        <v>1</v>
      </c>
      <c r="AF78" t="n">
        <v>0</v>
      </c>
      <c r="AG78" t="n">
        <v>0</v>
      </c>
      <c r="AH78" t="n">
        <v>1</v>
      </c>
      <c r="AI78" t="n">
        <v>1</v>
      </c>
      <c r="AJ78" t="n">
        <v>0</v>
      </c>
      <c r="AK78" t="n">
        <v>0</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HYPERLINK("https://creighton-primo.hosted.exlibrisgroup.com/primo-explore/search?tab=default_tab&amp;search_scope=EVERYTHING&amp;vid=01CRU&amp;lang=en_US&amp;offset=0&amp;query=any,contains,991000443769702656","Catalog Record")</f>
        <v/>
      </c>
      <c r="AT78">
        <f>HYPERLINK("http://www.worldcat.org/oclc/10848699","WorldCat Record")</f>
        <v/>
      </c>
      <c r="AU78" t="inlineStr">
        <is>
          <t>3651943:eng</t>
        </is>
      </c>
      <c r="AV78" t="inlineStr">
        <is>
          <t>10848699</t>
        </is>
      </c>
      <c r="AW78" t="inlineStr">
        <is>
          <t>991000443769702656</t>
        </is>
      </c>
      <c r="AX78" t="inlineStr">
        <is>
          <t>991000443769702656</t>
        </is>
      </c>
      <c r="AY78" t="inlineStr">
        <is>
          <t>2259893560002656</t>
        </is>
      </c>
      <c r="AZ78" t="inlineStr">
        <is>
          <t>BOOK</t>
        </is>
      </c>
      <c r="BC78" t="inlineStr">
        <is>
          <t>32285003229969</t>
        </is>
      </c>
      <c r="BD78" t="inlineStr">
        <is>
          <t>893702108</t>
        </is>
      </c>
    </row>
    <row r="79">
      <c r="A79" t="inlineStr">
        <is>
          <t>No</t>
        </is>
      </c>
      <c r="B79" t="inlineStr">
        <is>
          <t>PE1121 .B6952</t>
        </is>
      </c>
      <c r="C79" t="inlineStr">
        <is>
          <t>0                      PE 1121000B  6952</t>
        </is>
      </c>
      <c r="D79" t="inlineStr">
        <is>
          <t>You can succeed in reading and writing : 30 steps to mastering English / Murray Bromberg, Julius Liebb.</t>
        </is>
      </c>
      <c r="F79" t="inlineStr">
        <is>
          <t>No</t>
        </is>
      </c>
      <c r="G79" t="inlineStr">
        <is>
          <t>1</t>
        </is>
      </c>
      <c r="H79" t="inlineStr">
        <is>
          <t>No</t>
        </is>
      </c>
      <c r="I79" t="inlineStr">
        <is>
          <t>No</t>
        </is>
      </c>
      <c r="J79" t="inlineStr">
        <is>
          <t>0</t>
        </is>
      </c>
      <c r="K79" t="inlineStr">
        <is>
          <t>Bromberg, Murray.</t>
        </is>
      </c>
      <c r="L79" t="inlineStr">
        <is>
          <t>New York : Barron's Educational Series, c1980.</t>
        </is>
      </c>
      <c r="M79" t="inlineStr">
        <is>
          <t>1980</t>
        </is>
      </c>
      <c r="O79" t="inlineStr">
        <is>
          <t>eng</t>
        </is>
      </c>
      <c r="P79" t="inlineStr">
        <is>
          <t>nyu</t>
        </is>
      </c>
      <c r="R79" t="inlineStr">
        <is>
          <t xml:space="preserve">PE </t>
        </is>
      </c>
      <c r="S79" t="n">
        <v>7</v>
      </c>
      <c r="T79" t="n">
        <v>7</v>
      </c>
      <c r="U79" t="inlineStr">
        <is>
          <t>2009-07-24</t>
        </is>
      </c>
      <c r="V79" t="inlineStr">
        <is>
          <t>2009-07-24</t>
        </is>
      </c>
      <c r="W79" t="inlineStr">
        <is>
          <t>1990-06-26</t>
        </is>
      </c>
      <c r="X79" t="inlineStr">
        <is>
          <t>1990-06-26</t>
        </is>
      </c>
      <c r="Y79" t="n">
        <v>60</v>
      </c>
      <c r="Z79" t="n">
        <v>51</v>
      </c>
      <c r="AA79" t="n">
        <v>51</v>
      </c>
      <c r="AB79" t="n">
        <v>1</v>
      </c>
      <c r="AC79" t="n">
        <v>1</v>
      </c>
      <c r="AD79" t="n">
        <v>0</v>
      </c>
      <c r="AE79" t="n">
        <v>0</v>
      </c>
      <c r="AF79" t="n">
        <v>0</v>
      </c>
      <c r="AG79" t="n">
        <v>0</v>
      </c>
      <c r="AH79" t="n">
        <v>0</v>
      </c>
      <c r="AI79" t="n">
        <v>0</v>
      </c>
      <c r="AJ79" t="n">
        <v>0</v>
      </c>
      <c r="AK79" t="n">
        <v>0</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HYPERLINK("https://creighton-primo.hosted.exlibrisgroup.com/primo-explore/search?tab=default_tab&amp;search_scope=EVERYTHING&amp;vid=01CRU&amp;lang=en_US&amp;offset=0&amp;query=any,contains,991004974899702656","Catalog Record")</f>
        <v/>
      </c>
      <c r="AT79">
        <f>HYPERLINK("http://www.worldcat.org/oclc/6379334","WorldCat Record")</f>
        <v/>
      </c>
      <c r="AU79" t="inlineStr">
        <is>
          <t>4161977213:eng</t>
        </is>
      </c>
      <c r="AV79" t="inlineStr">
        <is>
          <t>6379334</t>
        </is>
      </c>
      <c r="AW79" t="inlineStr">
        <is>
          <t>991004974899702656</t>
        </is>
      </c>
      <c r="AX79" t="inlineStr">
        <is>
          <t>991004974899702656</t>
        </is>
      </c>
      <c r="AY79" t="inlineStr">
        <is>
          <t>2270773320002656</t>
        </is>
      </c>
      <c r="AZ79" t="inlineStr">
        <is>
          <t>BOOK</t>
        </is>
      </c>
      <c r="BB79" t="inlineStr">
        <is>
          <t>9780812020816</t>
        </is>
      </c>
      <c r="BC79" t="inlineStr">
        <is>
          <t>32285000215227</t>
        </is>
      </c>
      <c r="BD79" t="inlineStr">
        <is>
          <t>893532989</t>
        </is>
      </c>
    </row>
    <row r="80">
      <c r="A80" t="inlineStr">
        <is>
          <t>No</t>
        </is>
      </c>
      <c r="B80" t="inlineStr">
        <is>
          <t>PE1121 .B94 1976</t>
        </is>
      </c>
      <c r="C80" t="inlineStr">
        <is>
          <t>0                      PE 1121000B  94          1976</t>
        </is>
      </c>
      <c r="D80" t="inlineStr">
        <is>
          <t>By women : an anthology of literature / [edited by] Marcia McClintock Folsom, Linda Heinlein Kirschner.</t>
        </is>
      </c>
      <c r="F80" t="inlineStr">
        <is>
          <t>No</t>
        </is>
      </c>
      <c r="G80" t="inlineStr">
        <is>
          <t>1</t>
        </is>
      </c>
      <c r="H80" t="inlineStr">
        <is>
          <t>No</t>
        </is>
      </c>
      <c r="I80" t="inlineStr">
        <is>
          <t>No</t>
        </is>
      </c>
      <c r="J80" t="inlineStr">
        <is>
          <t>0</t>
        </is>
      </c>
      <c r="L80" t="inlineStr">
        <is>
          <t>Boston : Houghton-Mifflin, c1976.</t>
        </is>
      </c>
      <c r="M80" t="inlineStr">
        <is>
          <t>1976</t>
        </is>
      </c>
      <c r="O80" t="inlineStr">
        <is>
          <t>eng</t>
        </is>
      </c>
      <c r="P80" t="inlineStr">
        <is>
          <t>mau</t>
        </is>
      </c>
      <c r="R80" t="inlineStr">
        <is>
          <t xml:space="preserve">PE </t>
        </is>
      </c>
      <c r="S80" t="n">
        <v>2</v>
      </c>
      <c r="T80" t="n">
        <v>2</v>
      </c>
      <c r="U80" t="inlineStr">
        <is>
          <t>2001-07-12</t>
        </is>
      </c>
      <c r="V80" t="inlineStr">
        <is>
          <t>2001-07-12</t>
        </is>
      </c>
      <c r="W80" t="inlineStr">
        <is>
          <t>2001-07-11</t>
        </is>
      </c>
      <c r="X80" t="inlineStr">
        <is>
          <t>2001-07-11</t>
        </is>
      </c>
      <c r="Y80" t="n">
        <v>328</v>
      </c>
      <c r="Z80" t="n">
        <v>312</v>
      </c>
      <c r="AA80" t="n">
        <v>319</v>
      </c>
      <c r="AB80" t="n">
        <v>1</v>
      </c>
      <c r="AC80" t="n">
        <v>1</v>
      </c>
      <c r="AD80" t="n">
        <v>11</v>
      </c>
      <c r="AE80" t="n">
        <v>11</v>
      </c>
      <c r="AF80" t="n">
        <v>4</v>
      </c>
      <c r="AG80" t="n">
        <v>4</v>
      </c>
      <c r="AH80" t="n">
        <v>3</v>
      </c>
      <c r="AI80" t="n">
        <v>3</v>
      </c>
      <c r="AJ80" t="n">
        <v>7</v>
      </c>
      <c r="AK80" t="n">
        <v>7</v>
      </c>
      <c r="AL80" t="n">
        <v>0</v>
      </c>
      <c r="AM80" t="n">
        <v>0</v>
      </c>
      <c r="AN80" t="n">
        <v>0</v>
      </c>
      <c r="AO80" t="n">
        <v>0</v>
      </c>
      <c r="AP80" t="inlineStr">
        <is>
          <t>No</t>
        </is>
      </c>
      <c r="AQ80" t="inlineStr">
        <is>
          <t>No</t>
        </is>
      </c>
      <c r="AS80">
        <f>HYPERLINK("https://creighton-primo.hosted.exlibrisgroup.com/primo-explore/search?tab=default_tab&amp;search_scope=EVERYTHING&amp;vid=01CRU&amp;lang=en_US&amp;offset=0&amp;query=any,contains,991003567309702656","Catalog Record")</f>
        <v/>
      </c>
      <c r="AT80">
        <f>HYPERLINK("http://www.worldcat.org/oclc/1637737","WorldCat Record")</f>
        <v/>
      </c>
      <c r="AU80" t="inlineStr">
        <is>
          <t>908286539:eng</t>
        </is>
      </c>
      <c r="AV80" t="inlineStr">
        <is>
          <t>1637737</t>
        </is>
      </c>
      <c r="AW80" t="inlineStr">
        <is>
          <t>991003567309702656</t>
        </is>
      </c>
      <c r="AX80" t="inlineStr">
        <is>
          <t>991003567309702656</t>
        </is>
      </c>
      <c r="AY80" t="inlineStr">
        <is>
          <t>2263068370002656</t>
        </is>
      </c>
      <c r="AZ80" t="inlineStr">
        <is>
          <t>BOOK</t>
        </is>
      </c>
      <c r="BB80" t="inlineStr">
        <is>
          <t>9780395205006</t>
        </is>
      </c>
      <c r="BC80" t="inlineStr">
        <is>
          <t>32285004331962</t>
        </is>
      </c>
      <c r="BD80" t="inlineStr">
        <is>
          <t>893240351</t>
        </is>
      </c>
    </row>
    <row r="81">
      <c r="A81" t="inlineStr">
        <is>
          <t>No</t>
        </is>
      </c>
      <c r="B81" t="inlineStr">
        <is>
          <t>PE1121 .W48</t>
        </is>
      </c>
      <c r="C81" t="inlineStr">
        <is>
          <t>0                      PE 1121000W  48</t>
        </is>
      </c>
      <c r="D81" t="inlineStr">
        <is>
          <t>A college developmental reading manual / S. Vincent Wilking and Robert G. Webster.</t>
        </is>
      </c>
      <c r="F81" t="inlineStr">
        <is>
          <t>No</t>
        </is>
      </c>
      <c r="G81" t="inlineStr">
        <is>
          <t>1</t>
        </is>
      </c>
      <c r="H81" t="inlineStr">
        <is>
          <t>No</t>
        </is>
      </c>
      <c r="I81" t="inlineStr">
        <is>
          <t>No</t>
        </is>
      </c>
      <c r="J81" t="inlineStr">
        <is>
          <t>0</t>
        </is>
      </c>
      <c r="K81" t="inlineStr">
        <is>
          <t>Wilking, S. Vincent (Stephen Vincent), 1915-</t>
        </is>
      </c>
      <c r="L81" t="inlineStr">
        <is>
          <t>[Boston] : Houghton Mifflin, 1943.</t>
        </is>
      </c>
      <c r="M81" t="inlineStr">
        <is>
          <t>1943</t>
        </is>
      </c>
      <c r="O81" t="inlineStr">
        <is>
          <t>eng</t>
        </is>
      </c>
      <c r="P81" t="inlineStr">
        <is>
          <t xml:space="preserve">xx </t>
        </is>
      </c>
      <c r="R81" t="inlineStr">
        <is>
          <t xml:space="preserve">PE </t>
        </is>
      </c>
      <c r="S81" t="n">
        <v>1</v>
      </c>
      <c r="T81" t="n">
        <v>1</v>
      </c>
      <c r="U81" t="inlineStr">
        <is>
          <t>2009-07-27</t>
        </is>
      </c>
      <c r="V81" t="inlineStr">
        <is>
          <t>2009-07-27</t>
        </is>
      </c>
      <c r="W81" t="inlineStr">
        <is>
          <t>1997-09-22</t>
        </is>
      </c>
      <c r="X81" t="inlineStr">
        <is>
          <t>1997-09-22</t>
        </is>
      </c>
      <c r="Y81" t="n">
        <v>100</v>
      </c>
      <c r="Z81" t="n">
        <v>92</v>
      </c>
      <c r="AA81" t="n">
        <v>97</v>
      </c>
      <c r="AB81" t="n">
        <v>1</v>
      </c>
      <c r="AC81" t="n">
        <v>1</v>
      </c>
      <c r="AD81" t="n">
        <v>2</v>
      </c>
      <c r="AE81" t="n">
        <v>2</v>
      </c>
      <c r="AF81" t="n">
        <v>0</v>
      </c>
      <c r="AG81" t="n">
        <v>0</v>
      </c>
      <c r="AH81" t="n">
        <v>0</v>
      </c>
      <c r="AI81" t="n">
        <v>0</v>
      </c>
      <c r="AJ81" t="n">
        <v>2</v>
      </c>
      <c r="AK81" t="n">
        <v>2</v>
      </c>
      <c r="AL81" t="n">
        <v>0</v>
      </c>
      <c r="AM81" t="n">
        <v>0</v>
      </c>
      <c r="AN81" t="n">
        <v>0</v>
      </c>
      <c r="AO81" t="n">
        <v>0</v>
      </c>
      <c r="AP81" t="inlineStr">
        <is>
          <t>No</t>
        </is>
      </c>
      <c r="AQ81" t="inlineStr">
        <is>
          <t>No</t>
        </is>
      </c>
      <c r="AR81">
        <f>HYPERLINK("http://catalog.hathitrust.org/Record/001736107","HathiTrust Record")</f>
        <v/>
      </c>
      <c r="AS81">
        <f>HYPERLINK("https://creighton-primo.hosted.exlibrisgroup.com/primo-explore/search?tab=default_tab&amp;search_scope=EVERYTHING&amp;vid=01CRU&amp;lang=en_US&amp;offset=0&amp;query=any,contains,991003755269702656","Catalog Record")</f>
        <v/>
      </c>
      <c r="AT81">
        <f>HYPERLINK("http://www.worldcat.org/oclc/1435274","WorldCat Record")</f>
        <v/>
      </c>
      <c r="AU81" t="inlineStr">
        <is>
          <t>2327582:eng</t>
        </is>
      </c>
      <c r="AV81" t="inlineStr">
        <is>
          <t>1435274</t>
        </is>
      </c>
      <c r="AW81" t="inlineStr">
        <is>
          <t>991003755269702656</t>
        </is>
      </c>
      <c r="AX81" t="inlineStr">
        <is>
          <t>991003755269702656</t>
        </is>
      </c>
      <c r="AY81" t="inlineStr">
        <is>
          <t>2267030260002656</t>
        </is>
      </c>
      <c r="AZ81" t="inlineStr">
        <is>
          <t>BOOK</t>
        </is>
      </c>
      <c r="BC81" t="inlineStr">
        <is>
          <t>32285003245023</t>
        </is>
      </c>
      <c r="BD81" t="inlineStr">
        <is>
          <t>893330737</t>
        </is>
      </c>
    </row>
    <row r="82">
      <c r="A82" t="inlineStr">
        <is>
          <t>No</t>
        </is>
      </c>
      <c r="B82" t="inlineStr">
        <is>
          <t>PE1121 .W693</t>
        </is>
      </c>
      <c r="C82" t="inlineStr">
        <is>
          <t>0                      PE 1121000W  693</t>
        </is>
      </c>
      <c r="D82" t="inlineStr">
        <is>
          <t>How to improve your reading.</t>
        </is>
      </c>
      <c r="F82" t="inlineStr">
        <is>
          <t>No</t>
        </is>
      </c>
      <c r="G82" t="inlineStr">
        <is>
          <t>1</t>
        </is>
      </c>
      <c r="H82" t="inlineStr">
        <is>
          <t>No</t>
        </is>
      </c>
      <c r="I82" t="inlineStr">
        <is>
          <t>No</t>
        </is>
      </c>
      <c r="J82" t="inlineStr">
        <is>
          <t>0</t>
        </is>
      </c>
      <c r="K82" t="inlineStr">
        <is>
          <t>Witty, Paul, 1898-1976.</t>
        </is>
      </c>
      <c r="L82" t="inlineStr">
        <is>
          <t>Chicago, Science Research Associates [1956]</t>
        </is>
      </c>
      <c r="M82" t="inlineStr">
        <is>
          <t>1956</t>
        </is>
      </c>
      <c r="O82" t="inlineStr">
        <is>
          <t>eng</t>
        </is>
      </c>
      <c r="P82" t="inlineStr">
        <is>
          <t>ilu</t>
        </is>
      </c>
      <c r="R82" t="inlineStr">
        <is>
          <t xml:space="preserve">PE </t>
        </is>
      </c>
      <c r="S82" t="n">
        <v>4</v>
      </c>
      <c r="T82" t="n">
        <v>4</v>
      </c>
      <c r="U82" t="inlineStr">
        <is>
          <t>1999-04-15</t>
        </is>
      </c>
      <c r="V82" t="inlineStr">
        <is>
          <t>1999-04-15</t>
        </is>
      </c>
      <c r="W82" t="inlineStr">
        <is>
          <t>1997-09-22</t>
        </is>
      </c>
      <c r="X82" t="inlineStr">
        <is>
          <t>1997-09-22</t>
        </is>
      </c>
      <c r="Y82" t="n">
        <v>117</v>
      </c>
      <c r="Z82" t="n">
        <v>109</v>
      </c>
      <c r="AA82" t="n">
        <v>258</v>
      </c>
      <c r="AB82" t="n">
        <v>3</v>
      </c>
      <c r="AC82" t="n">
        <v>4</v>
      </c>
      <c r="AD82" t="n">
        <v>7</v>
      </c>
      <c r="AE82" t="n">
        <v>9</v>
      </c>
      <c r="AF82" t="n">
        <v>2</v>
      </c>
      <c r="AG82" t="n">
        <v>2</v>
      </c>
      <c r="AH82" t="n">
        <v>1</v>
      </c>
      <c r="AI82" t="n">
        <v>2</v>
      </c>
      <c r="AJ82" t="n">
        <v>4</v>
      </c>
      <c r="AK82" t="n">
        <v>4</v>
      </c>
      <c r="AL82" t="n">
        <v>1</v>
      </c>
      <c r="AM82" t="n">
        <v>2</v>
      </c>
      <c r="AN82" t="n">
        <v>0</v>
      </c>
      <c r="AO82" t="n">
        <v>0</v>
      </c>
      <c r="AP82" t="inlineStr">
        <is>
          <t>No</t>
        </is>
      </c>
      <c r="AQ82" t="inlineStr">
        <is>
          <t>Yes</t>
        </is>
      </c>
      <c r="AR82">
        <f>HYPERLINK("http://catalog.hathitrust.org/Record/101859978","HathiTrust Record")</f>
        <v/>
      </c>
      <c r="AS82">
        <f>HYPERLINK("https://creighton-primo.hosted.exlibrisgroup.com/primo-explore/search?tab=default_tab&amp;search_scope=EVERYTHING&amp;vid=01CRU&amp;lang=en_US&amp;offset=0&amp;query=any,contains,991003630249702656","Catalog Record")</f>
        <v/>
      </c>
      <c r="AT82">
        <f>HYPERLINK("http://www.worldcat.org/oclc/1221980","WorldCat Record")</f>
        <v/>
      </c>
      <c r="AU82" t="inlineStr">
        <is>
          <t>256007955:eng</t>
        </is>
      </c>
      <c r="AV82" t="inlineStr">
        <is>
          <t>1221980</t>
        </is>
      </c>
      <c r="AW82" t="inlineStr">
        <is>
          <t>991003630249702656</t>
        </is>
      </c>
      <c r="AX82" t="inlineStr">
        <is>
          <t>991003630249702656</t>
        </is>
      </c>
      <c r="AY82" t="inlineStr">
        <is>
          <t>2260565300002656</t>
        </is>
      </c>
      <c r="AZ82" t="inlineStr">
        <is>
          <t>BOOK</t>
        </is>
      </c>
      <c r="BC82" t="inlineStr">
        <is>
          <t>32285003245031</t>
        </is>
      </c>
      <c r="BD82" t="inlineStr">
        <is>
          <t>893336730</t>
        </is>
      </c>
    </row>
    <row r="83">
      <c r="A83" t="inlineStr">
        <is>
          <t>No</t>
        </is>
      </c>
      <c r="B83" t="inlineStr">
        <is>
          <t>PE1122 .B5</t>
        </is>
      </c>
      <c r="C83" t="inlineStr">
        <is>
          <t>0                      PE 1122000B  5</t>
        </is>
      </c>
      <c r="D83" t="inlineStr">
        <is>
          <t>The Odyssey reader; ideas and style [compiled by] Newman P. Birk &amp; Genevieve B. Birk.</t>
        </is>
      </c>
      <c r="F83" t="inlineStr">
        <is>
          <t>No</t>
        </is>
      </c>
      <c r="G83" t="inlineStr">
        <is>
          <t>1</t>
        </is>
      </c>
      <c r="H83" t="inlineStr">
        <is>
          <t>No</t>
        </is>
      </c>
      <c r="I83" t="inlineStr">
        <is>
          <t>No</t>
        </is>
      </c>
      <c r="J83" t="inlineStr">
        <is>
          <t>0</t>
        </is>
      </c>
      <c r="K83" t="inlineStr">
        <is>
          <t>Birk, Newman Peter, 1906- compiler.</t>
        </is>
      </c>
      <c r="L83" t="inlineStr">
        <is>
          <t>New York, Odyssey Press [1968]</t>
        </is>
      </c>
      <c r="M83" t="inlineStr">
        <is>
          <t>1968</t>
        </is>
      </c>
      <c r="O83" t="inlineStr">
        <is>
          <t>eng</t>
        </is>
      </c>
      <c r="P83" t="inlineStr">
        <is>
          <t>nyu</t>
        </is>
      </c>
      <c r="R83" t="inlineStr">
        <is>
          <t xml:space="preserve">PE </t>
        </is>
      </c>
      <c r="S83" t="n">
        <v>3</v>
      </c>
      <c r="T83" t="n">
        <v>3</v>
      </c>
      <c r="U83" t="inlineStr">
        <is>
          <t>1997-10-19</t>
        </is>
      </c>
      <c r="V83" t="inlineStr">
        <is>
          <t>1997-10-19</t>
        </is>
      </c>
      <c r="W83" t="inlineStr">
        <is>
          <t>1997-09-22</t>
        </is>
      </c>
      <c r="X83" t="inlineStr">
        <is>
          <t>1997-09-22</t>
        </is>
      </c>
      <c r="Y83" t="n">
        <v>202</v>
      </c>
      <c r="Z83" t="n">
        <v>181</v>
      </c>
      <c r="AA83" t="n">
        <v>252</v>
      </c>
      <c r="AB83" t="n">
        <v>1</v>
      </c>
      <c r="AC83" t="n">
        <v>1</v>
      </c>
      <c r="AD83" t="n">
        <v>4</v>
      </c>
      <c r="AE83" t="n">
        <v>5</v>
      </c>
      <c r="AF83" t="n">
        <v>2</v>
      </c>
      <c r="AG83" t="n">
        <v>3</v>
      </c>
      <c r="AH83" t="n">
        <v>1</v>
      </c>
      <c r="AI83" t="n">
        <v>1</v>
      </c>
      <c r="AJ83" t="n">
        <v>3</v>
      </c>
      <c r="AK83" t="n">
        <v>3</v>
      </c>
      <c r="AL83" t="n">
        <v>0</v>
      </c>
      <c r="AM83" t="n">
        <v>0</v>
      </c>
      <c r="AN83" t="n">
        <v>0</v>
      </c>
      <c r="AO83" t="n">
        <v>0</v>
      </c>
      <c r="AP83" t="inlineStr">
        <is>
          <t>No</t>
        </is>
      </c>
      <c r="AQ83" t="inlineStr">
        <is>
          <t>Yes</t>
        </is>
      </c>
      <c r="AR83">
        <f>HYPERLINK("http://catalog.hathitrust.org/Record/007498293","HathiTrust Record")</f>
        <v/>
      </c>
      <c r="AS83">
        <f>HYPERLINK("https://creighton-primo.hosted.exlibrisgroup.com/primo-explore/search?tab=default_tab&amp;search_scope=EVERYTHING&amp;vid=01CRU&amp;lang=en_US&amp;offset=0&amp;query=any,contains,991002772859702656","Catalog Record")</f>
        <v/>
      </c>
      <c r="AT83">
        <f>HYPERLINK("http://www.worldcat.org/oclc/437610","WorldCat Record")</f>
        <v/>
      </c>
      <c r="AU83" t="inlineStr">
        <is>
          <t>1440638:eng</t>
        </is>
      </c>
      <c r="AV83" t="inlineStr">
        <is>
          <t>437610</t>
        </is>
      </c>
      <c r="AW83" t="inlineStr">
        <is>
          <t>991002772859702656</t>
        </is>
      </c>
      <c r="AX83" t="inlineStr">
        <is>
          <t>991002772859702656</t>
        </is>
      </c>
      <c r="AY83" t="inlineStr">
        <is>
          <t>2267924870002656</t>
        </is>
      </c>
      <c r="AZ83" t="inlineStr">
        <is>
          <t>BOOK</t>
        </is>
      </c>
      <c r="BC83" t="inlineStr">
        <is>
          <t>32285003245049</t>
        </is>
      </c>
      <c r="BD83" t="inlineStr">
        <is>
          <t>893792899</t>
        </is>
      </c>
    </row>
    <row r="84">
      <c r="A84" t="inlineStr">
        <is>
          <t>No</t>
        </is>
      </c>
      <c r="B84" t="inlineStr">
        <is>
          <t>PE1122 .M27 1969</t>
        </is>
      </c>
      <c r="C84" t="inlineStr">
        <is>
          <t>0                      PE 1122000M  27          1969</t>
        </is>
      </c>
      <c r="D84" t="inlineStr">
        <is>
          <t>The process of fiction : contemporary stories and criticism / edited by Barbara McKenzie.</t>
        </is>
      </c>
      <c r="F84" t="inlineStr">
        <is>
          <t>No</t>
        </is>
      </c>
      <c r="G84" t="inlineStr">
        <is>
          <t>1</t>
        </is>
      </c>
      <c r="H84" t="inlineStr">
        <is>
          <t>No</t>
        </is>
      </c>
      <c r="I84" t="inlineStr">
        <is>
          <t>No</t>
        </is>
      </c>
      <c r="J84" t="inlineStr">
        <is>
          <t>0</t>
        </is>
      </c>
      <c r="K84" t="inlineStr">
        <is>
          <t>McKenzie, Barbara, compiler.</t>
        </is>
      </c>
      <c r="L84" t="inlineStr">
        <is>
          <t>New York : Harcourt, Brace &amp; World, [1969]</t>
        </is>
      </c>
      <c r="M84" t="inlineStr">
        <is>
          <t>1969</t>
        </is>
      </c>
      <c r="O84" t="inlineStr">
        <is>
          <t>eng</t>
        </is>
      </c>
      <c r="P84" t="inlineStr">
        <is>
          <t>nyu</t>
        </is>
      </c>
      <c r="R84" t="inlineStr">
        <is>
          <t xml:space="preserve">PE </t>
        </is>
      </c>
      <c r="S84" t="n">
        <v>1</v>
      </c>
      <c r="T84" t="n">
        <v>1</v>
      </c>
      <c r="U84" t="inlineStr">
        <is>
          <t>1994-07-25</t>
        </is>
      </c>
      <c r="V84" t="inlineStr">
        <is>
          <t>1994-07-25</t>
        </is>
      </c>
      <c r="W84" t="inlineStr">
        <is>
          <t>1993-04-23</t>
        </is>
      </c>
      <c r="X84" t="inlineStr">
        <is>
          <t>1993-04-23</t>
        </is>
      </c>
      <c r="Y84" t="n">
        <v>247</v>
      </c>
      <c r="Z84" t="n">
        <v>232</v>
      </c>
      <c r="AA84" t="n">
        <v>436</v>
      </c>
      <c r="AB84" t="n">
        <v>4</v>
      </c>
      <c r="AC84" t="n">
        <v>4</v>
      </c>
      <c r="AD84" t="n">
        <v>9</v>
      </c>
      <c r="AE84" t="n">
        <v>19</v>
      </c>
      <c r="AF84" t="n">
        <v>2</v>
      </c>
      <c r="AG84" t="n">
        <v>6</v>
      </c>
      <c r="AH84" t="n">
        <v>2</v>
      </c>
      <c r="AI84" t="n">
        <v>4</v>
      </c>
      <c r="AJ84" t="n">
        <v>2</v>
      </c>
      <c r="AK84" t="n">
        <v>6</v>
      </c>
      <c r="AL84" t="n">
        <v>3</v>
      </c>
      <c r="AM84" t="n">
        <v>3</v>
      </c>
      <c r="AN84" t="n">
        <v>0</v>
      </c>
      <c r="AO84" t="n">
        <v>1</v>
      </c>
      <c r="AP84" t="inlineStr">
        <is>
          <t>No</t>
        </is>
      </c>
      <c r="AQ84" t="inlineStr">
        <is>
          <t>Yes</t>
        </is>
      </c>
      <c r="AR84">
        <f>HYPERLINK("http://catalog.hathitrust.org/Record/101862010","HathiTrust Record")</f>
        <v/>
      </c>
      <c r="AS84">
        <f>HYPERLINK("https://creighton-primo.hosted.exlibrisgroup.com/primo-explore/search?tab=default_tab&amp;search_scope=EVERYTHING&amp;vid=01CRU&amp;lang=en_US&amp;offset=0&amp;query=any,contains,991000454879702656","Catalog Record")</f>
        <v/>
      </c>
      <c r="AT84">
        <f>HYPERLINK("http://www.worldcat.org/oclc/77771","WorldCat Record")</f>
        <v/>
      </c>
      <c r="AU84" t="inlineStr">
        <is>
          <t>413872:eng</t>
        </is>
      </c>
      <c r="AV84" t="inlineStr">
        <is>
          <t>77771</t>
        </is>
      </c>
      <c r="AW84" t="inlineStr">
        <is>
          <t>991000454879702656</t>
        </is>
      </c>
      <c r="AX84" t="inlineStr">
        <is>
          <t>991000454879702656</t>
        </is>
      </c>
      <c r="AY84" t="inlineStr">
        <is>
          <t>2256524990002656</t>
        </is>
      </c>
      <c r="AZ84" t="inlineStr">
        <is>
          <t>BOOK</t>
        </is>
      </c>
      <c r="BB84" t="inlineStr">
        <is>
          <t>9780155719859</t>
        </is>
      </c>
      <c r="BC84" t="inlineStr">
        <is>
          <t>32285001646446</t>
        </is>
      </c>
      <c r="BD84" t="inlineStr">
        <is>
          <t>893327300</t>
        </is>
      </c>
    </row>
    <row r="85">
      <c r="A85" t="inlineStr">
        <is>
          <t>No</t>
        </is>
      </c>
      <c r="B85" t="inlineStr">
        <is>
          <t>PE1122 .N3 1969</t>
        </is>
      </c>
      <c r="C85" t="inlineStr">
        <is>
          <t>0                      PE 1122000N  3           1969</t>
        </is>
      </c>
      <c r="D85" t="inlineStr">
        <is>
          <t>Short stories : an anthology / Norman Nathan.</t>
        </is>
      </c>
      <c r="F85" t="inlineStr">
        <is>
          <t>No</t>
        </is>
      </c>
      <c r="G85" t="inlineStr">
        <is>
          <t>1</t>
        </is>
      </c>
      <c r="H85" t="inlineStr">
        <is>
          <t>No</t>
        </is>
      </c>
      <c r="I85" t="inlineStr">
        <is>
          <t>No</t>
        </is>
      </c>
      <c r="J85" t="inlineStr">
        <is>
          <t>0</t>
        </is>
      </c>
      <c r="K85" t="inlineStr">
        <is>
          <t>Nathan, Norman, 1915-2013 compiler.</t>
        </is>
      </c>
      <c r="L85" t="inlineStr">
        <is>
          <t>Indianapolis : Bobbs-Merrill, [1969]</t>
        </is>
      </c>
      <c r="M85" t="inlineStr">
        <is>
          <t>1969</t>
        </is>
      </c>
      <c r="O85" t="inlineStr">
        <is>
          <t>eng</t>
        </is>
      </c>
      <c r="P85" t="inlineStr">
        <is>
          <t>inu</t>
        </is>
      </c>
      <c r="R85" t="inlineStr">
        <is>
          <t xml:space="preserve">PE </t>
        </is>
      </c>
      <c r="S85" t="n">
        <v>64</v>
      </c>
      <c r="T85" t="n">
        <v>64</v>
      </c>
      <c r="U85" t="inlineStr">
        <is>
          <t>1999-04-07</t>
        </is>
      </c>
      <c r="V85" t="inlineStr">
        <is>
          <t>1999-04-07</t>
        </is>
      </c>
      <c r="W85" t="inlineStr">
        <is>
          <t>1992-05-28</t>
        </is>
      </c>
      <c r="X85" t="inlineStr">
        <is>
          <t>1992-05-28</t>
        </is>
      </c>
      <c r="Y85" t="n">
        <v>61</v>
      </c>
      <c r="Z85" t="n">
        <v>57</v>
      </c>
      <c r="AA85" t="n">
        <v>57</v>
      </c>
      <c r="AB85" t="n">
        <v>1</v>
      </c>
      <c r="AC85" t="n">
        <v>1</v>
      </c>
      <c r="AD85" t="n">
        <v>3</v>
      </c>
      <c r="AE85" t="n">
        <v>3</v>
      </c>
      <c r="AF85" t="n">
        <v>1</v>
      </c>
      <c r="AG85" t="n">
        <v>1</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HYPERLINK("https://creighton-primo.hosted.exlibrisgroup.com/primo-explore/search?tab=default_tab&amp;search_scope=EVERYTHING&amp;vid=01CRU&amp;lang=en_US&amp;offset=0&amp;query=any,contains,991002788019702656","Catalog Record")</f>
        <v/>
      </c>
      <c r="AT85">
        <f>HYPERLINK("http://www.worldcat.org/oclc/442392","WorldCat Record")</f>
        <v/>
      </c>
      <c r="AU85" t="inlineStr">
        <is>
          <t>1571602:eng</t>
        </is>
      </c>
      <c r="AV85" t="inlineStr">
        <is>
          <t>442392</t>
        </is>
      </c>
      <c r="AW85" t="inlineStr">
        <is>
          <t>991002788019702656</t>
        </is>
      </c>
      <c r="AX85" t="inlineStr">
        <is>
          <t>991002788019702656</t>
        </is>
      </c>
      <c r="AY85" t="inlineStr">
        <is>
          <t>2255941520002656</t>
        </is>
      </c>
      <c r="AZ85" t="inlineStr">
        <is>
          <t>BOOK</t>
        </is>
      </c>
      <c r="BC85" t="inlineStr">
        <is>
          <t>32285001113355</t>
        </is>
      </c>
      <c r="BD85" t="inlineStr">
        <is>
          <t>893716912</t>
        </is>
      </c>
    </row>
    <row r="86">
      <c r="A86" t="inlineStr">
        <is>
          <t>No</t>
        </is>
      </c>
      <c r="B86" t="inlineStr">
        <is>
          <t>PE1122 .W255 1991</t>
        </is>
      </c>
      <c r="C86" t="inlineStr">
        <is>
          <t>0                      PE 1122000W  255         1991</t>
        </is>
      </c>
      <c r="D86" t="inlineStr">
        <is>
          <t>Investigating arguments : readings for college writing / Jeffrey Walker, Glen McClish.</t>
        </is>
      </c>
      <c r="F86" t="inlineStr">
        <is>
          <t>No</t>
        </is>
      </c>
      <c r="G86" t="inlineStr">
        <is>
          <t>1</t>
        </is>
      </c>
      <c r="H86" t="inlineStr">
        <is>
          <t>No</t>
        </is>
      </c>
      <c r="I86" t="inlineStr">
        <is>
          <t>Yes</t>
        </is>
      </c>
      <c r="J86" t="inlineStr">
        <is>
          <t>0</t>
        </is>
      </c>
      <c r="K86" t="inlineStr">
        <is>
          <t>Walker, Jeffrey, 1949-</t>
        </is>
      </c>
      <c r="L86" t="inlineStr">
        <is>
          <t>Boston : Houghton Mifflin, c1991.</t>
        </is>
      </c>
      <c r="M86" t="inlineStr">
        <is>
          <t>1991</t>
        </is>
      </c>
      <c r="O86" t="inlineStr">
        <is>
          <t>eng</t>
        </is>
      </c>
      <c r="P86" t="inlineStr">
        <is>
          <t>mau</t>
        </is>
      </c>
      <c r="R86" t="inlineStr">
        <is>
          <t xml:space="preserve">PE </t>
        </is>
      </c>
      <c r="S86" t="n">
        <v>4</v>
      </c>
      <c r="T86" t="n">
        <v>4</v>
      </c>
      <c r="U86" t="inlineStr">
        <is>
          <t>1996-09-26</t>
        </is>
      </c>
      <c r="V86" t="inlineStr">
        <is>
          <t>1996-09-26</t>
        </is>
      </c>
      <c r="W86" t="inlineStr">
        <is>
          <t>1996-09-03</t>
        </is>
      </c>
      <c r="X86" t="inlineStr">
        <is>
          <t>1996-09-03</t>
        </is>
      </c>
      <c r="Y86" t="n">
        <v>76</v>
      </c>
      <c r="Z86" t="n">
        <v>71</v>
      </c>
      <c r="AA86" t="n">
        <v>74</v>
      </c>
      <c r="AB86" t="n">
        <v>2</v>
      </c>
      <c r="AC86" t="n">
        <v>2</v>
      </c>
      <c r="AD86" t="n">
        <v>2</v>
      </c>
      <c r="AE86" t="n">
        <v>2</v>
      </c>
      <c r="AF86" t="n">
        <v>0</v>
      </c>
      <c r="AG86" t="n">
        <v>0</v>
      </c>
      <c r="AH86" t="n">
        <v>0</v>
      </c>
      <c r="AI86" t="n">
        <v>0</v>
      </c>
      <c r="AJ86" t="n">
        <v>1</v>
      </c>
      <c r="AK86" t="n">
        <v>1</v>
      </c>
      <c r="AL86" t="n">
        <v>1</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HYPERLINK("https://creighton-primo.hosted.exlibrisgroup.com/primo-explore/search?tab=default_tab&amp;search_scope=EVERYTHING&amp;vid=01CRU&amp;lang=en_US&amp;offset=0&amp;query=any,contains,991001896199702656","Catalog Record")</f>
        <v/>
      </c>
      <c r="AT86">
        <f>HYPERLINK("http://www.worldcat.org/oclc/23959753","WorldCat Record")</f>
        <v/>
      </c>
      <c r="AU86" t="inlineStr">
        <is>
          <t>24969387:eng</t>
        </is>
      </c>
      <c r="AV86" t="inlineStr">
        <is>
          <t>23959753</t>
        </is>
      </c>
      <c r="AW86" t="inlineStr">
        <is>
          <t>991001896199702656</t>
        </is>
      </c>
      <c r="AX86" t="inlineStr">
        <is>
          <t>991001896199702656</t>
        </is>
      </c>
      <c r="AY86" t="inlineStr">
        <is>
          <t>2264506150002656</t>
        </is>
      </c>
      <c r="AZ86" t="inlineStr">
        <is>
          <t>BOOK</t>
        </is>
      </c>
      <c r="BB86" t="inlineStr">
        <is>
          <t>9780395540107</t>
        </is>
      </c>
      <c r="BC86" t="inlineStr">
        <is>
          <t>32285002293594</t>
        </is>
      </c>
      <c r="BD86" t="inlineStr">
        <is>
          <t>893444843</t>
        </is>
      </c>
    </row>
    <row r="87">
      <c r="A87" t="inlineStr">
        <is>
          <t>No</t>
        </is>
      </c>
      <c r="B87" t="inlineStr">
        <is>
          <t>PE1122 .W255 1991, Supp.</t>
        </is>
      </c>
      <c r="C87" t="inlineStr">
        <is>
          <t>0                      PE 1122000W  255         1991                                        Supp.</t>
        </is>
      </c>
      <c r="D87" t="inlineStr">
        <is>
          <t>Instructor's resource manual Investigating arguments : readings for college writing / Jeffrey Walker, Glen McClish.</t>
        </is>
      </c>
      <c r="E87" t="inlineStr">
        <is>
          <t>Supp.*</t>
        </is>
      </c>
      <c r="F87" t="inlineStr">
        <is>
          <t>No</t>
        </is>
      </c>
      <c r="G87" t="inlineStr">
        <is>
          <t>1</t>
        </is>
      </c>
      <c r="H87" t="inlineStr">
        <is>
          <t>No</t>
        </is>
      </c>
      <c r="I87" t="inlineStr">
        <is>
          <t>Yes</t>
        </is>
      </c>
      <c r="J87" t="inlineStr">
        <is>
          <t>0</t>
        </is>
      </c>
      <c r="K87" t="inlineStr">
        <is>
          <t>Walker, Jeffrey.</t>
        </is>
      </c>
      <c r="L87" t="inlineStr">
        <is>
          <t>Boston : Houghton Mifflin, c1991.</t>
        </is>
      </c>
      <c r="M87" t="inlineStr">
        <is>
          <t>1991</t>
        </is>
      </c>
      <c r="O87" t="inlineStr">
        <is>
          <t>eng</t>
        </is>
      </c>
      <c r="P87" t="inlineStr">
        <is>
          <t>mau</t>
        </is>
      </c>
      <c r="R87" t="inlineStr">
        <is>
          <t xml:space="preserve">PE </t>
        </is>
      </c>
      <c r="S87" t="n">
        <v>1</v>
      </c>
      <c r="T87" t="n">
        <v>1</v>
      </c>
      <c r="U87" t="inlineStr">
        <is>
          <t>1998-04-15</t>
        </is>
      </c>
      <c r="V87" t="inlineStr">
        <is>
          <t>1998-04-15</t>
        </is>
      </c>
      <c r="W87" t="inlineStr">
        <is>
          <t>1996-09-04</t>
        </is>
      </c>
      <c r="X87" t="inlineStr">
        <is>
          <t>1996-09-04</t>
        </is>
      </c>
      <c r="Y87" t="n">
        <v>7</v>
      </c>
      <c r="Z87" t="n">
        <v>7</v>
      </c>
      <c r="AA87" t="n">
        <v>74</v>
      </c>
      <c r="AB87" t="n">
        <v>1</v>
      </c>
      <c r="AC87" t="n">
        <v>2</v>
      </c>
      <c r="AD87" t="n">
        <v>0</v>
      </c>
      <c r="AE87" t="n">
        <v>2</v>
      </c>
      <c r="AF87" t="n">
        <v>0</v>
      </c>
      <c r="AG87" t="n">
        <v>0</v>
      </c>
      <c r="AH87" t="n">
        <v>0</v>
      </c>
      <c r="AI87" t="n">
        <v>0</v>
      </c>
      <c r="AJ87" t="n">
        <v>0</v>
      </c>
      <c r="AK87" t="n">
        <v>1</v>
      </c>
      <c r="AL87" t="n">
        <v>0</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HYPERLINK("https://creighton-primo.hosted.exlibrisgroup.com/primo-explore/search?tab=default_tab&amp;search_scope=EVERYTHING&amp;vid=01CRU&amp;lang=en_US&amp;offset=0&amp;query=any,contains,991002011949702656","Catalog Record")</f>
        <v/>
      </c>
      <c r="AT87">
        <f>HYPERLINK("http://www.worldcat.org/oclc/25618171","WorldCat Record")</f>
        <v/>
      </c>
      <c r="AU87" t="inlineStr">
        <is>
          <t>24969387:eng</t>
        </is>
      </c>
      <c r="AV87" t="inlineStr">
        <is>
          <t>25618171</t>
        </is>
      </c>
      <c r="AW87" t="inlineStr">
        <is>
          <t>991002011949702656</t>
        </is>
      </c>
      <c r="AX87" t="inlineStr">
        <is>
          <t>991002011949702656</t>
        </is>
      </c>
      <c r="AY87" t="inlineStr">
        <is>
          <t>2260388020002656</t>
        </is>
      </c>
      <c r="AZ87" t="inlineStr">
        <is>
          <t>BOOK</t>
        </is>
      </c>
      <c r="BB87" t="inlineStr">
        <is>
          <t>9780395572221</t>
        </is>
      </c>
      <c r="BC87" t="inlineStr">
        <is>
          <t>32285002294436</t>
        </is>
      </c>
      <c r="BD87" t="inlineStr">
        <is>
          <t>893866696</t>
        </is>
      </c>
    </row>
    <row r="88">
      <c r="A88" t="inlineStr">
        <is>
          <t>No</t>
        </is>
      </c>
      <c r="B88" t="inlineStr">
        <is>
          <t>PE1127 .W65 R6 1991 BK.1A</t>
        </is>
      </c>
      <c r="C88" t="inlineStr">
        <is>
          <t>0                      PE 1127000W  65                 R  6           1991                  BK.1A</t>
        </is>
      </c>
      <c r="D88" t="inlineStr">
        <is>
          <t>Contemporary's Working in English.</t>
        </is>
      </c>
      <c r="F88" t="inlineStr">
        <is>
          <t>No</t>
        </is>
      </c>
      <c r="G88" t="inlineStr">
        <is>
          <t>1</t>
        </is>
      </c>
      <c r="H88" t="inlineStr">
        <is>
          <t>Yes</t>
        </is>
      </c>
      <c r="I88" t="inlineStr">
        <is>
          <t>No</t>
        </is>
      </c>
      <c r="J88" t="inlineStr">
        <is>
          <t>0</t>
        </is>
      </c>
      <c r="L88" t="inlineStr">
        <is>
          <t>Chicago, Ill. : Contemporary Books, c1991-</t>
        </is>
      </c>
      <c r="M88" t="inlineStr">
        <is>
          <t>1991</t>
        </is>
      </c>
      <c r="O88" t="inlineStr">
        <is>
          <t>eng</t>
        </is>
      </c>
      <c r="P88" t="inlineStr">
        <is>
          <t>ilu</t>
        </is>
      </c>
      <c r="R88" t="inlineStr">
        <is>
          <t xml:space="preserve">PE </t>
        </is>
      </c>
      <c r="S88" t="n">
        <v>5</v>
      </c>
      <c r="T88" t="n">
        <v>15</v>
      </c>
      <c r="U88" t="inlineStr">
        <is>
          <t>2002-04-28</t>
        </is>
      </c>
      <c r="V88" t="inlineStr">
        <is>
          <t>2002-06-14</t>
        </is>
      </c>
      <c r="W88" t="inlineStr">
        <is>
          <t>1992-08-04</t>
        </is>
      </c>
      <c r="X88" t="inlineStr">
        <is>
          <t>1992-08-04</t>
        </is>
      </c>
      <c r="Y88" t="n">
        <v>87</v>
      </c>
      <c r="Z88" t="n">
        <v>80</v>
      </c>
      <c r="AA88" t="n">
        <v>89</v>
      </c>
      <c r="AB88" t="n">
        <v>2</v>
      </c>
      <c r="AC88" t="n">
        <v>2</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HYPERLINK("https://creighton-primo.hosted.exlibrisgroup.com/primo-explore/search?tab=default_tab&amp;search_scope=EVERYTHING&amp;vid=01CRU&amp;lang=en_US&amp;offset=0&amp;query=any,contains,991001756419702656","Catalog Record")</f>
        <v/>
      </c>
      <c r="AT88">
        <f>HYPERLINK("http://www.worldcat.org/oclc/22209733","WorldCat Record")</f>
        <v/>
      </c>
      <c r="AU88" t="inlineStr">
        <is>
          <t>47298743:eng</t>
        </is>
      </c>
      <c r="AV88" t="inlineStr">
        <is>
          <t>22209733</t>
        </is>
      </c>
      <c r="AW88" t="inlineStr">
        <is>
          <t>991001756419702656</t>
        </is>
      </c>
      <c r="AX88" t="inlineStr">
        <is>
          <t>991001756419702656</t>
        </is>
      </c>
      <c r="AY88" t="inlineStr">
        <is>
          <t>2254926500002656</t>
        </is>
      </c>
      <c r="AZ88" t="inlineStr">
        <is>
          <t>BOOK</t>
        </is>
      </c>
      <c r="BB88" t="inlineStr">
        <is>
          <t>9780809241705</t>
        </is>
      </c>
      <c r="BC88" t="inlineStr">
        <is>
          <t>32285001196137</t>
        </is>
      </c>
      <c r="BD88" t="inlineStr">
        <is>
          <t>893316015</t>
        </is>
      </c>
    </row>
    <row r="89">
      <c r="A89" t="inlineStr">
        <is>
          <t>No</t>
        </is>
      </c>
      <c r="B89" t="inlineStr">
        <is>
          <t>PE1127 .W65 R6 1991 BK.2</t>
        </is>
      </c>
      <c r="C89" t="inlineStr">
        <is>
          <t>0                      PE 1127000W  65                 R  6           1991                  BK.2</t>
        </is>
      </c>
      <c r="D89" t="inlineStr">
        <is>
          <t>Contemporary's Working in English.</t>
        </is>
      </c>
      <c r="F89" t="inlineStr">
        <is>
          <t>No</t>
        </is>
      </c>
      <c r="G89" t="inlineStr">
        <is>
          <t>1</t>
        </is>
      </c>
      <c r="H89" t="inlineStr">
        <is>
          <t>Yes</t>
        </is>
      </c>
      <c r="I89" t="inlineStr">
        <is>
          <t>No</t>
        </is>
      </c>
      <c r="J89" t="inlineStr">
        <is>
          <t>0</t>
        </is>
      </c>
      <c r="L89" t="inlineStr">
        <is>
          <t>Chicago, Ill. : Contemporary Books, c1991-</t>
        </is>
      </c>
      <c r="M89" t="inlineStr">
        <is>
          <t>1991</t>
        </is>
      </c>
      <c r="O89" t="inlineStr">
        <is>
          <t>eng</t>
        </is>
      </c>
      <c r="P89" t="inlineStr">
        <is>
          <t>ilu</t>
        </is>
      </c>
      <c r="R89" t="inlineStr">
        <is>
          <t xml:space="preserve">PE </t>
        </is>
      </c>
      <c r="S89" t="n">
        <v>4</v>
      </c>
      <c r="T89" t="n">
        <v>15</v>
      </c>
      <c r="U89" t="inlineStr">
        <is>
          <t>2002-06-14</t>
        </is>
      </c>
      <c r="V89" t="inlineStr">
        <is>
          <t>2002-06-14</t>
        </is>
      </c>
      <c r="W89" t="inlineStr">
        <is>
          <t>1992-08-04</t>
        </is>
      </c>
      <c r="X89" t="inlineStr">
        <is>
          <t>1992-08-04</t>
        </is>
      </c>
      <c r="Y89" t="n">
        <v>87</v>
      </c>
      <c r="Z89" t="n">
        <v>80</v>
      </c>
      <c r="AA89" t="n">
        <v>89</v>
      </c>
      <c r="AB89" t="n">
        <v>2</v>
      </c>
      <c r="AC89" t="n">
        <v>2</v>
      </c>
      <c r="AD89" t="n">
        <v>0</v>
      </c>
      <c r="AE89" t="n">
        <v>0</v>
      </c>
      <c r="AF89" t="n">
        <v>0</v>
      </c>
      <c r="AG89" t="n">
        <v>0</v>
      </c>
      <c r="AH89" t="n">
        <v>0</v>
      </c>
      <c r="AI89" t="n">
        <v>0</v>
      </c>
      <c r="AJ89" t="n">
        <v>0</v>
      </c>
      <c r="AK89" t="n">
        <v>0</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HYPERLINK("https://creighton-primo.hosted.exlibrisgroup.com/primo-explore/search?tab=default_tab&amp;search_scope=EVERYTHING&amp;vid=01CRU&amp;lang=en_US&amp;offset=0&amp;query=any,contains,991001756419702656","Catalog Record")</f>
        <v/>
      </c>
      <c r="AT89">
        <f>HYPERLINK("http://www.worldcat.org/oclc/22209733","WorldCat Record")</f>
        <v/>
      </c>
      <c r="AU89" t="inlineStr">
        <is>
          <t>47298743:eng</t>
        </is>
      </c>
      <c r="AV89" t="inlineStr">
        <is>
          <t>22209733</t>
        </is>
      </c>
      <c r="AW89" t="inlineStr">
        <is>
          <t>991001756419702656</t>
        </is>
      </c>
      <c r="AX89" t="inlineStr">
        <is>
          <t>991001756419702656</t>
        </is>
      </c>
      <c r="AY89" t="inlineStr">
        <is>
          <t>2254926500002656</t>
        </is>
      </c>
      <c r="AZ89" t="inlineStr">
        <is>
          <t>BOOK</t>
        </is>
      </c>
      <c r="BB89" t="inlineStr">
        <is>
          <t>9780809241705</t>
        </is>
      </c>
      <c r="BC89" t="inlineStr">
        <is>
          <t>32285001196145</t>
        </is>
      </c>
      <c r="BD89" t="inlineStr">
        <is>
          <t>893328347</t>
        </is>
      </c>
    </row>
    <row r="90">
      <c r="A90" t="inlineStr">
        <is>
          <t>No</t>
        </is>
      </c>
      <c r="B90" t="inlineStr">
        <is>
          <t>PE1127 .W65 R6 1991 BK.2A</t>
        </is>
      </c>
      <c r="C90" t="inlineStr">
        <is>
          <t>0                      PE 1127000W  65                 R  6           1991                  BK.2A</t>
        </is>
      </c>
      <c r="D90" t="inlineStr">
        <is>
          <t>Contemporary's Working in English.</t>
        </is>
      </c>
      <c r="F90" t="inlineStr">
        <is>
          <t>No</t>
        </is>
      </c>
      <c r="G90" t="inlineStr">
        <is>
          <t>1</t>
        </is>
      </c>
      <c r="H90" t="inlineStr">
        <is>
          <t>Yes</t>
        </is>
      </c>
      <c r="I90" t="inlineStr">
        <is>
          <t>No</t>
        </is>
      </c>
      <c r="J90" t="inlineStr">
        <is>
          <t>0</t>
        </is>
      </c>
      <c r="L90" t="inlineStr">
        <is>
          <t>Chicago, Ill. : Contemporary Books, c1991-</t>
        </is>
      </c>
      <c r="M90" t="inlineStr">
        <is>
          <t>1991</t>
        </is>
      </c>
      <c r="O90" t="inlineStr">
        <is>
          <t>eng</t>
        </is>
      </c>
      <c r="P90" t="inlineStr">
        <is>
          <t>ilu</t>
        </is>
      </c>
      <c r="R90" t="inlineStr">
        <is>
          <t xml:space="preserve">PE </t>
        </is>
      </c>
      <c r="S90" t="n">
        <v>2</v>
      </c>
      <c r="T90" t="n">
        <v>15</v>
      </c>
      <c r="U90" t="inlineStr">
        <is>
          <t>1994-01-18</t>
        </is>
      </c>
      <c r="V90" t="inlineStr">
        <is>
          <t>2002-06-14</t>
        </is>
      </c>
      <c r="W90" t="inlineStr">
        <is>
          <t>1992-08-04</t>
        </is>
      </c>
      <c r="X90" t="inlineStr">
        <is>
          <t>1992-08-04</t>
        </is>
      </c>
      <c r="Y90" t="n">
        <v>87</v>
      </c>
      <c r="Z90" t="n">
        <v>80</v>
      </c>
      <c r="AA90" t="n">
        <v>89</v>
      </c>
      <c r="AB90" t="n">
        <v>2</v>
      </c>
      <c r="AC90" t="n">
        <v>2</v>
      </c>
      <c r="AD90" t="n">
        <v>0</v>
      </c>
      <c r="AE90" t="n">
        <v>0</v>
      </c>
      <c r="AF90" t="n">
        <v>0</v>
      </c>
      <c r="AG90" t="n">
        <v>0</v>
      </c>
      <c r="AH90" t="n">
        <v>0</v>
      </c>
      <c r="AI90" t="n">
        <v>0</v>
      </c>
      <c r="AJ90" t="n">
        <v>0</v>
      </c>
      <c r="AK90" t="n">
        <v>0</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HYPERLINK("https://creighton-primo.hosted.exlibrisgroup.com/primo-explore/search?tab=default_tab&amp;search_scope=EVERYTHING&amp;vid=01CRU&amp;lang=en_US&amp;offset=0&amp;query=any,contains,991001756419702656","Catalog Record")</f>
        <v/>
      </c>
      <c r="AT90">
        <f>HYPERLINK("http://www.worldcat.org/oclc/22209733","WorldCat Record")</f>
        <v/>
      </c>
      <c r="AU90" t="inlineStr">
        <is>
          <t>47298743:eng</t>
        </is>
      </c>
      <c r="AV90" t="inlineStr">
        <is>
          <t>22209733</t>
        </is>
      </c>
      <c r="AW90" t="inlineStr">
        <is>
          <t>991001756419702656</t>
        </is>
      </c>
      <c r="AX90" t="inlineStr">
        <is>
          <t>991001756419702656</t>
        </is>
      </c>
      <c r="AY90" t="inlineStr">
        <is>
          <t>2254926500002656</t>
        </is>
      </c>
      <c r="AZ90" t="inlineStr">
        <is>
          <t>BOOK</t>
        </is>
      </c>
      <c r="BB90" t="inlineStr">
        <is>
          <t>9780809241705</t>
        </is>
      </c>
      <c r="BC90" t="inlineStr">
        <is>
          <t>32285001196152</t>
        </is>
      </c>
      <c r="BD90" t="inlineStr">
        <is>
          <t>893316014</t>
        </is>
      </c>
    </row>
    <row r="91">
      <c r="A91" t="inlineStr">
        <is>
          <t>No</t>
        </is>
      </c>
      <c r="B91" t="inlineStr">
        <is>
          <t>PE1127.H5 R4 1995</t>
        </is>
      </c>
      <c r="C91" t="inlineStr">
        <is>
          <t>0                      PE 1127000H  5                  R  4           1995</t>
        </is>
      </c>
      <c r="D91" t="inlineStr">
        <is>
          <t>Rereading America : cultural contexts for critical thinking and writing / edited by Gary Colombo, Robert Cullen, Bonnie Lisle.</t>
        </is>
      </c>
      <c r="F91" t="inlineStr">
        <is>
          <t>No</t>
        </is>
      </c>
      <c r="G91" t="inlineStr">
        <is>
          <t>1</t>
        </is>
      </c>
      <c r="H91" t="inlineStr">
        <is>
          <t>No</t>
        </is>
      </c>
      <c r="I91" t="inlineStr">
        <is>
          <t>No</t>
        </is>
      </c>
      <c r="J91" t="inlineStr">
        <is>
          <t>0</t>
        </is>
      </c>
      <c r="L91" t="inlineStr">
        <is>
          <t>Boston : Bedford Books of St. Martin's Press, c1995.</t>
        </is>
      </c>
      <c r="M91" t="inlineStr">
        <is>
          <t>1995</t>
        </is>
      </c>
      <c r="N91" t="inlineStr">
        <is>
          <t>3rd ed.</t>
        </is>
      </c>
      <c r="O91" t="inlineStr">
        <is>
          <t>eng</t>
        </is>
      </c>
      <c r="P91" t="inlineStr">
        <is>
          <t>mau</t>
        </is>
      </c>
      <c r="R91" t="inlineStr">
        <is>
          <t xml:space="preserve">PE </t>
        </is>
      </c>
      <c r="S91" t="n">
        <v>8</v>
      </c>
      <c r="T91" t="n">
        <v>8</v>
      </c>
      <c r="U91" t="inlineStr">
        <is>
          <t>2006-11-15</t>
        </is>
      </c>
      <c r="V91" t="inlineStr">
        <is>
          <t>2006-11-15</t>
        </is>
      </c>
      <c r="W91" t="inlineStr">
        <is>
          <t>1995-09-06</t>
        </is>
      </c>
      <c r="X91" t="inlineStr">
        <is>
          <t>1995-09-06</t>
        </is>
      </c>
      <c r="Y91" t="n">
        <v>120</v>
      </c>
      <c r="Z91" t="n">
        <v>114</v>
      </c>
      <c r="AA91" t="n">
        <v>736</v>
      </c>
      <c r="AB91" t="n">
        <v>1</v>
      </c>
      <c r="AC91" t="n">
        <v>3</v>
      </c>
      <c r="AD91" t="n">
        <v>3</v>
      </c>
      <c r="AE91" t="n">
        <v>21</v>
      </c>
      <c r="AF91" t="n">
        <v>2</v>
      </c>
      <c r="AG91" t="n">
        <v>8</v>
      </c>
      <c r="AH91" t="n">
        <v>0</v>
      </c>
      <c r="AI91" t="n">
        <v>3</v>
      </c>
      <c r="AJ91" t="n">
        <v>2</v>
      </c>
      <c r="AK91" t="n">
        <v>11</v>
      </c>
      <c r="AL91" t="n">
        <v>0</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HYPERLINK("https://creighton-primo.hosted.exlibrisgroup.com/primo-explore/search?tab=default_tab&amp;search_scope=EVERYTHING&amp;vid=01CRU&amp;lang=en_US&amp;offset=0&amp;query=any,contains,991002474729702656","Catalog Record")</f>
        <v/>
      </c>
      <c r="AT91">
        <f>HYPERLINK("http://www.worldcat.org/oclc/32229342","WorldCat Record")</f>
        <v/>
      </c>
      <c r="AU91" t="inlineStr">
        <is>
          <t>796444421:eng</t>
        </is>
      </c>
      <c r="AV91" t="inlineStr">
        <is>
          <t>32229342</t>
        </is>
      </c>
      <c r="AW91" t="inlineStr">
        <is>
          <t>991002474729702656</t>
        </is>
      </c>
      <c r="AX91" t="inlineStr">
        <is>
          <t>991002474729702656</t>
        </is>
      </c>
      <c r="AY91" t="inlineStr">
        <is>
          <t>2270102580002656</t>
        </is>
      </c>
      <c r="AZ91" t="inlineStr">
        <is>
          <t>BOOK</t>
        </is>
      </c>
      <c r="BB91" t="inlineStr">
        <is>
          <t>9780312101398</t>
        </is>
      </c>
      <c r="BC91" t="inlineStr">
        <is>
          <t>32285002092160</t>
        </is>
      </c>
      <c r="BD91" t="inlineStr">
        <is>
          <t>893710334</t>
        </is>
      </c>
    </row>
    <row r="92">
      <c r="A92" t="inlineStr">
        <is>
          <t>No</t>
        </is>
      </c>
      <c r="B92" t="inlineStr">
        <is>
          <t>PE1127.L47 W76 2003</t>
        </is>
      </c>
      <c r="C92" t="inlineStr">
        <is>
          <t>0                      PE 1127000L  47                 W  76          2003</t>
        </is>
      </c>
      <c r="D92" t="inlineStr">
        <is>
          <t>Writing material : readings from Plato to the digital age / Evelyn B. Tribble, Anne Trubek.</t>
        </is>
      </c>
      <c r="F92" t="inlineStr">
        <is>
          <t>No</t>
        </is>
      </c>
      <c r="G92" t="inlineStr">
        <is>
          <t>1</t>
        </is>
      </c>
      <c r="H92" t="inlineStr">
        <is>
          <t>No</t>
        </is>
      </c>
      <c r="I92" t="inlineStr">
        <is>
          <t>No</t>
        </is>
      </c>
      <c r="J92" t="inlineStr">
        <is>
          <t>0</t>
        </is>
      </c>
      <c r="L92" t="inlineStr">
        <is>
          <t>New York : Longman, c2003.</t>
        </is>
      </c>
      <c r="M92" t="inlineStr">
        <is>
          <t>2003</t>
        </is>
      </c>
      <c r="O92" t="inlineStr">
        <is>
          <t>eng</t>
        </is>
      </c>
      <c r="P92" t="inlineStr">
        <is>
          <t>nyu</t>
        </is>
      </c>
      <c r="R92" t="inlineStr">
        <is>
          <t xml:space="preserve">PE </t>
        </is>
      </c>
      <c r="S92" t="n">
        <v>4</v>
      </c>
      <c r="T92" t="n">
        <v>4</v>
      </c>
      <c r="U92" t="inlineStr">
        <is>
          <t>2004-10-05</t>
        </is>
      </c>
      <c r="V92" t="inlineStr">
        <is>
          <t>2004-10-05</t>
        </is>
      </c>
      <c r="W92" t="inlineStr">
        <is>
          <t>2003-04-22</t>
        </is>
      </c>
      <c r="X92" t="inlineStr">
        <is>
          <t>2003-04-22</t>
        </is>
      </c>
      <c r="Y92" t="n">
        <v>68</v>
      </c>
      <c r="Z92" t="n">
        <v>51</v>
      </c>
      <c r="AA92" t="n">
        <v>52</v>
      </c>
      <c r="AB92" t="n">
        <v>1</v>
      </c>
      <c r="AC92" t="n">
        <v>1</v>
      </c>
      <c r="AD92" t="n">
        <v>2</v>
      </c>
      <c r="AE92" t="n">
        <v>2</v>
      </c>
      <c r="AF92" t="n">
        <v>1</v>
      </c>
      <c r="AG92" t="n">
        <v>1</v>
      </c>
      <c r="AH92" t="n">
        <v>1</v>
      </c>
      <c r="AI92" t="n">
        <v>1</v>
      </c>
      <c r="AJ92" t="n">
        <v>0</v>
      </c>
      <c r="AK92" t="n">
        <v>0</v>
      </c>
      <c r="AL92" t="n">
        <v>0</v>
      </c>
      <c r="AM92" t="n">
        <v>0</v>
      </c>
      <c r="AN92" t="n">
        <v>0</v>
      </c>
      <c r="AO92" t="n">
        <v>0</v>
      </c>
      <c r="AP92" t="inlineStr">
        <is>
          <t>No</t>
        </is>
      </c>
      <c r="AQ92" t="inlineStr">
        <is>
          <t>Yes</t>
        </is>
      </c>
      <c r="AR92">
        <f>HYPERLINK("http://catalog.hathitrust.org/Record/007010439","HathiTrust Record")</f>
        <v/>
      </c>
      <c r="AS92">
        <f>HYPERLINK("https://creighton-primo.hosted.exlibrisgroup.com/primo-explore/search?tab=default_tab&amp;search_scope=EVERYTHING&amp;vid=01CRU&amp;lang=en_US&amp;offset=0&amp;query=any,contains,991004015659702656","Catalog Record")</f>
        <v/>
      </c>
      <c r="AT92">
        <f>HYPERLINK("http://www.worldcat.org/oclc/50511007","WorldCat Record")</f>
        <v/>
      </c>
      <c r="AU92" t="inlineStr">
        <is>
          <t>1004191:eng</t>
        </is>
      </c>
      <c r="AV92" t="inlineStr">
        <is>
          <t>50511007</t>
        </is>
      </c>
      <c r="AW92" t="inlineStr">
        <is>
          <t>991004015659702656</t>
        </is>
      </c>
      <c r="AX92" t="inlineStr">
        <is>
          <t>991004015659702656</t>
        </is>
      </c>
      <c r="AY92" t="inlineStr">
        <is>
          <t>2257532750002656</t>
        </is>
      </c>
      <c r="AZ92" t="inlineStr">
        <is>
          <t>BOOK</t>
        </is>
      </c>
      <c r="BB92" t="inlineStr">
        <is>
          <t>9780321077172</t>
        </is>
      </c>
      <c r="BC92" t="inlineStr">
        <is>
          <t>32285004743323</t>
        </is>
      </c>
      <c r="BD92" t="inlineStr">
        <is>
          <t>893331108</t>
        </is>
      </c>
    </row>
    <row r="93">
      <c r="A93" t="inlineStr">
        <is>
          <t>No</t>
        </is>
      </c>
      <c r="B93" t="inlineStr">
        <is>
          <t>PE1127.S6 C47 2000</t>
        </is>
      </c>
      <c r="C93" t="inlineStr">
        <is>
          <t>0                      PE 1127000S  6                  C  47          2000</t>
        </is>
      </c>
      <c r="D93" t="inlineStr">
        <is>
          <t>Charting a hero's journey / by Linda A. Chisholm ; with illustrations by Kate Chisholm.</t>
        </is>
      </c>
      <c r="F93" t="inlineStr">
        <is>
          <t>No</t>
        </is>
      </c>
      <c r="G93" t="inlineStr">
        <is>
          <t>1</t>
        </is>
      </c>
      <c r="H93" t="inlineStr">
        <is>
          <t>No</t>
        </is>
      </c>
      <c r="I93" t="inlineStr">
        <is>
          <t>No</t>
        </is>
      </c>
      <c r="J93" t="inlineStr">
        <is>
          <t>0</t>
        </is>
      </c>
      <c r="K93" t="inlineStr">
        <is>
          <t>Chisholm, Linda A.</t>
        </is>
      </c>
      <c r="L93" t="inlineStr">
        <is>
          <t>New York : International Partnership for Service-Learning, 2000.</t>
        </is>
      </c>
      <c r="M93" t="inlineStr">
        <is>
          <t>2000</t>
        </is>
      </c>
      <c r="N93" t="inlineStr">
        <is>
          <t>1st ed.</t>
        </is>
      </c>
      <c r="O93" t="inlineStr">
        <is>
          <t>eng</t>
        </is>
      </c>
      <c r="P93" t="inlineStr">
        <is>
          <t>nyu</t>
        </is>
      </c>
      <c r="R93" t="inlineStr">
        <is>
          <t xml:space="preserve">PE </t>
        </is>
      </c>
      <c r="S93" t="n">
        <v>1</v>
      </c>
      <c r="T93" t="n">
        <v>1</v>
      </c>
      <c r="U93" t="inlineStr">
        <is>
          <t>2010-01-12</t>
        </is>
      </c>
      <c r="V93" t="inlineStr">
        <is>
          <t>2010-01-12</t>
        </is>
      </c>
      <c r="W93" t="inlineStr">
        <is>
          <t>2009-04-13</t>
        </is>
      </c>
      <c r="X93" t="inlineStr">
        <is>
          <t>2009-04-13</t>
        </is>
      </c>
      <c r="Y93" t="n">
        <v>76</v>
      </c>
      <c r="Z93" t="n">
        <v>71</v>
      </c>
      <c r="AA93" t="n">
        <v>71</v>
      </c>
      <c r="AB93" t="n">
        <v>3</v>
      </c>
      <c r="AC93" t="n">
        <v>3</v>
      </c>
      <c r="AD93" t="n">
        <v>6</v>
      </c>
      <c r="AE93" t="n">
        <v>6</v>
      </c>
      <c r="AF93" t="n">
        <v>2</v>
      </c>
      <c r="AG93" t="n">
        <v>2</v>
      </c>
      <c r="AH93" t="n">
        <v>1</v>
      </c>
      <c r="AI93" t="n">
        <v>1</v>
      </c>
      <c r="AJ93" t="n">
        <v>2</v>
      </c>
      <c r="AK93" t="n">
        <v>2</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HYPERLINK("https://creighton-primo.hosted.exlibrisgroup.com/primo-explore/search?tab=default_tab&amp;search_scope=EVERYTHING&amp;vid=01CRU&amp;lang=en_US&amp;offset=0&amp;query=any,contains,991005306669702656","Catalog Record")</f>
        <v/>
      </c>
      <c r="AT93">
        <f>HYPERLINK("http://www.worldcat.org/oclc/45723841","WorldCat Record")</f>
        <v/>
      </c>
      <c r="AU93" t="inlineStr">
        <is>
          <t>35603477:eng</t>
        </is>
      </c>
      <c r="AV93" t="inlineStr">
        <is>
          <t>45723841</t>
        </is>
      </c>
      <c r="AW93" t="inlineStr">
        <is>
          <t>991005306669702656</t>
        </is>
      </c>
      <c r="AX93" t="inlineStr">
        <is>
          <t>991005306669702656</t>
        </is>
      </c>
      <c r="AY93" t="inlineStr">
        <is>
          <t>2271941440002656</t>
        </is>
      </c>
      <c r="AZ93" t="inlineStr">
        <is>
          <t>BOOK</t>
        </is>
      </c>
      <c r="BB93" t="inlineStr">
        <is>
          <t>9780970198426</t>
        </is>
      </c>
      <c r="BC93" t="inlineStr">
        <is>
          <t>32285005514707</t>
        </is>
      </c>
      <c r="BD93" t="inlineStr">
        <is>
          <t>893351078</t>
        </is>
      </c>
    </row>
    <row r="94">
      <c r="A94" t="inlineStr">
        <is>
          <t>No</t>
        </is>
      </c>
      <c r="B94" t="inlineStr">
        <is>
          <t>PE1127.V5 G6</t>
        </is>
      </c>
      <c r="C94" t="inlineStr">
        <is>
          <t>0                      PE 1127000V  5                  G  6</t>
        </is>
      </c>
      <c r="D94" t="inlineStr">
        <is>
          <t>Violence in modern literature [by] James A. Gould [and] John J. Iorio.</t>
        </is>
      </c>
      <c r="F94" t="inlineStr">
        <is>
          <t>No</t>
        </is>
      </c>
      <c r="G94" t="inlineStr">
        <is>
          <t>1</t>
        </is>
      </c>
      <c r="H94" t="inlineStr">
        <is>
          <t>No</t>
        </is>
      </c>
      <c r="I94" t="inlineStr">
        <is>
          <t>No</t>
        </is>
      </c>
      <c r="J94" t="inlineStr">
        <is>
          <t>0</t>
        </is>
      </c>
      <c r="K94" t="inlineStr">
        <is>
          <t>Gould, James A., 1922-, compiler.</t>
        </is>
      </c>
      <c r="L94" t="inlineStr">
        <is>
          <t>San Francisco, Boyd &amp; Fraser Pub. Co. [1972]</t>
        </is>
      </c>
      <c r="M94" t="inlineStr">
        <is>
          <t>1972</t>
        </is>
      </c>
      <c r="O94" t="inlineStr">
        <is>
          <t>eng</t>
        </is>
      </c>
      <c r="P94" t="inlineStr">
        <is>
          <t>cau</t>
        </is>
      </c>
      <c r="R94" t="inlineStr">
        <is>
          <t xml:space="preserve">PE </t>
        </is>
      </c>
      <c r="S94" t="n">
        <v>8</v>
      </c>
      <c r="T94" t="n">
        <v>8</v>
      </c>
      <c r="U94" t="inlineStr">
        <is>
          <t>2005-03-15</t>
        </is>
      </c>
      <c r="V94" t="inlineStr">
        <is>
          <t>2005-03-15</t>
        </is>
      </c>
      <c r="W94" t="inlineStr">
        <is>
          <t>1997-01-17</t>
        </is>
      </c>
      <c r="X94" t="inlineStr">
        <is>
          <t>1997-01-17</t>
        </is>
      </c>
      <c r="Y94" t="n">
        <v>171</v>
      </c>
      <c r="Z94" t="n">
        <v>147</v>
      </c>
      <c r="AA94" t="n">
        <v>147</v>
      </c>
      <c r="AB94" t="n">
        <v>4</v>
      </c>
      <c r="AC94" t="n">
        <v>4</v>
      </c>
      <c r="AD94" t="n">
        <v>6</v>
      </c>
      <c r="AE94" t="n">
        <v>6</v>
      </c>
      <c r="AF94" t="n">
        <v>0</v>
      </c>
      <c r="AG94" t="n">
        <v>0</v>
      </c>
      <c r="AH94" t="n">
        <v>0</v>
      </c>
      <c r="AI94" t="n">
        <v>0</v>
      </c>
      <c r="AJ94" t="n">
        <v>3</v>
      </c>
      <c r="AK94" t="n">
        <v>3</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HYPERLINK("https://creighton-primo.hosted.exlibrisgroup.com/primo-explore/search?tab=default_tab&amp;search_scope=EVERYTHING&amp;vid=01CRU&amp;lang=en_US&amp;offset=0&amp;query=any,contains,991002272419702656","Catalog Record")</f>
        <v/>
      </c>
      <c r="AT94">
        <f>HYPERLINK("http://www.worldcat.org/oclc/308685","WorldCat Record")</f>
        <v/>
      </c>
      <c r="AU94" t="inlineStr">
        <is>
          <t>346816493:eng</t>
        </is>
      </c>
      <c r="AV94" t="inlineStr">
        <is>
          <t>308685</t>
        </is>
      </c>
      <c r="AW94" t="inlineStr">
        <is>
          <t>991002272419702656</t>
        </is>
      </c>
      <c r="AX94" t="inlineStr">
        <is>
          <t>991002272419702656</t>
        </is>
      </c>
      <c r="AY94" t="inlineStr">
        <is>
          <t>2266217580002656</t>
        </is>
      </c>
      <c r="AZ94" t="inlineStr">
        <is>
          <t>BOOK</t>
        </is>
      </c>
      <c r="BB94" t="inlineStr">
        <is>
          <t>9780878350377</t>
        </is>
      </c>
      <c r="BC94" t="inlineStr">
        <is>
          <t>32285002409182</t>
        </is>
      </c>
      <c r="BD94" t="inlineStr">
        <is>
          <t>893867005</t>
        </is>
      </c>
    </row>
    <row r="95">
      <c r="A95" t="inlineStr">
        <is>
          <t>No</t>
        </is>
      </c>
      <c r="B95" t="inlineStr">
        <is>
          <t>PE1127.W65 R6 1991</t>
        </is>
      </c>
      <c r="C95" t="inlineStr">
        <is>
          <t>0                      PE 1127000W  65                 R  6           1991</t>
        </is>
      </c>
      <c r="D95" t="inlineStr">
        <is>
          <t>Contemporary's Working in English.</t>
        </is>
      </c>
      <c r="F95" t="inlineStr">
        <is>
          <t>No</t>
        </is>
      </c>
      <c r="G95" t="inlineStr">
        <is>
          <t>1</t>
        </is>
      </c>
      <c r="H95" t="inlineStr">
        <is>
          <t>Yes</t>
        </is>
      </c>
      <c r="I95" t="inlineStr">
        <is>
          <t>No</t>
        </is>
      </c>
      <c r="J95" t="inlineStr">
        <is>
          <t>0</t>
        </is>
      </c>
      <c r="L95" t="inlineStr">
        <is>
          <t>Chicago, Ill. : Contemporary Books, c1991-</t>
        </is>
      </c>
      <c r="M95" t="inlineStr">
        <is>
          <t>1991</t>
        </is>
      </c>
      <c r="O95" t="inlineStr">
        <is>
          <t>eng</t>
        </is>
      </c>
      <c r="P95" t="inlineStr">
        <is>
          <t>ilu</t>
        </is>
      </c>
      <c r="R95" t="inlineStr">
        <is>
          <t xml:space="preserve">PE </t>
        </is>
      </c>
      <c r="S95" t="n">
        <v>4</v>
      </c>
      <c r="T95" t="n">
        <v>15</v>
      </c>
      <c r="U95" t="inlineStr">
        <is>
          <t>2002-06-14</t>
        </is>
      </c>
      <c r="V95" t="inlineStr">
        <is>
          <t>2002-06-14</t>
        </is>
      </c>
      <c r="W95" t="inlineStr">
        <is>
          <t>1992-08-04</t>
        </is>
      </c>
      <c r="X95" t="inlineStr">
        <is>
          <t>1992-08-04</t>
        </is>
      </c>
      <c r="Y95" t="n">
        <v>87</v>
      </c>
      <c r="Z95" t="n">
        <v>80</v>
      </c>
      <c r="AA95" t="n">
        <v>89</v>
      </c>
      <c r="AB95" t="n">
        <v>2</v>
      </c>
      <c r="AC95" t="n">
        <v>2</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HYPERLINK("https://creighton-primo.hosted.exlibrisgroup.com/primo-explore/search?tab=default_tab&amp;search_scope=EVERYTHING&amp;vid=01CRU&amp;lang=en_US&amp;offset=0&amp;query=any,contains,991001756419702656","Catalog Record")</f>
        <v/>
      </c>
      <c r="AT95">
        <f>HYPERLINK("http://www.worldcat.org/oclc/22209733","WorldCat Record")</f>
        <v/>
      </c>
      <c r="AU95" t="inlineStr">
        <is>
          <t>47298743:eng</t>
        </is>
      </c>
      <c r="AV95" t="inlineStr">
        <is>
          <t>22209733</t>
        </is>
      </c>
      <c r="AW95" t="inlineStr">
        <is>
          <t>991001756419702656</t>
        </is>
      </c>
      <c r="AX95" t="inlineStr">
        <is>
          <t>991001756419702656</t>
        </is>
      </c>
      <c r="AY95" t="inlineStr">
        <is>
          <t>2254926500002656</t>
        </is>
      </c>
      <c r="AZ95" t="inlineStr">
        <is>
          <t>BOOK</t>
        </is>
      </c>
      <c r="BB95" t="inlineStr">
        <is>
          <t>9780809241705</t>
        </is>
      </c>
      <c r="BC95" t="inlineStr">
        <is>
          <t>32285001196129</t>
        </is>
      </c>
      <c r="BD95" t="inlineStr">
        <is>
          <t>893322222</t>
        </is>
      </c>
    </row>
    <row r="96">
      <c r="A96" t="inlineStr">
        <is>
          <t>No</t>
        </is>
      </c>
      <c r="B96" t="inlineStr">
        <is>
          <t>PE1128 .A64 1991</t>
        </is>
      </c>
      <c r="C96" t="inlineStr">
        <is>
          <t>0                      PE 1128000A  64          1991</t>
        </is>
      </c>
      <c r="D96" t="inlineStr">
        <is>
          <t>Living with strangers in the U.S.A. : communicating beyond culture / Carol M. Archer ; photographs by B.L. Striewski.</t>
        </is>
      </c>
      <c r="F96" t="inlineStr">
        <is>
          <t>No</t>
        </is>
      </c>
      <c r="G96" t="inlineStr">
        <is>
          <t>1</t>
        </is>
      </c>
      <c r="H96" t="inlineStr">
        <is>
          <t>No</t>
        </is>
      </c>
      <c r="I96" t="inlineStr">
        <is>
          <t>No</t>
        </is>
      </c>
      <c r="J96" t="inlineStr">
        <is>
          <t>0</t>
        </is>
      </c>
      <c r="K96" t="inlineStr">
        <is>
          <t>Archer, Carol M., 1944-</t>
        </is>
      </c>
      <c r="L96" t="inlineStr">
        <is>
          <t>Englewood Cliffs, N.J. : Prentice Hall Regents, c1991.</t>
        </is>
      </c>
      <c r="M96" t="inlineStr">
        <is>
          <t>1991</t>
        </is>
      </c>
      <c r="O96" t="inlineStr">
        <is>
          <t>eng</t>
        </is>
      </c>
      <c r="P96" t="inlineStr">
        <is>
          <t>nju</t>
        </is>
      </c>
      <c r="R96" t="inlineStr">
        <is>
          <t xml:space="preserve">PE </t>
        </is>
      </c>
      <c r="S96" t="n">
        <v>8</v>
      </c>
      <c r="T96" t="n">
        <v>8</v>
      </c>
      <c r="U96" t="inlineStr">
        <is>
          <t>2002-10-10</t>
        </is>
      </c>
      <c r="V96" t="inlineStr">
        <is>
          <t>2002-10-10</t>
        </is>
      </c>
      <c r="W96" t="inlineStr">
        <is>
          <t>1993-10-12</t>
        </is>
      </c>
      <c r="X96" t="inlineStr">
        <is>
          <t>1993-10-12</t>
        </is>
      </c>
      <c r="Y96" t="n">
        <v>105</v>
      </c>
      <c r="Z96" t="n">
        <v>80</v>
      </c>
      <c r="AA96" t="n">
        <v>83</v>
      </c>
      <c r="AB96" t="n">
        <v>1</v>
      </c>
      <c r="AC96" t="n">
        <v>1</v>
      </c>
      <c r="AD96" t="n">
        <v>2</v>
      </c>
      <c r="AE96" t="n">
        <v>2</v>
      </c>
      <c r="AF96" t="n">
        <v>2</v>
      </c>
      <c r="AG96" t="n">
        <v>2</v>
      </c>
      <c r="AH96" t="n">
        <v>0</v>
      </c>
      <c r="AI96" t="n">
        <v>0</v>
      </c>
      <c r="AJ96" t="n">
        <v>1</v>
      </c>
      <c r="AK96" t="n">
        <v>1</v>
      </c>
      <c r="AL96" t="n">
        <v>0</v>
      </c>
      <c r="AM96" t="n">
        <v>0</v>
      </c>
      <c r="AN96" t="n">
        <v>0</v>
      </c>
      <c r="AO96" t="n">
        <v>0</v>
      </c>
      <c r="AP96" t="inlineStr">
        <is>
          <t>No</t>
        </is>
      </c>
      <c r="AQ96" t="inlineStr">
        <is>
          <t>Yes</t>
        </is>
      </c>
      <c r="AR96">
        <f>HYPERLINK("http://catalog.hathitrust.org/Record/004520515","HathiTrust Record")</f>
        <v/>
      </c>
      <c r="AS96">
        <f>HYPERLINK("https://creighton-primo.hosted.exlibrisgroup.com/primo-explore/search?tab=default_tab&amp;search_scope=EVERYTHING&amp;vid=01CRU&amp;lang=en_US&amp;offset=0&amp;query=any,contains,991001726309702656","Catalog Record")</f>
        <v/>
      </c>
      <c r="AT96">
        <f>HYPERLINK("http://www.worldcat.org/oclc/21876912","WorldCat Record")</f>
        <v/>
      </c>
      <c r="AU96" t="inlineStr">
        <is>
          <t>1020764355:eng</t>
        </is>
      </c>
      <c r="AV96" t="inlineStr">
        <is>
          <t>21876912</t>
        </is>
      </c>
      <c r="AW96" t="inlineStr">
        <is>
          <t>991001726309702656</t>
        </is>
      </c>
      <c r="AX96" t="inlineStr">
        <is>
          <t>991001726309702656</t>
        </is>
      </c>
      <c r="AY96" t="inlineStr">
        <is>
          <t>2259772510002656</t>
        </is>
      </c>
      <c r="AZ96" t="inlineStr">
        <is>
          <t>BOOK</t>
        </is>
      </c>
      <c r="BB96" t="inlineStr">
        <is>
          <t>9780135386200</t>
        </is>
      </c>
      <c r="BC96" t="inlineStr">
        <is>
          <t>32285001785624</t>
        </is>
      </c>
      <c r="BD96" t="inlineStr">
        <is>
          <t>893522779</t>
        </is>
      </c>
    </row>
    <row r="97">
      <c r="A97" t="inlineStr">
        <is>
          <t>No</t>
        </is>
      </c>
      <c r="B97" t="inlineStr">
        <is>
          <t>PE1128 .B374 1993</t>
        </is>
      </c>
      <c r="C97" t="inlineStr">
        <is>
          <t>0                      PE 1128000B  374         1993</t>
        </is>
      </c>
      <c r="D97" t="inlineStr">
        <is>
          <t>Transitions : an interactive reading, writing, and grammar text / Linda Bates.</t>
        </is>
      </c>
      <c r="F97" t="inlineStr">
        <is>
          <t>No</t>
        </is>
      </c>
      <c r="G97" t="inlineStr">
        <is>
          <t>1</t>
        </is>
      </c>
      <c r="H97" t="inlineStr">
        <is>
          <t>No</t>
        </is>
      </c>
      <c r="I97" t="inlineStr">
        <is>
          <t>No</t>
        </is>
      </c>
      <c r="J97" t="inlineStr">
        <is>
          <t>0</t>
        </is>
      </c>
      <c r="K97" t="inlineStr">
        <is>
          <t>Bates, Linda.</t>
        </is>
      </c>
      <c r="L97" t="inlineStr">
        <is>
          <t>New York : St. Martin's Press, c1993.</t>
        </is>
      </c>
      <c r="M97" t="inlineStr">
        <is>
          <t>1993</t>
        </is>
      </c>
      <c r="O97" t="inlineStr">
        <is>
          <t>eng</t>
        </is>
      </c>
      <c r="P97" t="inlineStr">
        <is>
          <t>nyu</t>
        </is>
      </c>
      <c r="R97" t="inlineStr">
        <is>
          <t xml:space="preserve">PE </t>
        </is>
      </c>
      <c r="S97" t="n">
        <v>7</v>
      </c>
      <c r="T97" t="n">
        <v>7</v>
      </c>
      <c r="U97" t="inlineStr">
        <is>
          <t>1995-04-17</t>
        </is>
      </c>
      <c r="V97" t="inlineStr">
        <is>
          <t>1995-04-17</t>
        </is>
      </c>
      <c r="W97" t="inlineStr">
        <is>
          <t>1993-12-22</t>
        </is>
      </c>
      <c r="X97" t="inlineStr">
        <is>
          <t>1993-12-22</t>
        </is>
      </c>
      <c r="Y97" t="n">
        <v>41</v>
      </c>
      <c r="Z97" t="n">
        <v>32</v>
      </c>
      <c r="AA97" t="n">
        <v>79</v>
      </c>
      <c r="AB97" t="n">
        <v>1</v>
      </c>
      <c r="AC97" t="n">
        <v>1</v>
      </c>
      <c r="AD97" t="n">
        <v>0</v>
      </c>
      <c r="AE97" t="n">
        <v>0</v>
      </c>
      <c r="AF97" t="n">
        <v>0</v>
      </c>
      <c r="AG97" t="n">
        <v>0</v>
      </c>
      <c r="AH97" t="n">
        <v>0</v>
      </c>
      <c r="AI97" t="n">
        <v>0</v>
      </c>
      <c r="AJ97" t="n">
        <v>0</v>
      </c>
      <c r="AK97" t="n">
        <v>0</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HYPERLINK("https://creighton-primo.hosted.exlibrisgroup.com/primo-explore/search?tab=default_tab&amp;search_scope=EVERYTHING&amp;vid=01CRU&amp;lang=en_US&amp;offset=0&amp;query=any,contains,991002166839702656","Catalog Record")</f>
        <v/>
      </c>
      <c r="AT97">
        <f>HYPERLINK("http://www.worldcat.org/oclc/27896727","WorldCat Record")</f>
        <v/>
      </c>
      <c r="AU97" t="inlineStr">
        <is>
          <t>16825554:eng</t>
        </is>
      </c>
      <c r="AV97" t="inlineStr">
        <is>
          <t>27896727</t>
        </is>
      </c>
      <c r="AW97" t="inlineStr">
        <is>
          <t>991002166839702656</t>
        </is>
      </c>
      <c r="AX97" t="inlineStr">
        <is>
          <t>991002166839702656</t>
        </is>
      </c>
      <c r="AY97" t="inlineStr">
        <is>
          <t>2260427590002656</t>
        </is>
      </c>
      <c r="AZ97" t="inlineStr">
        <is>
          <t>BOOK</t>
        </is>
      </c>
      <c r="BB97" t="inlineStr">
        <is>
          <t>9780312041151</t>
        </is>
      </c>
      <c r="BC97" t="inlineStr">
        <is>
          <t>32285001816809</t>
        </is>
      </c>
      <c r="BD97" t="inlineStr">
        <is>
          <t>893898441</t>
        </is>
      </c>
    </row>
    <row r="98">
      <c r="A98" t="inlineStr">
        <is>
          <t>No</t>
        </is>
      </c>
      <c r="B98" t="inlineStr">
        <is>
          <t>PE1128 .I477 2004</t>
        </is>
      </c>
      <c r="C98" t="inlineStr">
        <is>
          <t>0                      PE 1128000I  477         2004</t>
        </is>
      </c>
      <c r="D98" t="inlineStr">
        <is>
          <t>From writing to composing : an introductiory composition course / Beverly Ingram, Carol King.</t>
        </is>
      </c>
      <c r="F98" t="inlineStr">
        <is>
          <t>No</t>
        </is>
      </c>
      <c r="G98" t="inlineStr">
        <is>
          <t>1</t>
        </is>
      </c>
      <c r="H98" t="inlineStr">
        <is>
          <t>No</t>
        </is>
      </c>
      <c r="I98" t="inlineStr">
        <is>
          <t>No</t>
        </is>
      </c>
      <c r="J98" t="inlineStr">
        <is>
          <t>0</t>
        </is>
      </c>
      <c r="K98" t="inlineStr">
        <is>
          <t>Ingram, Beverly, 1949-</t>
        </is>
      </c>
      <c r="L98" t="inlineStr">
        <is>
          <t>Cambridge, UK ; New York : Cambridge University Press, 2004.</t>
        </is>
      </c>
      <c r="M98" t="inlineStr">
        <is>
          <t>2004</t>
        </is>
      </c>
      <c r="N98" t="inlineStr">
        <is>
          <t>2nd ed.</t>
        </is>
      </c>
      <c r="O98" t="inlineStr">
        <is>
          <t>eng</t>
        </is>
      </c>
      <c r="P98" t="inlineStr">
        <is>
          <t>enk</t>
        </is>
      </c>
      <c r="R98" t="inlineStr">
        <is>
          <t xml:space="preserve">PE </t>
        </is>
      </c>
      <c r="S98" t="n">
        <v>1</v>
      </c>
      <c r="T98" t="n">
        <v>1</v>
      </c>
      <c r="U98" t="inlineStr">
        <is>
          <t>2004-06-29</t>
        </is>
      </c>
      <c r="V98" t="inlineStr">
        <is>
          <t>2004-06-29</t>
        </is>
      </c>
      <c r="W98" t="inlineStr">
        <is>
          <t>2004-06-29</t>
        </is>
      </c>
      <c r="X98" t="inlineStr">
        <is>
          <t>2004-06-29</t>
        </is>
      </c>
      <c r="Y98" t="n">
        <v>107</v>
      </c>
      <c r="Z98" t="n">
        <v>52</v>
      </c>
      <c r="AA98" t="n">
        <v>62</v>
      </c>
      <c r="AB98" t="n">
        <v>1</v>
      </c>
      <c r="AC98" t="n">
        <v>1</v>
      </c>
      <c r="AD98" t="n">
        <v>1</v>
      </c>
      <c r="AE98" t="n">
        <v>1</v>
      </c>
      <c r="AF98" t="n">
        <v>1</v>
      </c>
      <c r="AG98" t="n">
        <v>1</v>
      </c>
      <c r="AH98" t="n">
        <v>0</v>
      </c>
      <c r="AI98" t="n">
        <v>0</v>
      </c>
      <c r="AJ98" t="n">
        <v>1</v>
      </c>
      <c r="AK98" t="n">
        <v>1</v>
      </c>
      <c r="AL98" t="n">
        <v>0</v>
      </c>
      <c r="AM98" t="n">
        <v>0</v>
      </c>
      <c r="AN98" t="n">
        <v>0</v>
      </c>
      <c r="AO98" t="n">
        <v>0</v>
      </c>
      <c r="AP98" t="inlineStr">
        <is>
          <t>No</t>
        </is>
      </c>
      <c r="AQ98" t="inlineStr">
        <is>
          <t>No</t>
        </is>
      </c>
      <c r="AS98">
        <f>HYPERLINK("https://creighton-primo.hosted.exlibrisgroup.com/primo-explore/search?tab=default_tab&amp;search_scope=EVERYTHING&amp;vid=01CRU&amp;lang=en_US&amp;offset=0&amp;query=any,contains,991004308939702656","Catalog Record")</f>
        <v/>
      </c>
      <c r="AT98">
        <f>HYPERLINK("http://www.worldcat.org/oclc/54536791","WorldCat Record")</f>
        <v/>
      </c>
      <c r="AU98" t="inlineStr">
        <is>
          <t>4160278455:eng</t>
        </is>
      </c>
      <c r="AV98" t="inlineStr">
        <is>
          <t>54536791</t>
        </is>
      </c>
      <c r="AW98" t="inlineStr">
        <is>
          <t>991004308939702656</t>
        </is>
      </c>
      <c r="AX98" t="inlineStr">
        <is>
          <t>991004308939702656</t>
        </is>
      </c>
      <c r="AY98" t="inlineStr">
        <is>
          <t>2255473650002656</t>
        </is>
      </c>
      <c r="AZ98" t="inlineStr">
        <is>
          <t>BOOK</t>
        </is>
      </c>
      <c r="BB98" t="inlineStr">
        <is>
          <t>9780521539142</t>
        </is>
      </c>
      <c r="BC98" t="inlineStr">
        <is>
          <t>32285004921820</t>
        </is>
      </c>
      <c r="BD98" t="inlineStr">
        <is>
          <t>893319048</t>
        </is>
      </c>
    </row>
    <row r="99">
      <c r="A99" t="inlineStr">
        <is>
          <t>No</t>
        </is>
      </c>
      <c r="B99" t="inlineStr">
        <is>
          <t>PE1128 .K33 1998</t>
        </is>
      </c>
      <c r="C99" t="inlineStr">
        <is>
          <t>0                      PE 1128000K  33          1998</t>
        </is>
      </c>
      <c r="D99" t="inlineStr">
        <is>
          <t>Traveling the world through idioms / Judi Kadden.</t>
        </is>
      </c>
      <c r="F99" t="inlineStr">
        <is>
          <t>No</t>
        </is>
      </c>
      <c r="G99" t="inlineStr">
        <is>
          <t>1</t>
        </is>
      </c>
      <c r="H99" t="inlineStr">
        <is>
          <t>No</t>
        </is>
      </c>
      <c r="I99" t="inlineStr">
        <is>
          <t>No</t>
        </is>
      </c>
      <c r="J99" t="inlineStr">
        <is>
          <t>0</t>
        </is>
      </c>
      <c r="K99" t="inlineStr">
        <is>
          <t>Kadden, Judi.</t>
        </is>
      </c>
      <c r="L99" t="inlineStr">
        <is>
          <t>Ann Arbor : University of Michigan Press, c1998.</t>
        </is>
      </c>
      <c r="M99" t="inlineStr">
        <is>
          <t>1998</t>
        </is>
      </c>
      <c r="O99" t="inlineStr">
        <is>
          <t>eng</t>
        </is>
      </c>
      <c r="P99" t="inlineStr">
        <is>
          <t>miu</t>
        </is>
      </c>
      <c r="R99" t="inlineStr">
        <is>
          <t xml:space="preserve">PE </t>
        </is>
      </c>
      <c r="S99" t="n">
        <v>3</v>
      </c>
      <c r="T99" t="n">
        <v>3</v>
      </c>
      <c r="U99" t="inlineStr">
        <is>
          <t>2009-05-26</t>
        </is>
      </c>
      <c r="V99" t="inlineStr">
        <is>
          <t>2009-05-26</t>
        </is>
      </c>
      <c r="W99" t="inlineStr">
        <is>
          <t>1999-02-25</t>
        </is>
      </c>
      <c r="X99" t="inlineStr">
        <is>
          <t>1999-02-25</t>
        </is>
      </c>
      <c r="Y99" t="n">
        <v>30</v>
      </c>
      <c r="Z99" t="n">
        <v>19</v>
      </c>
      <c r="AA99" t="n">
        <v>21</v>
      </c>
      <c r="AB99" t="n">
        <v>1</v>
      </c>
      <c r="AC99" t="n">
        <v>1</v>
      </c>
      <c r="AD99" t="n">
        <v>0</v>
      </c>
      <c r="AE99" t="n">
        <v>0</v>
      </c>
      <c r="AF99" t="n">
        <v>0</v>
      </c>
      <c r="AG99" t="n">
        <v>0</v>
      </c>
      <c r="AH99" t="n">
        <v>0</v>
      </c>
      <c r="AI99" t="n">
        <v>0</v>
      </c>
      <c r="AJ99" t="n">
        <v>0</v>
      </c>
      <c r="AK99" t="n">
        <v>0</v>
      </c>
      <c r="AL99" t="n">
        <v>0</v>
      </c>
      <c r="AM99" t="n">
        <v>0</v>
      </c>
      <c r="AN99" t="n">
        <v>0</v>
      </c>
      <c r="AO99" t="n">
        <v>0</v>
      </c>
      <c r="AP99" t="inlineStr">
        <is>
          <t>No</t>
        </is>
      </c>
      <c r="AQ99" t="inlineStr">
        <is>
          <t>Yes</t>
        </is>
      </c>
      <c r="AR99">
        <f>HYPERLINK("http://catalog.hathitrust.org/Record/003318109","HathiTrust Record")</f>
        <v/>
      </c>
      <c r="AS99">
        <f>HYPERLINK("https://creighton-primo.hosted.exlibrisgroup.com/primo-explore/search?tab=default_tab&amp;search_scope=EVERYTHING&amp;vid=01CRU&amp;lang=en_US&amp;offset=0&amp;query=any,contains,991003006189702656","Catalog Record")</f>
        <v/>
      </c>
      <c r="AT99">
        <f>HYPERLINK("http://www.worldcat.org/oclc/40749640","WorldCat Record")</f>
        <v/>
      </c>
      <c r="AU99" t="inlineStr">
        <is>
          <t>26423692:eng</t>
        </is>
      </c>
      <c r="AV99" t="inlineStr">
        <is>
          <t>40749640</t>
        </is>
      </c>
      <c r="AW99" t="inlineStr">
        <is>
          <t>991003006189702656</t>
        </is>
      </c>
      <c r="AX99" t="inlineStr">
        <is>
          <t>991003006189702656</t>
        </is>
      </c>
      <c r="AY99" t="inlineStr">
        <is>
          <t>2261357300002656</t>
        </is>
      </c>
      <c r="AZ99" t="inlineStr">
        <is>
          <t>BOOK</t>
        </is>
      </c>
      <c r="BB99" t="inlineStr">
        <is>
          <t>9780472085293</t>
        </is>
      </c>
      <c r="BC99" t="inlineStr">
        <is>
          <t>32285003527537</t>
        </is>
      </c>
      <c r="BD99" t="inlineStr">
        <is>
          <t>893434555</t>
        </is>
      </c>
    </row>
    <row r="100">
      <c r="A100" t="inlineStr">
        <is>
          <t>No</t>
        </is>
      </c>
      <c r="B100" t="inlineStr">
        <is>
          <t>PE1128 .M49</t>
        </is>
      </c>
      <c r="C100" t="inlineStr">
        <is>
          <t>0                      PE 1128000M  49</t>
        </is>
      </c>
      <c r="D100" t="inlineStr">
        <is>
          <t>Speaking fluent American English; a manual for training non-native speakers in the rhythm and flow of American speech.</t>
        </is>
      </c>
      <c r="F100" t="inlineStr">
        <is>
          <t>No</t>
        </is>
      </c>
      <c r="G100" t="inlineStr">
        <is>
          <t>1</t>
        </is>
      </c>
      <c r="H100" t="inlineStr">
        <is>
          <t>No</t>
        </is>
      </c>
      <c r="I100" t="inlineStr">
        <is>
          <t>No</t>
        </is>
      </c>
      <c r="J100" t="inlineStr">
        <is>
          <t>0</t>
        </is>
      </c>
      <c r="K100" t="inlineStr">
        <is>
          <t>Meyer, George A.</t>
        </is>
      </c>
      <c r="L100" t="inlineStr">
        <is>
          <t>Palo Alto, Calif., National Press [c1965]</t>
        </is>
      </c>
      <c r="M100" t="inlineStr">
        <is>
          <t>1965</t>
        </is>
      </c>
      <c r="O100" t="inlineStr">
        <is>
          <t>eng</t>
        </is>
      </c>
      <c r="P100" t="inlineStr">
        <is>
          <t xml:space="preserve">xx </t>
        </is>
      </c>
      <c r="R100" t="inlineStr">
        <is>
          <t xml:space="preserve">PE </t>
        </is>
      </c>
      <c r="S100" t="n">
        <v>1</v>
      </c>
      <c r="T100" t="n">
        <v>1</v>
      </c>
      <c r="U100" t="inlineStr">
        <is>
          <t>2001-09-14</t>
        </is>
      </c>
      <c r="V100" t="inlineStr">
        <is>
          <t>2001-09-14</t>
        </is>
      </c>
      <c r="W100" t="inlineStr">
        <is>
          <t>1997-09-22</t>
        </is>
      </c>
      <c r="X100" t="inlineStr">
        <is>
          <t>1997-09-22</t>
        </is>
      </c>
      <c r="Y100" t="n">
        <v>35</v>
      </c>
      <c r="Z100" t="n">
        <v>33</v>
      </c>
      <c r="AA100" t="n">
        <v>42</v>
      </c>
      <c r="AB100" t="n">
        <v>1</v>
      </c>
      <c r="AC100" t="n">
        <v>1</v>
      </c>
      <c r="AD100" t="n">
        <v>0</v>
      </c>
      <c r="AE100" t="n">
        <v>1</v>
      </c>
      <c r="AF100" t="n">
        <v>0</v>
      </c>
      <c r="AG100" t="n">
        <v>0</v>
      </c>
      <c r="AH100" t="n">
        <v>0</v>
      </c>
      <c r="AI100" t="n">
        <v>0</v>
      </c>
      <c r="AJ100" t="n">
        <v>0</v>
      </c>
      <c r="AK100" t="n">
        <v>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HYPERLINK("https://creighton-primo.hosted.exlibrisgroup.com/primo-explore/search?tab=default_tab&amp;search_scope=EVERYTHING&amp;vid=01CRU&amp;lang=en_US&amp;offset=0&amp;query=any,contains,991003660929702656","Catalog Record")</f>
        <v/>
      </c>
      <c r="AT100">
        <f>HYPERLINK("http://www.worldcat.org/oclc/1269249","WorldCat Record")</f>
        <v/>
      </c>
      <c r="AU100" t="inlineStr">
        <is>
          <t>2197100:eng</t>
        </is>
      </c>
      <c r="AV100" t="inlineStr">
        <is>
          <t>1269249</t>
        </is>
      </c>
      <c r="AW100" t="inlineStr">
        <is>
          <t>991003660929702656</t>
        </is>
      </c>
      <c r="AX100" t="inlineStr">
        <is>
          <t>991003660929702656</t>
        </is>
      </c>
      <c r="AY100" t="inlineStr">
        <is>
          <t>2259863010002656</t>
        </is>
      </c>
      <c r="AZ100" t="inlineStr">
        <is>
          <t>BOOK</t>
        </is>
      </c>
      <c r="BC100" t="inlineStr">
        <is>
          <t>32285003245148</t>
        </is>
      </c>
      <c r="BD100" t="inlineStr">
        <is>
          <t>893330624</t>
        </is>
      </c>
    </row>
    <row r="101">
      <c r="A101" t="inlineStr">
        <is>
          <t>No</t>
        </is>
      </c>
      <c r="B101" t="inlineStr">
        <is>
          <t>PE1128 .S28</t>
        </is>
      </c>
      <c r="C101" t="inlineStr">
        <is>
          <t>0                      PE 1128000S  28</t>
        </is>
      </c>
      <c r="D101" t="inlineStr">
        <is>
          <t>Foundations for teaching English as a second language : theory and method for multicultural education / Muriel Saville-Troike.</t>
        </is>
      </c>
      <c r="F101" t="inlineStr">
        <is>
          <t>No</t>
        </is>
      </c>
      <c r="G101" t="inlineStr">
        <is>
          <t>1</t>
        </is>
      </c>
      <c r="H101" t="inlineStr">
        <is>
          <t>No</t>
        </is>
      </c>
      <c r="I101" t="inlineStr">
        <is>
          <t>No</t>
        </is>
      </c>
      <c r="J101" t="inlineStr">
        <is>
          <t>0</t>
        </is>
      </c>
      <c r="K101" t="inlineStr">
        <is>
          <t>Saville-Troike, Muriel, 1936-</t>
        </is>
      </c>
      <c r="L101" t="inlineStr">
        <is>
          <t>Englewood Cliffs, N.J. : Prentice-Hall, c1976.</t>
        </is>
      </c>
      <c r="M101" t="inlineStr">
        <is>
          <t>1976</t>
        </is>
      </c>
      <c r="O101" t="inlineStr">
        <is>
          <t>eng</t>
        </is>
      </c>
      <c r="P101" t="inlineStr">
        <is>
          <t>nju</t>
        </is>
      </c>
      <c r="R101" t="inlineStr">
        <is>
          <t xml:space="preserve">PE </t>
        </is>
      </c>
      <c r="S101" t="n">
        <v>3</v>
      </c>
      <c r="T101" t="n">
        <v>3</v>
      </c>
      <c r="U101" t="inlineStr">
        <is>
          <t>1995-03-07</t>
        </is>
      </c>
      <c r="V101" t="inlineStr">
        <is>
          <t>1995-03-07</t>
        </is>
      </c>
      <c r="W101" t="inlineStr">
        <is>
          <t>1991-09-16</t>
        </is>
      </c>
      <c r="X101" t="inlineStr">
        <is>
          <t>1991-09-16</t>
        </is>
      </c>
      <c r="Y101" t="n">
        <v>656</v>
      </c>
      <c r="Z101" t="n">
        <v>486</v>
      </c>
      <c r="AA101" t="n">
        <v>488</v>
      </c>
      <c r="AB101" t="n">
        <v>5</v>
      </c>
      <c r="AC101" t="n">
        <v>5</v>
      </c>
      <c r="AD101" t="n">
        <v>29</v>
      </c>
      <c r="AE101" t="n">
        <v>29</v>
      </c>
      <c r="AF101" t="n">
        <v>13</v>
      </c>
      <c r="AG101" t="n">
        <v>13</v>
      </c>
      <c r="AH101" t="n">
        <v>5</v>
      </c>
      <c r="AI101" t="n">
        <v>5</v>
      </c>
      <c r="AJ101" t="n">
        <v>14</v>
      </c>
      <c r="AK101" t="n">
        <v>14</v>
      </c>
      <c r="AL101" t="n">
        <v>4</v>
      </c>
      <c r="AM101" t="n">
        <v>4</v>
      </c>
      <c r="AN101" t="n">
        <v>0</v>
      </c>
      <c r="AO101" t="n">
        <v>0</v>
      </c>
      <c r="AP101" t="inlineStr">
        <is>
          <t>No</t>
        </is>
      </c>
      <c r="AQ101" t="inlineStr">
        <is>
          <t>Yes</t>
        </is>
      </c>
      <c r="AR101">
        <f>HYPERLINK("http://catalog.hathitrust.org/Record/007113995","HathiTrust Record")</f>
        <v/>
      </c>
      <c r="AS101">
        <f>HYPERLINK("https://creighton-primo.hosted.exlibrisgroup.com/primo-explore/search?tab=default_tab&amp;search_scope=EVERYTHING&amp;vid=01CRU&amp;lang=en_US&amp;offset=0&amp;query=any,contains,991003884709702656","Catalog Record")</f>
        <v/>
      </c>
      <c r="AT101">
        <f>HYPERLINK("http://www.worldcat.org/oclc/1733763","WorldCat Record")</f>
        <v/>
      </c>
      <c r="AU101" t="inlineStr">
        <is>
          <t>309436780:eng</t>
        </is>
      </c>
      <c r="AV101" t="inlineStr">
        <is>
          <t>1733763</t>
        </is>
      </c>
      <c r="AW101" t="inlineStr">
        <is>
          <t>991003884709702656</t>
        </is>
      </c>
      <c r="AX101" t="inlineStr">
        <is>
          <t>991003884709702656</t>
        </is>
      </c>
      <c r="AY101" t="inlineStr">
        <is>
          <t>2256740370002656</t>
        </is>
      </c>
      <c r="AZ101" t="inlineStr">
        <is>
          <t>BOOK</t>
        </is>
      </c>
      <c r="BB101" t="inlineStr">
        <is>
          <t>9780133299465</t>
        </is>
      </c>
      <c r="BC101" t="inlineStr">
        <is>
          <t>32285000737816</t>
        </is>
      </c>
      <c r="BD101" t="inlineStr">
        <is>
          <t>893627846</t>
        </is>
      </c>
    </row>
    <row r="102">
      <c r="A102" t="inlineStr">
        <is>
          <t>No</t>
        </is>
      </c>
      <c r="B102" t="inlineStr">
        <is>
          <t>PE1128.A2 A34 2006</t>
        </is>
      </c>
      <c r="C102" t="inlineStr">
        <is>
          <t>0                      PE 1128000A  2                  A  34          2006</t>
        </is>
      </c>
      <c r="D102" t="inlineStr">
        <is>
          <t>Help! my kids don't all speak English : how to set up a language workshop in your linguistically diverse classroom / Nancy Akhavan ; foreword by Elaine M. Garan.</t>
        </is>
      </c>
      <c r="F102" t="inlineStr">
        <is>
          <t>No</t>
        </is>
      </c>
      <c r="G102" t="inlineStr">
        <is>
          <t>1</t>
        </is>
      </c>
      <c r="H102" t="inlineStr">
        <is>
          <t>No</t>
        </is>
      </c>
      <c r="I102" t="inlineStr">
        <is>
          <t>No</t>
        </is>
      </c>
      <c r="J102" t="inlineStr">
        <is>
          <t>0</t>
        </is>
      </c>
      <c r="K102" t="inlineStr">
        <is>
          <t>Akhavan, Nancy L.</t>
        </is>
      </c>
      <c r="L102" t="inlineStr">
        <is>
          <t>Portsmouth, NH : Heinemann, c2006.</t>
        </is>
      </c>
      <c r="M102" t="inlineStr">
        <is>
          <t>2006</t>
        </is>
      </c>
      <c r="O102" t="inlineStr">
        <is>
          <t>eng</t>
        </is>
      </c>
      <c r="P102" t="inlineStr">
        <is>
          <t>nhu</t>
        </is>
      </c>
      <c r="R102" t="inlineStr">
        <is>
          <t xml:space="preserve">PE </t>
        </is>
      </c>
      <c r="S102" t="n">
        <v>4</v>
      </c>
      <c r="T102" t="n">
        <v>4</v>
      </c>
      <c r="U102" t="inlineStr">
        <is>
          <t>2009-11-24</t>
        </is>
      </c>
      <c r="V102" t="inlineStr">
        <is>
          <t>2009-11-24</t>
        </is>
      </c>
      <c r="W102" t="inlineStr">
        <is>
          <t>2006-05-01</t>
        </is>
      </c>
      <c r="X102" t="inlineStr">
        <is>
          <t>2006-05-01</t>
        </is>
      </c>
      <c r="Y102" t="n">
        <v>245</v>
      </c>
      <c r="Z102" t="n">
        <v>209</v>
      </c>
      <c r="AA102" t="n">
        <v>209</v>
      </c>
      <c r="AB102" t="n">
        <v>1</v>
      </c>
      <c r="AC102" t="n">
        <v>1</v>
      </c>
      <c r="AD102" t="n">
        <v>7</v>
      </c>
      <c r="AE102" t="n">
        <v>7</v>
      </c>
      <c r="AF102" t="n">
        <v>2</v>
      </c>
      <c r="AG102" t="n">
        <v>2</v>
      </c>
      <c r="AH102" t="n">
        <v>3</v>
      </c>
      <c r="AI102" t="n">
        <v>3</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HYPERLINK("https://creighton-primo.hosted.exlibrisgroup.com/primo-explore/search?tab=default_tab&amp;search_scope=EVERYTHING&amp;vid=01CRU&amp;lang=en_US&amp;offset=0&amp;query=any,contains,991004800239702656","Catalog Record")</f>
        <v/>
      </c>
      <c r="AT102">
        <f>HYPERLINK("http://www.worldcat.org/oclc/61684114","WorldCat Record")</f>
        <v/>
      </c>
      <c r="AU102" t="inlineStr">
        <is>
          <t>291767429:eng</t>
        </is>
      </c>
      <c r="AV102" t="inlineStr">
        <is>
          <t>61684114</t>
        </is>
      </c>
      <c r="AW102" t="inlineStr">
        <is>
          <t>991004800239702656</t>
        </is>
      </c>
      <c r="AX102" t="inlineStr">
        <is>
          <t>991004800239702656</t>
        </is>
      </c>
      <c r="AY102" t="inlineStr">
        <is>
          <t>2261939430002656</t>
        </is>
      </c>
      <c r="AZ102" t="inlineStr">
        <is>
          <t>BOOK</t>
        </is>
      </c>
      <c r="BB102" t="inlineStr">
        <is>
          <t>9780325007984</t>
        </is>
      </c>
      <c r="BC102" t="inlineStr">
        <is>
          <t>32285005184360</t>
        </is>
      </c>
      <c r="BD102" t="inlineStr">
        <is>
          <t>893795291</t>
        </is>
      </c>
    </row>
    <row r="103">
      <c r="A103" t="inlineStr">
        <is>
          <t>No</t>
        </is>
      </c>
      <c r="B103" t="inlineStr">
        <is>
          <t>PE1128.A2 A38</t>
        </is>
      </c>
      <c r="C103" t="inlineStr">
        <is>
          <t>0                      PE 1128000A  2                  A  38</t>
        </is>
      </c>
      <c r="D103" t="inlineStr">
        <is>
          <t>Teaching English as a second language : a book of readings / edited by Harold B. Allen.</t>
        </is>
      </c>
      <c r="F103" t="inlineStr">
        <is>
          <t>No</t>
        </is>
      </c>
      <c r="G103" t="inlineStr">
        <is>
          <t>1</t>
        </is>
      </c>
      <c r="H103" t="inlineStr">
        <is>
          <t>No</t>
        </is>
      </c>
      <c r="I103" t="inlineStr">
        <is>
          <t>No</t>
        </is>
      </c>
      <c r="J103" t="inlineStr">
        <is>
          <t>0</t>
        </is>
      </c>
      <c r="K103" t="inlineStr">
        <is>
          <t>Allen, Harold B. (Harold Byron), 1902-1988 editor.</t>
        </is>
      </c>
      <c r="L103" t="inlineStr">
        <is>
          <t>New York : McGraw-Hill, [1965]</t>
        </is>
      </c>
      <c r="M103" t="inlineStr">
        <is>
          <t>1965</t>
        </is>
      </c>
      <c r="O103" t="inlineStr">
        <is>
          <t>eng</t>
        </is>
      </c>
      <c r="P103" t="inlineStr">
        <is>
          <t>nyu</t>
        </is>
      </c>
      <c r="R103" t="inlineStr">
        <is>
          <t xml:space="preserve">PE </t>
        </is>
      </c>
      <c r="S103" t="n">
        <v>9</v>
      </c>
      <c r="T103" t="n">
        <v>9</v>
      </c>
      <c r="U103" t="inlineStr">
        <is>
          <t>2008-04-22</t>
        </is>
      </c>
      <c r="V103" t="inlineStr">
        <is>
          <t>2008-04-22</t>
        </is>
      </c>
      <c r="W103" t="inlineStr">
        <is>
          <t>1992-01-31</t>
        </is>
      </c>
      <c r="X103" t="inlineStr">
        <is>
          <t>1992-01-31</t>
        </is>
      </c>
      <c r="Y103" t="n">
        <v>513</v>
      </c>
      <c r="Z103" t="n">
        <v>361</v>
      </c>
      <c r="AA103" t="n">
        <v>573</v>
      </c>
      <c r="AB103" t="n">
        <v>5</v>
      </c>
      <c r="AC103" t="n">
        <v>6</v>
      </c>
      <c r="AD103" t="n">
        <v>15</v>
      </c>
      <c r="AE103" t="n">
        <v>22</v>
      </c>
      <c r="AF103" t="n">
        <v>3</v>
      </c>
      <c r="AG103" t="n">
        <v>7</v>
      </c>
      <c r="AH103" t="n">
        <v>4</v>
      </c>
      <c r="AI103" t="n">
        <v>4</v>
      </c>
      <c r="AJ103" t="n">
        <v>6</v>
      </c>
      <c r="AK103" t="n">
        <v>10</v>
      </c>
      <c r="AL103" t="n">
        <v>4</v>
      </c>
      <c r="AM103" t="n">
        <v>5</v>
      </c>
      <c r="AN103" t="n">
        <v>0</v>
      </c>
      <c r="AO103" t="n">
        <v>0</v>
      </c>
      <c r="AP103" t="inlineStr">
        <is>
          <t>No</t>
        </is>
      </c>
      <c r="AQ103" t="inlineStr">
        <is>
          <t>Yes</t>
        </is>
      </c>
      <c r="AR103">
        <f>HYPERLINK("http://catalog.hathitrust.org/Record/004680023","HathiTrust Record")</f>
        <v/>
      </c>
      <c r="AS103">
        <f>HYPERLINK("https://creighton-primo.hosted.exlibrisgroup.com/primo-explore/search?tab=default_tab&amp;search_scope=EVERYTHING&amp;vid=01CRU&amp;lang=en_US&amp;offset=0&amp;query=any,contains,991002300549702656","Catalog Record")</f>
        <v/>
      </c>
      <c r="AT103">
        <f>HYPERLINK("http://www.worldcat.org/oclc/317270","WorldCat Record")</f>
        <v/>
      </c>
      <c r="AU103" t="inlineStr">
        <is>
          <t>894442192:eng</t>
        </is>
      </c>
      <c r="AV103" t="inlineStr">
        <is>
          <t>317270</t>
        </is>
      </c>
      <c r="AW103" t="inlineStr">
        <is>
          <t>991002300549702656</t>
        </is>
      </c>
      <c r="AX103" t="inlineStr">
        <is>
          <t>991002300549702656</t>
        </is>
      </c>
      <c r="AY103" t="inlineStr">
        <is>
          <t>2267486070002656</t>
        </is>
      </c>
      <c r="AZ103" t="inlineStr">
        <is>
          <t>BOOK</t>
        </is>
      </c>
      <c r="BC103" t="inlineStr">
        <is>
          <t>32285000931518</t>
        </is>
      </c>
      <c r="BD103" t="inlineStr">
        <is>
          <t>893879745</t>
        </is>
      </c>
    </row>
    <row r="104">
      <c r="A104" t="inlineStr">
        <is>
          <t>No</t>
        </is>
      </c>
      <c r="B104" t="inlineStr">
        <is>
          <t>PE1128.A2 A42</t>
        </is>
      </c>
      <c r="C104" t="inlineStr">
        <is>
          <t>0                      PE 1128000A  2                  A  42</t>
        </is>
      </c>
      <c r="D104" t="inlineStr">
        <is>
          <t>English as a second language; a comprehensive bibliography [by] Virginia F. Allen [and] Sidney Forman.</t>
        </is>
      </c>
      <c r="F104" t="inlineStr">
        <is>
          <t>No</t>
        </is>
      </c>
      <c r="G104" t="inlineStr">
        <is>
          <t>1</t>
        </is>
      </c>
      <c r="H104" t="inlineStr">
        <is>
          <t>No</t>
        </is>
      </c>
      <c r="I104" t="inlineStr">
        <is>
          <t>No</t>
        </is>
      </c>
      <c r="J104" t="inlineStr">
        <is>
          <t>0</t>
        </is>
      </c>
      <c r="K104" t="inlineStr">
        <is>
          <t>Allen, Virginia French.</t>
        </is>
      </c>
      <c r="L104" t="inlineStr">
        <is>
          <t>New York, Teachers College Press [1967]</t>
        </is>
      </c>
      <c r="M104" t="inlineStr">
        <is>
          <t>1967</t>
        </is>
      </c>
      <c r="O104" t="inlineStr">
        <is>
          <t>eng</t>
        </is>
      </c>
      <c r="P104" t="inlineStr">
        <is>
          <t>nyu</t>
        </is>
      </c>
      <c r="R104" t="inlineStr">
        <is>
          <t xml:space="preserve">PE </t>
        </is>
      </c>
      <c r="S104" t="n">
        <v>3</v>
      </c>
      <c r="T104" t="n">
        <v>3</v>
      </c>
      <c r="U104" t="inlineStr">
        <is>
          <t>2008-04-22</t>
        </is>
      </c>
      <c r="V104" t="inlineStr">
        <is>
          <t>2008-04-22</t>
        </is>
      </c>
      <c r="W104" t="inlineStr">
        <is>
          <t>1993-04-23</t>
        </is>
      </c>
      <c r="X104" t="inlineStr">
        <is>
          <t>1993-04-23</t>
        </is>
      </c>
      <c r="Y104" t="n">
        <v>161</v>
      </c>
      <c r="Z104" t="n">
        <v>138</v>
      </c>
      <c r="AA104" t="n">
        <v>141</v>
      </c>
      <c r="AB104" t="n">
        <v>2</v>
      </c>
      <c r="AC104" t="n">
        <v>2</v>
      </c>
      <c r="AD104" t="n">
        <v>5</v>
      </c>
      <c r="AE104" t="n">
        <v>5</v>
      </c>
      <c r="AF104" t="n">
        <v>0</v>
      </c>
      <c r="AG104" t="n">
        <v>0</v>
      </c>
      <c r="AH104" t="n">
        <v>1</v>
      </c>
      <c r="AI104" t="n">
        <v>1</v>
      </c>
      <c r="AJ104" t="n">
        <v>4</v>
      </c>
      <c r="AK104" t="n">
        <v>4</v>
      </c>
      <c r="AL104" t="n">
        <v>1</v>
      </c>
      <c r="AM104" t="n">
        <v>1</v>
      </c>
      <c r="AN104" t="n">
        <v>0</v>
      </c>
      <c r="AO104" t="n">
        <v>0</v>
      </c>
      <c r="AP104" t="inlineStr">
        <is>
          <t>No</t>
        </is>
      </c>
      <c r="AQ104" t="inlineStr">
        <is>
          <t>Yes</t>
        </is>
      </c>
      <c r="AR104">
        <f>HYPERLINK("http://catalog.hathitrust.org/Record/001171691","HathiTrust Record")</f>
        <v/>
      </c>
      <c r="AS104">
        <f>HYPERLINK("https://creighton-primo.hosted.exlibrisgroup.com/primo-explore/search?tab=default_tab&amp;search_scope=EVERYTHING&amp;vid=01CRU&amp;lang=en_US&amp;offset=0&amp;query=any,contains,991001024699702656","Catalog Record")</f>
        <v/>
      </c>
      <c r="AT104">
        <f>HYPERLINK("http://www.worldcat.org/oclc/174444","WorldCat Record")</f>
        <v/>
      </c>
      <c r="AU104" t="inlineStr">
        <is>
          <t>5609534350:eng</t>
        </is>
      </c>
      <c r="AV104" t="inlineStr">
        <is>
          <t>174444</t>
        </is>
      </c>
      <c r="AW104" t="inlineStr">
        <is>
          <t>991001024699702656</t>
        </is>
      </c>
      <c r="AX104" t="inlineStr">
        <is>
          <t>991001024699702656</t>
        </is>
      </c>
      <c r="AY104" t="inlineStr">
        <is>
          <t>2266510930002656</t>
        </is>
      </c>
      <c r="AZ104" t="inlineStr">
        <is>
          <t>BOOK</t>
        </is>
      </c>
      <c r="BC104" t="inlineStr">
        <is>
          <t>32285001646453</t>
        </is>
      </c>
      <c r="BD104" t="inlineStr">
        <is>
          <t>893690251</t>
        </is>
      </c>
    </row>
    <row r="105">
      <c r="A105" t="inlineStr">
        <is>
          <t>No</t>
        </is>
      </c>
      <c r="B105" t="inlineStr">
        <is>
          <t>PE1128.A2 A65 1997</t>
        </is>
      </c>
      <c r="C105" t="inlineStr">
        <is>
          <t>0                      PE 1128000A  2                  A  65          1997</t>
        </is>
      </c>
      <c r="D105" t="inlineStr">
        <is>
          <t>Approaches to teaching non-native English speakers across the curriculum / David L. Sigsbee, Bruce W. Speck, Bruce Maylath, editors.</t>
        </is>
      </c>
      <c r="F105" t="inlineStr">
        <is>
          <t>No</t>
        </is>
      </c>
      <c r="G105" t="inlineStr">
        <is>
          <t>1</t>
        </is>
      </c>
      <c r="H105" t="inlineStr">
        <is>
          <t>No</t>
        </is>
      </c>
      <c r="I105" t="inlineStr">
        <is>
          <t>No</t>
        </is>
      </c>
      <c r="J105" t="inlineStr">
        <is>
          <t>0</t>
        </is>
      </c>
      <c r="L105" t="inlineStr">
        <is>
          <t>San Francisco : Jossey-Bass Publishers, c1997.</t>
        </is>
      </c>
      <c r="M105" t="inlineStr">
        <is>
          <t>1997</t>
        </is>
      </c>
      <c r="O105" t="inlineStr">
        <is>
          <t>eng</t>
        </is>
      </c>
      <c r="P105" t="inlineStr">
        <is>
          <t>cau</t>
        </is>
      </c>
      <c r="Q105" t="inlineStr">
        <is>
          <t>New directions for teaching and learning, 0271-0633 ; no. 70 (Summer 1997)</t>
        </is>
      </c>
      <c r="R105" t="inlineStr">
        <is>
          <t xml:space="preserve">PE </t>
        </is>
      </c>
      <c r="S105" t="n">
        <v>10</v>
      </c>
      <c r="T105" t="n">
        <v>10</v>
      </c>
      <c r="U105" t="inlineStr">
        <is>
          <t>2006-11-27</t>
        </is>
      </c>
      <c r="V105" t="inlineStr">
        <is>
          <t>2006-11-27</t>
        </is>
      </c>
      <c r="W105" t="inlineStr">
        <is>
          <t>1997-11-06</t>
        </is>
      </c>
      <c r="X105" t="inlineStr">
        <is>
          <t>1997-11-06</t>
        </is>
      </c>
      <c r="Y105" t="n">
        <v>393</v>
      </c>
      <c r="Z105" t="n">
        <v>350</v>
      </c>
      <c r="AA105" t="n">
        <v>359</v>
      </c>
      <c r="AB105" t="n">
        <v>3</v>
      </c>
      <c r="AC105" t="n">
        <v>3</v>
      </c>
      <c r="AD105" t="n">
        <v>18</v>
      </c>
      <c r="AE105" t="n">
        <v>18</v>
      </c>
      <c r="AF105" t="n">
        <v>6</v>
      </c>
      <c r="AG105" t="n">
        <v>6</v>
      </c>
      <c r="AH105" t="n">
        <v>5</v>
      </c>
      <c r="AI105" t="n">
        <v>5</v>
      </c>
      <c r="AJ105" t="n">
        <v>9</v>
      </c>
      <c r="AK105" t="n">
        <v>9</v>
      </c>
      <c r="AL105" t="n">
        <v>2</v>
      </c>
      <c r="AM105" t="n">
        <v>2</v>
      </c>
      <c r="AN105" t="n">
        <v>0</v>
      </c>
      <c r="AO105" t="n">
        <v>0</v>
      </c>
      <c r="AP105" t="inlineStr">
        <is>
          <t>No</t>
        </is>
      </c>
      <c r="AQ105" t="inlineStr">
        <is>
          <t>Yes</t>
        </is>
      </c>
      <c r="AR105">
        <f>HYPERLINK("http://catalog.hathitrust.org/Record/003154592","HathiTrust Record")</f>
        <v/>
      </c>
      <c r="AS105">
        <f>HYPERLINK("https://creighton-primo.hosted.exlibrisgroup.com/primo-explore/search?tab=default_tab&amp;search_scope=EVERYTHING&amp;vid=01CRU&amp;lang=en_US&amp;offset=0&amp;query=any,contains,991002814939702656","Catalog Record")</f>
        <v/>
      </c>
      <c r="AT105">
        <f>HYPERLINK("http://www.worldcat.org/oclc/36973070","WorldCat Record")</f>
        <v/>
      </c>
      <c r="AU105" t="inlineStr">
        <is>
          <t>364462450:eng</t>
        </is>
      </c>
      <c r="AV105" t="inlineStr">
        <is>
          <t>36973070</t>
        </is>
      </c>
      <c r="AW105" t="inlineStr">
        <is>
          <t>991002814939702656</t>
        </is>
      </c>
      <c r="AX105" t="inlineStr">
        <is>
          <t>991002814939702656</t>
        </is>
      </c>
      <c r="AY105" t="inlineStr">
        <is>
          <t>2261387650002656</t>
        </is>
      </c>
      <c r="AZ105" t="inlineStr">
        <is>
          <t>BOOK</t>
        </is>
      </c>
      <c r="BB105" t="inlineStr">
        <is>
          <t>9780787998608</t>
        </is>
      </c>
      <c r="BC105" t="inlineStr">
        <is>
          <t>32285003277091</t>
        </is>
      </c>
      <c r="BD105" t="inlineStr">
        <is>
          <t>893329578</t>
        </is>
      </c>
    </row>
    <row r="106">
      <c r="A106" t="inlineStr">
        <is>
          <t>No</t>
        </is>
      </c>
      <c r="B106" t="inlineStr">
        <is>
          <t>PE1128.A2 B6</t>
        </is>
      </c>
      <c r="C106" t="inlineStr">
        <is>
          <t>0                      PE 1128000A  2                  B  6</t>
        </is>
      </c>
      <c r="D106" t="inlineStr">
        <is>
          <t>Teaching English as a foreign language to children : first three grades : a dissertation, the Catholic University of America, 1968 / by Eva R. Borrego.</t>
        </is>
      </c>
      <c r="F106" t="inlineStr">
        <is>
          <t>No</t>
        </is>
      </c>
      <c r="G106" t="inlineStr">
        <is>
          <t>1</t>
        </is>
      </c>
      <c r="H106" t="inlineStr">
        <is>
          <t>No</t>
        </is>
      </c>
      <c r="I106" t="inlineStr">
        <is>
          <t>No</t>
        </is>
      </c>
      <c r="J106" t="inlineStr">
        <is>
          <t>0</t>
        </is>
      </c>
      <c r="K106" t="inlineStr">
        <is>
          <t>Borrego, Eva R.</t>
        </is>
      </c>
      <c r="L106" t="inlineStr">
        <is>
          <t>San Francisco : R and E Research Associates, 1974.</t>
        </is>
      </c>
      <c r="M106" t="inlineStr">
        <is>
          <t>1974</t>
        </is>
      </c>
      <c r="O106" t="inlineStr">
        <is>
          <t>eng</t>
        </is>
      </c>
      <c r="P106" t="inlineStr">
        <is>
          <t>cau</t>
        </is>
      </c>
      <c r="R106" t="inlineStr">
        <is>
          <t xml:space="preserve">PE </t>
        </is>
      </c>
      <c r="S106" t="n">
        <v>3</v>
      </c>
      <c r="T106" t="n">
        <v>3</v>
      </c>
      <c r="U106" t="inlineStr">
        <is>
          <t>2004-04-06</t>
        </is>
      </c>
      <c r="V106" t="inlineStr">
        <is>
          <t>2004-04-06</t>
        </is>
      </c>
      <c r="W106" t="inlineStr">
        <is>
          <t>1995-03-23</t>
        </is>
      </c>
      <c r="X106" t="inlineStr">
        <is>
          <t>1995-03-23</t>
        </is>
      </c>
      <c r="Y106" t="n">
        <v>144</v>
      </c>
      <c r="Z106" t="n">
        <v>139</v>
      </c>
      <c r="AA106" t="n">
        <v>147</v>
      </c>
      <c r="AB106" t="n">
        <v>2</v>
      </c>
      <c r="AC106" t="n">
        <v>2</v>
      </c>
      <c r="AD106" t="n">
        <v>7</v>
      </c>
      <c r="AE106" t="n">
        <v>7</v>
      </c>
      <c r="AF106" t="n">
        <v>3</v>
      </c>
      <c r="AG106" t="n">
        <v>3</v>
      </c>
      <c r="AH106" t="n">
        <v>0</v>
      </c>
      <c r="AI106" t="n">
        <v>0</v>
      </c>
      <c r="AJ106" t="n">
        <v>5</v>
      </c>
      <c r="AK106" t="n">
        <v>5</v>
      </c>
      <c r="AL106" t="n">
        <v>1</v>
      </c>
      <c r="AM106" t="n">
        <v>1</v>
      </c>
      <c r="AN106" t="n">
        <v>0</v>
      </c>
      <c r="AO106" t="n">
        <v>0</v>
      </c>
      <c r="AP106" t="inlineStr">
        <is>
          <t>No</t>
        </is>
      </c>
      <c r="AQ106" t="inlineStr">
        <is>
          <t>Yes</t>
        </is>
      </c>
      <c r="AR106">
        <f>HYPERLINK("http://catalog.hathitrust.org/Record/101006788","HathiTrust Record")</f>
        <v/>
      </c>
      <c r="AS106">
        <f>HYPERLINK("https://creighton-primo.hosted.exlibrisgroup.com/primo-explore/search?tab=default_tab&amp;search_scope=EVERYTHING&amp;vid=01CRU&amp;lang=en_US&amp;offset=0&amp;query=any,contains,991003652429702656","Catalog Record")</f>
        <v/>
      </c>
      <c r="AT106">
        <f>HYPERLINK("http://www.worldcat.org/oclc/1256144","WorldCat Record")</f>
        <v/>
      </c>
      <c r="AU106" t="inlineStr">
        <is>
          <t>5845938:eng</t>
        </is>
      </c>
      <c r="AV106" t="inlineStr">
        <is>
          <t>1256144</t>
        </is>
      </c>
      <c r="AW106" t="inlineStr">
        <is>
          <t>991003652429702656</t>
        </is>
      </c>
      <c r="AX106" t="inlineStr">
        <is>
          <t>991003652429702656</t>
        </is>
      </c>
      <c r="AY106" t="inlineStr">
        <is>
          <t>2258180160002656</t>
        </is>
      </c>
      <c r="AZ106" t="inlineStr">
        <is>
          <t>BOOK</t>
        </is>
      </c>
      <c r="BB106" t="inlineStr">
        <is>
          <t>9780882472829</t>
        </is>
      </c>
      <c r="BC106" t="inlineStr">
        <is>
          <t>32285002013679</t>
        </is>
      </c>
      <c r="BD106" t="inlineStr">
        <is>
          <t>893441539</t>
        </is>
      </c>
    </row>
    <row r="107">
      <c r="A107" t="inlineStr">
        <is>
          <t>No</t>
        </is>
      </c>
      <c r="B107" t="inlineStr">
        <is>
          <t>PE1128.A2 B75</t>
        </is>
      </c>
      <c r="C107" t="inlineStr">
        <is>
          <t>0                      PE 1128000A  2                  B  75</t>
        </is>
      </c>
      <c r="D107" t="inlineStr">
        <is>
          <t>Needs assessment in ESL / Thomas Buckingham ; prepared by ERIC Clearinghouse on Languages and Linguistics.</t>
        </is>
      </c>
      <c r="F107" t="inlineStr">
        <is>
          <t>No</t>
        </is>
      </c>
      <c r="G107" t="inlineStr">
        <is>
          <t>1</t>
        </is>
      </c>
      <c r="H107" t="inlineStr">
        <is>
          <t>No</t>
        </is>
      </c>
      <c r="I107" t="inlineStr">
        <is>
          <t>No</t>
        </is>
      </c>
      <c r="J107" t="inlineStr">
        <is>
          <t>0</t>
        </is>
      </c>
      <c r="K107" t="inlineStr">
        <is>
          <t>Buckingham, Thomas.</t>
        </is>
      </c>
      <c r="L107" t="inlineStr">
        <is>
          <t>Washington, D.C. : Center for Applied Linguistics, 1981.</t>
        </is>
      </c>
      <c r="M107" t="inlineStr">
        <is>
          <t>1981</t>
        </is>
      </c>
      <c r="O107" t="inlineStr">
        <is>
          <t>eng</t>
        </is>
      </c>
      <c r="P107" t="inlineStr">
        <is>
          <t>dcu</t>
        </is>
      </c>
      <c r="Q107" t="inlineStr">
        <is>
          <t>Language in education ; 41</t>
        </is>
      </c>
      <c r="R107" t="inlineStr">
        <is>
          <t xml:space="preserve">PE </t>
        </is>
      </c>
      <c r="S107" t="n">
        <v>1</v>
      </c>
      <c r="T107" t="n">
        <v>1</v>
      </c>
      <c r="U107" t="inlineStr">
        <is>
          <t>2003-04-26</t>
        </is>
      </c>
      <c r="V107" t="inlineStr">
        <is>
          <t>2003-04-26</t>
        </is>
      </c>
      <c r="W107" t="inlineStr">
        <is>
          <t>1992-10-29</t>
        </is>
      </c>
      <c r="X107" t="inlineStr">
        <is>
          <t>1992-10-29</t>
        </is>
      </c>
      <c r="Y107" t="n">
        <v>149</v>
      </c>
      <c r="Z107" t="n">
        <v>125</v>
      </c>
      <c r="AA107" t="n">
        <v>132</v>
      </c>
      <c r="AB107" t="n">
        <v>1</v>
      </c>
      <c r="AC107" t="n">
        <v>1</v>
      </c>
      <c r="AD107" t="n">
        <v>1</v>
      </c>
      <c r="AE107" t="n">
        <v>1</v>
      </c>
      <c r="AF107" t="n">
        <v>0</v>
      </c>
      <c r="AG107" t="n">
        <v>0</v>
      </c>
      <c r="AH107" t="n">
        <v>1</v>
      </c>
      <c r="AI107" t="n">
        <v>1</v>
      </c>
      <c r="AJ107" t="n">
        <v>1</v>
      </c>
      <c r="AK107" t="n">
        <v>1</v>
      </c>
      <c r="AL107" t="n">
        <v>0</v>
      </c>
      <c r="AM107" t="n">
        <v>0</v>
      </c>
      <c r="AN107" t="n">
        <v>0</v>
      </c>
      <c r="AO107" t="n">
        <v>0</v>
      </c>
      <c r="AP107" t="inlineStr">
        <is>
          <t>No</t>
        </is>
      </c>
      <c r="AQ107" t="inlineStr">
        <is>
          <t>Yes</t>
        </is>
      </c>
      <c r="AR107">
        <f>HYPERLINK("http://catalog.hathitrust.org/Record/009529336","HathiTrust Record")</f>
        <v/>
      </c>
      <c r="AS107">
        <f>HYPERLINK("https://creighton-primo.hosted.exlibrisgroup.com/primo-explore/search?tab=default_tab&amp;search_scope=EVERYTHING&amp;vid=01CRU&amp;lang=en_US&amp;offset=0&amp;query=any,contains,991005162399702656","Catalog Record")</f>
        <v/>
      </c>
      <c r="AT107">
        <f>HYPERLINK("http://www.worldcat.org/oclc/7796657","WorldCat Record")</f>
        <v/>
      </c>
      <c r="AU107" t="inlineStr">
        <is>
          <t>3240661:eng</t>
        </is>
      </c>
      <c r="AV107" t="inlineStr">
        <is>
          <t>7796657</t>
        </is>
      </c>
      <c r="AW107" t="inlineStr">
        <is>
          <t>991005162399702656</t>
        </is>
      </c>
      <c r="AX107" t="inlineStr">
        <is>
          <t>991005162399702656</t>
        </is>
      </c>
      <c r="AY107" t="inlineStr">
        <is>
          <t>2266254350002656</t>
        </is>
      </c>
      <c r="AZ107" t="inlineStr">
        <is>
          <t>BOOK</t>
        </is>
      </c>
      <c r="BB107" t="inlineStr">
        <is>
          <t>9780872811621</t>
        </is>
      </c>
      <c r="BC107" t="inlineStr">
        <is>
          <t>32285001387686</t>
        </is>
      </c>
      <c r="BD107" t="inlineStr">
        <is>
          <t>893507709</t>
        </is>
      </c>
    </row>
    <row r="108">
      <c r="A108" t="inlineStr">
        <is>
          <t>No</t>
        </is>
      </c>
      <c r="B108" t="inlineStr">
        <is>
          <t>PE1128.A2 C394 1988</t>
        </is>
      </c>
      <c r="C108" t="inlineStr">
        <is>
          <t>0                      PE 1128000A  2                  C  394         1988</t>
        </is>
      </c>
      <c r="D108" t="inlineStr">
        <is>
          <t>Techniques and resources in teaching grammar / Marianne Celce-Murcia, Sharon Hilles.</t>
        </is>
      </c>
      <c r="F108" t="inlineStr">
        <is>
          <t>No</t>
        </is>
      </c>
      <c r="G108" t="inlineStr">
        <is>
          <t>1</t>
        </is>
      </c>
      <c r="H108" t="inlineStr">
        <is>
          <t>No</t>
        </is>
      </c>
      <c r="I108" t="inlineStr">
        <is>
          <t>No</t>
        </is>
      </c>
      <c r="J108" t="inlineStr">
        <is>
          <t>0</t>
        </is>
      </c>
      <c r="K108" t="inlineStr">
        <is>
          <t>Celce-Murcia, Marianne.</t>
        </is>
      </c>
      <c r="L108" t="inlineStr">
        <is>
          <t>London ; New York : Oxford University Press, 1988.</t>
        </is>
      </c>
      <c r="M108" t="inlineStr">
        <is>
          <t>1987</t>
        </is>
      </c>
      <c r="O108" t="inlineStr">
        <is>
          <t>eng</t>
        </is>
      </c>
      <c r="P108" t="inlineStr">
        <is>
          <t>enk</t>
        </is>
      </c>
      <c r="Q108" t="inlineStr">
        <is>
          <t>Teaching techniques in English as a second language</t>
        </is>
      </c>
      <c r="R108" t="inlineStr">
        <is>
          <t xml:space="preserve">PE </t>
        </is>
      </c>
      <c r="S108" t="n">
        <v>13</v>
      </c>
      <c r="T108" t="n">
        <v>13</v>
      </c>
      <c r="U108" t="inlineStr">
        <is>
          <t>2000-11-09</t>
        </is>
      </c>
      <c r="V108" t="inlineStr">
        <is>
          <t>2000-11-09</t>
        </is>
      </c>
      <c r="W108" t="inlineStr">
        <is>
          <t>1993-04-23</t>
        </is>
      </c>
      <c r="X108" t="inlineStr">
        <is>
          <t>1993-04-23</t>
        </is>
      </c>
      <c r="Y108" t="n">
        <v>511</v>
      </c>
      <c r="Z108" t="n">
        <v>288</v>
      </c>
      <c r="AA108" t="n">
        <v>304</v>
      </c>
      <c r="AB108" t="n">
        <v>2</v>
      </c>
      <c r="AC108" t="n">
        <v>2</v>
      </c>
      <c r="AD108" t="n">
        <v>8</v>
      </c>
      <c r="AE108" t="n">
        <v>9</v>
      </c>
      <c r="AF108" t="n">
        <v>3</v>
      </c>
      <c r="AG108" t="n">
        <v>4</v>
      </c>
      <c r="AH108" t="n">
        <v>2</v>
      </c>
      <c r="AI108" t="n">
        <v>2</v>
      </c>
      <c r="AJ108" t="n">
        <v>6</v>
      </c>
      <c r="AK108" t="n">
        <v>6</v>
      </c>
      <c r="AL108" t="n">
        <v>1</v>
      </c>
      <c r="AM108" t="n">
        <v>1</v>
      </c>
      <c r="AN108" t="n">
        <v>0</v>
      </c>
      <c r="AO108" t="n">
        <v>0</v>
      </c>
      <c r="AP108" t="inlineStr">
        <is>
          <t>No</t>
        </is>
      </c>
      <c r="AQ108" t="inlineStr">
        <is>
          <t>Yes</t>
        </is>
      </c>
      <c r="AR108">
        <f>HYPERLINK("http://catalog.hathitrust.org/Record/007110486","HathiTrust Record")</f>
        <v/>
      </c>
      <c r="AS108">
        <f>HYPERLINK("https://creighton-primo.hosted.exlibrisgroup.com/primo-explore/search?tab=default_tab&amp;search_scope=EVERYTHING&amp;vid=01CRU&amp;lang=en_US&amp;offset=0&amp;query=any,contains,991001116119702656","Catalog Record")</f>
        <v/>
      </c>
      <c r="AT108">
        <f>HYPERLINK("http://www.worldcat.org/oclc/16526525","WorldCat Record")</f>
        <v/>
      </c>
      <c r="AU108" t="inlineStr">
        <is>
          <t>986218:eng</t>
        </is>
      </c>
      <c r="AV108" t="inlineStr">
        <is>
          <t>16526525</t>
        </is>
      </c>
      <c r="AW108" t="inlineStr">
        <is>
          <t>991001116119702656</t>
        </is>
      </c>
      <c r="AX108" t="inlineStr">
        <is>
          <t>991001116119702656</t>
        </is>
      </c>
      <c r="AY108" t="inlineStr">
        <is>
          <t>2258113760002656</t>
        </is>
      </c>
      <c r="AZ108" t="inlineStr">
        <is>
          <t>BOOK</t>
        </is>
      </c>
      <c r="BB108" t="inlineStr">
        <is>
          <t>9780194341912</t>
        </is>
      </c>
      <c r="BC108" t="inlineStr">
        <is>
          <t>32285001646461</t>
        </is>
      </c>
      <c r="BD108" t="inlineStr">
        <is>
          <t>893690357</t>
        </is>
      </c>
    </row>
    <row r="109">
      <c r="A109" t="inlineStr">
        <is>
          <t>No</t>
        </is>
      </c>
      <c r="B109" t="inlineStr">
        <is>
          <t>PE1128.A2 C6557 1994</t>
        </is>
      </c>
      <c r="C109" t="inlineStr">
        <is>
          <t>0                      PE 1128000A  2                  C  6557        1994</t>
        </is>
      </c>
      <c r="D109" t="inlineStr">
        <is>
          <t>Assessing language ability in the classroom / Andrew D. Cohen.</t>
        </is>
      </c>
      <c r="F109" t="inlineStr">
        <is>
          <t>No</t>
        </is>
      </c>
      <c r="G109" t="inlineStr">
        <is>
          <t>1</t>
        </is>
      </c>
      <c r="H109" t="inlineStr">
        <is>
          <t>No</t>
        </is>
      </c>
      <c r="I109" t="inlineStr">
        <is>
          <t>No</t>
        </is>
      </c>
      <c r="J109" t="inlineStr">
        <is>
          <t>0</t>
        </is>
      </c>
      <c r="K109" t="inlineStr">
        <is>
          <t>Cohen, Andrew D.</t>
        </is>
      </c>
      <c r="L109" t="inlineStr">
        <is>
          <t>Boston : Heinle &amp; Heinle, c1994.</t>
        </is>
      </c>
      <c r="M109" t="inlineStr">
        <is>
          <t>1994</t>
        </is>
      </c>
      <c r="N109" t="inlineStr">
        <is>
          <t>2nd ed.</t>
        </is>
      </c>
      <c r="O109" t="inlineStr">
        <is>
          <t>eng</t>
        </is>
      </c>
      <c r="P109" t="inlineStr">
        <is>
          <t>mau</t>
        </is>
      </c>
      <c r="R109" t="inlineStr">
        <is>
          <t xml:space="preserve">PE </t>
        </is>
      </c>
      <c r="S109" t="n">
        <v>5</v>
      </c>
      <c r="T109" t="n">
        <v>5</v>
      </c>
      <c r="U109" t="inlineStr">
        <is>
          <t>2005-04-14</t>
        </is>
      </c>
      <c r="V109" t="inlineStr">
        <is>
          <t>2005-04-14</t>
        </is>
      </c>
      <c r="W109" t="inlineStr">
        <is>
          <t>1997-03-18</t>
        </is>
      </c>
      <c r="X109" t="inlineStr">
        <is>
          <t>1997-03-18</t>
        </is>
      </c>
      <c r="Y109" t="n">
        <v>288</v>
      </c>
      <c r="Z109" t="n">
        <v>175</v>
      </c>
      <c r="AA109" t="n">
        <v>175</v>
      </c>
      <c r="AB109" t="n">
        <v>3</v>
      </c>
      <c r="AC109" t="n">
        <v>3</v>
      </c>
      <c r="AD109" t="n">
        <v>12</v>
      </c>
      <c r="AE109" t="n">
        <v>12</v>
      </c>
      <c r="AF109" t="n">
        <v>6</v>
      </c>
      <c r="AG109" t="n">
        <v>6</v>
      </c>
      <c r="AH109" t="n">
        <v>1</v>
      </c>
      <c r="AI109" t="n">
        <v>1</v>
      </c>
      <c r="AJ109" t="n">
        <v>7</v>
      </c>
      <c r="AK109" t="n">
        <v>7</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HYPERLINK("https://creighton-primo.hosted.exlibrisgroup.com/primo-explore/search?tab=default_tab&amp;search_scope=EVERYTHING&amp;vid=01CRU&amp;lang=en_US&amp;offset=0&amp;query=any,contains,991002263329702656","Catalog Record")</f>
        <v/>
      </c>
      <c r="AT109">
        <f>HYPERLINK("http://www.worldcat.org/oclc/29358993","WorldCat Record")</f>
        <v/>
      </c>
      <c r="AU109" t="inlineStr">
        <is>
          <t>5612069049:eng</t>
        </is>
      </c>
      <c r="AV109" t="inlineStr">
        <is>
          <t>29358993</t>
        </is>
      </c>
      <c r="AW109" t="inlineStr">
        <is>
          <t>991002263329702656</t>
        </is>
      </c>
      <c r="AX109" t="inlineStr">
        <is>
          <t>991002263329702656</t>
        </is>
      </c>
      <c r="AY109" t="inlineStr">
        <is>
          <t>2268243220002656</t>
        </is>
      </c>
      <c r="AZ109" t="inlineStr">
        <is>
          <t>BOOK</t>
        </is>
      </c>
      <c r="BB109" t="inlineStr">
        <is>
          <t>9780838442623</t>
        </is>
      </c>
      <c r="BC109" t="inlineStr">
        <is>
          <t>32285002444080</t>
        </is>
      </c>
      <c r="BD109" t="inlineStr">
        <is>
          <t>893504196</t>
        </is>
      </c>
    </row>
    <row r="110">
      <c r="A110" t="inlineStr">
        <is>
          <t>No</t>
        </is>
      </c>
      <c r="B110" t="inlineStr">
        <is>
          <t>PE1128.A2 E27</t>
        </is>
      </c>
      <c r="C110" t="inlineStr">
        <is>
          <t>0                      PE 1128000A  2                  E  27</t>
        </is>
      </c>
      <c r="D110" t="inlineStr">
        <is>
          <t>Teaching conversation skills in ESL / Ronald D. Eckard, Mary Ann Kearny ; prepared by ERIC Clearinghouse on Languages and Linguistics.</t>
        </is>
      </c>
      <c r="F110" t="inlineStr">
        <is>
          <t>No</t>
        </is>
      </c>
      <c r="G110" t="inlineStr">
        <is>
          <t>1</t>
        </is>
      </c>
      <c r="H110" t="inlineStr">
        <is>
          <t>No</t>
        </is>
      </c>
      <c r="I110" t="inlineStr">
        <is>
          <t>No</t>
        </is>
      </c>
      <c r="J110" t="inlineStr">
        <is>
          <t>0</t>
        </is>
      </c>
      <c r="K110" t="inlineStr">
        <is>
          <t>Eckard, Ronald.</t>
        </is>
      </c>
      <c r="L110" t="inlineStr">
        <is>
          <t>Washington, D.C. : Center for Applied Linguistics, 1981.</t>
        </is>
      </c>
      <c r="M110" t="inlineStr">
        <is>
          <t>1981</t>
        </is>
      </c>
      <c r="O110" t="inlineStr">
        <is>
          <t>eng</t>
        </is>
      </c>
      <c r="P110" t="inlineStr">
        <is>
          <t>dcu</t>
        </is>
      </c>
      <c r="Q110" t="inlineStr">
        <is>
          <t>Language in education ; 38</t>
        </is>
      </c>
      <c r="R110" t="inlineStr">
        <is>
          <t xml:space="preserve">PE </t>
        </is>
      </c>
      <c r="S110" t="n">
        <v>5</v>
      </c>
      <c r="T110" t="n">
        <v>5</v>
      </c>
      <c r="U110" t="inlineStr">
        <is>
          <t>1996-12-12</t>
        </is>
      </c>
      <c r="V110" t="inlineStr">
        <is>
          <t>1996-12-12</t>
        </is>
      </c>
      <c r="W110" t="inlineStr">
        <is>
          <t>1993-04-23</t>
        </is>
      </c>
      <c r="X110" t="inlineStr">
        <is>
          <t>1993-04-23</t>
        </is>
      </c>
      <c r="Y110" t="n">
        <v>192</v>
      </c>
      <c r="Z110" t="n">
        <v>156</v>
      </c>
      <c r="AA110" t="n">
        <v>171</v>
      </c>
      <c r="AB110" t="n">
        <v>1</v>
      </c>
      <c r="AC110" t="n">
        <v>1</v>
      </c>
      <c r="AD110" t="n">
        <v>2</v>
      </c>
      <c r="AE110" t="n">
        <v>2</v>
      </c>
      <c r="AF110" t="n">
        <v>0</v>
      </c>
      <c r="AG110" t="n">
        <v>0</v>
      </c>
      <c r="AH110" t="n">
        <v>2</v>
      </c>
      <c r="AI110" t="n">
        <v>2</v>
      </c>
      <c r="AJ110" t="n">
        <v>1</v>
      </c>
      <c r="AK110" t="n">
        <v>1</v>
      </c>
      <c r="AL110" t="n">
        <v>0</v>
      </c>
      <c r="AM110" t="n">
        <v>0</v>
      </c>
      <c r="AN110" t="n">
        <v>0</v>
      </c>
      <c r="AO110" t="n">
        <v>0</v>
      </c>
      <c r="AP110" t="inlineStr">
        <is>
          <t>Yes</t>
        </is>
      </c>
      <c r="AQ110" t="inlineStr">
        <is>
          <t>No</t>
        </is>
      </c>
      <c r="AR110">
        <f>HYPERLINK("http://catalog.hathitrust.org/Record/102177901","HathiTrust Record")</f>
        <v/>
      </c>
      <c r="AS110">
        <f>HYPERLINK("https://creighton-primo.hosted.exlibrisgroup.com/primo-explore/search?tab=default_tab&amp;search_scope=EVERYTHING&amp;vid=01CRU&amp;lang=en_US&amp;offset=0&amp;query=any,contains,991005162449702656","Catalog Record")</f>
        <v/>
      </c>
      <c r="AT110">
        <f>HYPERLINK("http://www.worldcat.org/oclc/7796675","WorldCat Record")</f>
        <v/>
      </c>
      <c r="AU110" t="inlineStr">
        <is>
          <t>520238:eng</t>
        </is>
      </c>
      <c r="AV110" t="inlineStr">
        <is>
          <t>7796675</t>
        </is>
      </c>
      <c r="AW110" t="inlineStr">
        <is>
          <t>991005162449702656</t>
        </is>
      </c>
      <c r="AX110" t="inlineStr">
        <is>
          <t>991005162449702656</t>
        </is>
      </c>
      <c r="AY110" t="inlineStr">
        <is>
          <t>2266256290002656</t>
        </is>
      </c>
      <c r="AZ110" t="inlineStr">
        <is>
          <t>BOOK</t>
        </is>
      </c>
      <c r="BB110" t="inlineStr">
        <is>
          <t>9780872811591</t>
        </is>
      </c>
      <c r="BC110" t="inlineStr">
        <is>
          <t>32285001646479</t>
        </is>
      </c>
      <c r="BD110" t="inlineStr">
        <is>
          <t>893877040</t>
        </is>
      </c>
    </row>
    <row r="111">
      <c r="A111" t="inlineStr">
        <is>
          <t>No</t>
        </is>
      </c>
      <c r="B111" t="inlineStr">
        <is>
          <t>PE1128.A2 E47</t>
        </is>
      </c>
      <c r="C111" t="inlineStr">
        <is>
          <t>0                      PE 1128000A  2                  E  47</t>
        </is>
      </c>
      <c r="D111" t="inlineStr">
        <is>
          <t>English as a second language: current issues. Edited by Robert C. Lugton.</t>
        </is>
      </c>
      <c r="F111" t="inlineStr">
        <is>
          <t>No</t>
        </is>
      </c>
      <c r="G111" t="inlineStr">
        <is>
          <t>1</t>
        </is>
      </c>
      <c r="H111" t="inlineStr">
        <is>
          <t>No</t>
        </is>
      </c>
      <c r="I111" t="inlineStr">
        <is>
          <t>No</t>
        </is>
      </c>
      <c r="J111" t="inlineStr">
        <is>
          <t>0</t>
        </is>
      </c>
      <c r="L111" t="inlineStr">
        <is>
          <t>Philadelphia, Center for Curriculum Development [1970]</t>
        </is>
      </c>
      <c r="M111" t="inlineStr">
        <is>
          <t>1970</t>
        </is>
      </c>
      <c r="O111" t="inlineStr">
        <is>
          <t>eng</t>
        </is>
      </c>
      <c r="P111" t="inlineStr">
        <is>
          <t>pau</t>
        </is>
      </c>
      <c r="Q111" t="inlineStr">
        <is>
          <t>Language and the teacher ; v. 6</t>
        </is>
      </c>
      <c r="R111" t="inlineStr">
        <is>
          <t xml:space="preserve">PE </t>
        </is>
      </c>
      <c r="S111" t="n">
        <v>8</v>
      </c>
      <c r="T111" t="n">
        <v>8</v>
      </c>
      <c r="U111" t="inlineStr">
        <is>
          <t>2002-04-28</t>
        </is>
      </c>
      <c r="V111" t="inlineStr">
        <is>
          <t>2002-04-28</t>
        </is>
      </c>
      <c r="W111" t="inlineStr">
        <is>
          <t>1990-06-05</t>
        </is>
      </c>
      <c r="X111" t="inlineStr">
        <is>
          <t>1990-06-05</t>
        </is>
      </c>
      <c r="Y111" t="n">
        <v>231</v>
      </c>
      <c r="Z111" t="n">
        <v>179</v>
      </c>
      <c r="AA111" t="n">
        <v>180</v>
      </c>
      <c r="AB111" t="n">
        <v>2</v>
      </c>
      <c r="AC111" t="n">
        <v>2</v>
      </c>
      <c r="AD111" t="n">
        <v>8</v>
      </c>
      <c r="AE111" t="n">
        <v>8</v>
      </c>
      <c r="AF111" t="n">
        <v>3</v>
      </c>
      <c r="AG111" t="n">
        <v>3</v>
      </c>
      <c r="AH111" t="n">
        <v>3</v>
      </c>
      <c r="AI111" t="n">
        <v>3</v>
      </c>
      <c r="AJ111" t="n">
        <v>4</v>
      </c>
      <c r="AK111" t="n">
        <v>4</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HYPERLINK("https://creighton-primo.hosted.exlibrisgroup.com/primo-explore/search?tab=default_tab&amp;search_scope=EVERYTHING&amp;vid=01CRU&amp;lang=en_US&amp;offset=0&amp;query=any,contains,991001908669702656","Catalog Record")</f>
        <v/>
      </c>
      <c r="AT111">
        <f>HYPERLINK("http://www.worldcat.org/oclc/241550","WorldCat Record")</f>
        <v/>
      </c>
      <c r="AU111" t="inlineStr">
        <is>
          <t>1387249:eng</t>
        </is>
      </c>
      <c r="AV111" t="inlineStr">
        <is>
          <t>241550</t>
        </is>
      </c>
      <c r="AW111" t="inlineStr">
        <is>
          <t>991001908669702656</t>
        </is>
      </c>
      <c r="AX111" t="inlineStr">
        <is>
          <t>991001908669702656</t>
        </is>
      </c>
      <c r="AY111" t="inlineStr">
        <is>
          <t>2269966280002656</t>
        </is>
      </c>
      <c r="AZ111" t="inlineStr">
        <is>
          <t>BOOK</t>
        </is>
      </c>
      <c r="BC111" t="inlineStr">
        <is>
          <t>32285000181973</t>
        </is>
      </c>
      <c r="BD111" t="inlineStr">
        <is>
          <t>893497528</t>
        </is>
      </c>
    </row>
    <row r="112">
      <c r="A112" t="inlineStr">
        <is>
          <t>No</t>
        </is>
      </c>
      <c r="B112" t="inlineStr">
        <is>
          <t>PE1128.A2 E485 1985</t>
        </is>
      </c>
      <c r="C112" t="inlineStr">
        <is>
          <t>0                      PE 1128000A  2                  E  485         1985</t>
        </is>
      </c>
      <c r="D112" t="inlineStr">
        <is>
          <t>English in the world : teaching and learning the language and literatures : papers of an international conference entitled "Progress in English Studies" held in London, 17-21 September 1984 to celebrate the fiftieth anniversary of the British Council and its contribution to the field of English studies over fifty years / edited by Randolph Quirk and H.G. Widdowson ; associate editor, Yolande Cantù.</t>
        </is>
      </c>
      <c r="F112" t="inlineStr">
        <is>
          <t>No</t>
        </is>
      </c>
      <c r="G112" t="inlineStr">
        <is>
          <t>1</t>
        </is>
      </c>
      <c r="H112" t="inlineStr">
        <is>
          <t>No</t>
        </is>
      </c>
      <c r="I112" t="inlineStr">
        <is>
          <t>No</t>
        </is>
      </c>
      <c r="J112" t="inlineStr">
        <is>
          <t>0</t>
        </is>
      </c>
      <c r="L112" t="inlineStr">
        <is>
          <t>Cambridge ; New York : Cambridge University Press for the British Council, 1985.</t>
        </is>
      </c>
      <c r="M112" t="inlineStr">
        <is>
          <t>1985</t>
        </is>
      </c>
      <c r="O112" t="inlineStr">
        <is>
          <t>eng</t>
        </is>
      </c>
      <c r="P112" t="inlineStr">
        <is>
          <t>enk</t>
        </is>
      </c>
      <c r="R112" t="inlineStr">
        <is>
          <t xml:space="preserve">PE </t>
        </is>
      </c>
      <c r="S112" t="n">
        <v>1</v>
      </c>
      <c r="T112" t="n">
        <v>1</v>
      </c>
      <c r="U112" t="inlineStr">
        <is>
          <t>2002-04-28</t>
        </is>
      </c>
      <c r="V112" t="inlineStr">
        <is>
          <t>2002-04-28</t>
        </is>
      </c>
      <c r="W112" t="inlineStr">
        <is>
          <t>1993-04-23</t>
        </is>
      </c>
      <c r="X112" t="inlineStr">
        <is>
          <t>1993-04-23</t>
        </is>
      </c>
      <c r="Y112" t="n">
        <v>339</v>
      </c>
      <c r="Z112" t="n">
        <v>178</v>
      </c>
      <c r="AA112" t="n">
        <v>186</v>
      </c>
      <c r="AB112" t="n">
        <v>2</v>
      </c>
      <c r="AC112" t="n">
        <v>2</v>
      </c>
      <c r="AD112" t="n">
        <v>9</v>
      </c>
      <c r="AE112" t="n">
        <v>10</v>
      </c>
      <c r="AF112" t="n">
        <v>1</v>
      </c>
      <c r="AG112" t="n">
        <v>1</v>
      </c>
      <c r="AH112" t="n">
        <v>1</v>
      </c>
      <c r="AI112" t="n">
        <v>2</v>
      </c>
      <c r="AJ112" t="n">
        <v>7</v>
      </c>
      <c r="AK112" t="n">
        <v>8</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HYPERLINK("https://creighton-primo.hosted.exlibrisgroup.com/primo-explore/search?tab=default_tab&amp;search_scope=EVERYTHING&amp;vid=01CRU&amp;lang=en_US&amp;offset=0&amp;query=any,contains,991000554539702656","Catalog Record")</f>
        <v/>
      </c>
      <c r="AT112">
        <f>HYPERLINK("http://www.worldcat.org/oclc/11550157","WorldCat Record")</f>
        <v/>
      </c>
      <c r="AU112" t="inlineStr">
        <is>
          <t>1417349860:eng</t>
        </is>
      </c>
      <c r="AV112" t="inlineStr">
        <is>
          <t>11550157</t>
        </is>
      </c>
      <c r="AW112" t="inlineStr">
        <is>
          <t>991000554539702656</t>
        </is>
      </c>
      <c r="AX112" t="inlineStr">
        <is>
          <t>991000554539702656</t>
        </is>
      </c>
      <c r="AY112" t="inlineStr">
        <is>
          <t>2260080560002656</t>
        </is>
      </c>
      <c r="AZ112" t="inlineStr">
        <is>
          <t>BOOK</t>
        </is>
      </c>
      <c r="BB112" t="inlineStr">
        <is>
          <t>9780521315227</t>
        </is>
      </c>
      <c r="BC112" t="inlineStr">
        <is>
          <t>32285001646487</t>
        </is>
      </c>
      <c r="BD112" t="inlineStr">
        <is>
          <t>893784331</t>
        </is>
      </c>
    </row>
    <row r="113">
      <c r="A113" t="inlineStr">
        <is>
          <t>No</t>
        </is>
      </c>
      <c r="B113" t="inlineStr">
        <is>
          <t>PE1128.A2 F52</t>
        </is>
      </c>
      <c r="C113" t="inlineStr">
        <is>
          <t>0                      PE 1128000A  2                  F  52</t>
        </is>
      </c>
      <c r="D113" t="inlineStr">
        <is>
          <t>Teaching English as a second language in elementary and secondary school. Foreword by Mario Pei.</t>
        </is>
      </c>
      <c r="F113" t="inlineStr">
        <is>
          <t>No</t>
        </is>
      </c>
      <c r="G113" t="inlineStr">
        <is>
          <t>1</t>
        </is>
      </c>
      <c r="H113" t="inlineStr">
        <is>
          <t>No</t>
        </is>
      </c>
      <c r="I113" t="inlineStr">
        <is>
          <t>No</t>
        </is>
      </c>
      <c r="J113" t="inlineStr">
        <is>
          <t>0</t>
        </is>
      </c>
      <c r="K113" t="inlineStr">
        <is>
          <t>Finocchiaro, Mary, 1913-1996.</t>
        </is>
      </c>
      <c r="L113" t="inlineStr">
        <is>
          <t>New York, Harper &amp; Row [1958]</t>
        </is>
      </c>
      <c r="M113" t="inlineStr">
        <is>
          <t>1958</t>
        </is>
      </c>
      <c r="N113" t="inlineStr">
        <is>
          <t>[1st ed.]</t>
        </is>
      </c>
      <c r="O113" t="inlineStr">
        <is>
          <t>eng</t>
        </is>
      </c>
      <c r="P113" t="inlineStr">
        <is>
          <t>nyu</t>
        </is>
      </c>
      <c r="R113" t="inlineStr">
        <is>
          <t xml:space="preserve">PE </t>
        </is>
      </c>
      <c r="S113" t="n">
        <v>5</v>
      </c>
      <c r="T113" t="n">
        <v>5</v>
      </c>
      <c r="U113" t="inlineStr">
        <is>
          <t>2006-11-27</t>
        </is>
      </c>
      <c r="V113" t="inlineStr">
        <is>
          <t>2006-11-27</t>
        </is>
      </c>
      <c r="W113" t="inlineStr">
        <is>
          <t>1992-02-18</t>
        </is>
      </c>
      <c r="X113" t="inlineStr">
        <is>
          <t>1992-02-18</t>
        </is>
      </c>
      <c r="Y113" t="n">
        <v>295</v>
      </c>
      <c r="Z113" t="n">
        <v>237</v>
      </c>
      <c r="AA113" t="n">
        <v>239</v>
      </c>
      <c r="AB113" t="n">
        <v>4</v>
      </c>
      <c r="AC113" t="n">
        <v>4</v>
      </c>
      <c r="AD113" t="n">
        <v>11</v>
      </c>
      <c r="AE113" t="n">
        <v>11</v>
      </c>
      <c r="AF113" t="n">
        <v>3</v>
      </c>
      <c r="AG113" t="n">
        <v>3</v>
      </c>
      <c r="AH113" t="n">
        <v>1</v>
      </c>
      <c r="AI113" t="n">
        <v>1</v>
      </c>
      <c r="AJ113" t="n">
        <v>6</v>
      </c>
      <c r="AK113" t="n">
        <v>6</v>
      </c>
      <c r="AL113" t="n">
        <v>3</v>
      </c>
      <c r="AM113" t="n">
        <v>3</v>
      </c>
      <c r="AN113" t="n">
        <v>0</v>
      </c>
      <c r="AO113" t="n">
        <v>0</v>
      </c>
      <c r="AP113" t="inlineStr">
        <is>
          <t>No</t>
        </is>
      </c>
      <c r="AQ113" t="inlineStr">
        <is>
          <t>Yes</t>
        </is>
      </c>
      <c r="AR113">
        <f>HYPERLINK("http://catalog.hathitrust.org/Record/001282175","HathiTrust Record")</f>
        <v/>
      </c>
      <c r="AS113">
        <f>HYPERLINK("https://creighton-primo.hosted.exlibrisgroup.com/primo-explore/search?tab=default_tab&amp;search_scope=EVERYTHING&amp;vid=01CRU&amp;lang=en_US&amp;offset=0&amp;query=any,contains,991003867609702656","Catalog Record")</f>
        <v/>
      </c>
      <c r="AT113">
        <f>HYPERLINK("http://www.worldcat.org/oclc/1683014","WorldCat Record")</f>
        <v/>
      </c>
      <c r="AU113" t="inlineStr">
        <is>
          <t>4020083903:eng</t>
        </is>
      </c>
      <c r="AV113" t="inlineStr">
        <is>
          <t>1683014</t>
        </is>
      </c>
      <c r="AW113" t="inlineStr">
        <is>
          <t>991003867609702656</t>
        </is>
      </c>
      <c r="AX113" t="inlineStr">
        <is>
          <t>991003867609702656</t>
        </is>
      </c>
      <c r="AY113" t="inlineStr">
        <is>
          <t>2272065590002656</t>
        </is>
      </c>
      <c r="AZ113" t="inlineStr">
        <is>
          <t>BOOK</t>
        </is>
      </c>
      <c r="BC113" t="inlineStr">
        <is>
          <t>32285000947522</t>
        </is>
      </c>
      <c r="BD113" t="inlineStr">
        <is>
          <t>893234734</t>
        </is>
      </c>
    </row>
    <row r="114">
      <c r="A114" t="inlineStr">
        <is>
          <t>No</t>
        </is>
      </c>
      <c r="B114" t="inlineStr">
        <is>
          <t>PE1128.A2 G64</t>
        </is>
      </c>
      <c r="C114" t="inlineStr">
        <is>
          <t>0                      PE 1128000A  2                  G  64</t>
        </is>
      </c>
      <c r="D114" t="inlineStr">
        <is>
          <t>Teaching English as a second language : an annotated bibliography / compiled by Wallace L. Goldstein.</t>
        </is>
      </c>
      <c r="F114" t="inlineStr">
        <is>
          <t>No</t>
        </is>
      </c>
      <c r="G114" t="inlineStr">
        <is>
          <t>1</t>
        </is>
      </c>
      <c r="H114" t="inlineStr">
        <is>
          <t>No</t>
        </is>
      </c>
      <c r="I114" t="inlineStr">
        <is>
          <t>No</t>
        </is>
      </c>
      <c r="J114" t="inlineStr">
        <is>
          <t>0</t>
        </is>
      </c>
      <c r="K114" t="inlineStr">
        <is>
          <t>Goldstein, Wallace L.</t>
        </is>
      </c>
      <c r="L114" t="inlineStr">
        <is>
          <t>New York : Garland Pub., 1975.</t>
        </is>
      </c>
      <c r="M114" t="inlineStr">
        <is>
          <t>1975</t>
        </is>
      </c>
      <c r="O114" t="inlineStr">
        <is>
          <t>eng</t>
        </is>
      </c>
      <c r="P114" t="inlineStr">
        <is>
          <t>nyu</t>
        </is>
      </c>
      <c r="Q114" t="inlineStr">
        <is>
          <t>Garland reference library of the humanities ; v. 23</t>
        </is>
      </c>
      <c r="R114" t="inlineStr">
        <is>
          <t xml:space="preserve">PE </t>
        </is>
      </c>
      <c r="S114" t="n">
        <v>2</v>
      </c>
      <c r="T114" t="n">
        <v>2</v>
      </c>
      <c r="U114" t="inlineStr">
        <is>
          <t>1996-04-02</t>
        </is>
      </c>
      <c r="V114" t="inlineStr">
        <is>
          <t>1996-04-02</t>
        </is>
      </c>
      <c r="W114" t="inlineStr">
        <is>
          <t>1992-02-26</t>
        </is>
      </c>
      <c r="X114" t="inlineStr">
        <is>
          <t>1992-02-26</t>
        </is>
      </c>
      <c r="Y114" t="n">
        <v>326</v>
      </c>
      <c r="Z114" t="n">
        <v>258</v>
      </c>
      <c r="AA114" t="n">
        <v>260</v>
      </c>
      <c r="AB114" t="n">
        <v>4</v>
      </c>
      <c r="AC114" t="n">
        <v>4</v>
      </c>
      <c r="AD114" t="n">
        <v>11</v>
      </c>
      <c r="AE114" t="n">
        <v>11</v>
      </c>
      <c r="AF114" t="n">
        <v>1</v>
      </c>
      <c r="AG114" t="n">
        <v>1</v>
      </c>
      <c r="AH114" t="n">
        <v>3</v>
      </c>
      <c r="AI114" t="n">
        <v>3</v>
      </c>
      <c r="AJ114" t="n">
        <v>6</v>
      </c>
      <c r="AK114" t="n">
        <v>6</v>
      </c>
      <c r="AL114" t="n">
        <v>3</v>
      </c>
      <c r="AM114" t="n">
        <v>3</v>
      </c>
      <c r="AN114" t="n">
        <v>0</v>
      </c>
      <c r="AO114" t="n">
        <v>0</v>
      </c>
      <c r="AP114" t="inlineStr">
        <is>
          <t>No</t>
        </is>
      </c>
      <c r="AQ114" t="inlineStr">
        <is>
          <t>Yes</t>
        </is>
      </c>
      <c r="AR114">
        <f>HYPERLINK("http://catalog.hathitrust.org/Record/000036071","HathiTrust Record")</f>
        <v/>
      </c>
      <c r="AS114">
        <f>HYPERLINK("https://creighton-primo.hosted.exlibrisgroup.com/primo-explore/search?tab=default_tab&amp;search_scope=EVERYTHING&amp;vid=01CRU&amp;lang=en_US&amp;offset=0&amp;query=any,contains,991003787129702656","Catalog Record")</f>
        <v/>
      </c>
      <c r="AT114">
        <f>HYPERLINK("http://www.worldcat.org/oclc/1502516","WorldCat Record")</f>
        <v/>
      </c>
      <c r="AU114" t="inlineStr">
        <is>
          <t>1216434596:eng</t>
        </is>
      </c>
      <c r="AV114" t="inlineStr">
        <is>
          <t>1502516</t>
        </is>
      </c>
      <c r="AW114" t="inlineStr">
        <is>
          <t>991003787129702656</t>
        </is>
      </c>
      <c r="AX114" t="inlineStr">
        <is>
          <t>991003787129702656</t>
        </is>
      </c>
      <c r="AY114" t="inlineStr">
        <is>
          <t>2263450620002656</t>
        </is>
      </c>
      <c r="AZ114" t="inlineStr">
        <is>
          <t>BOOK</t>
        </is>
      </c>
      <c r="BB114" t="inlineStr">
        <is>
          <t>9780824099916</t>
        </is>
      </c>
      <c r="BC114" t="inlineStr">
        <is>
          <t>32285000977107</t>
        </is>
      </c>
      <c r="BD114" t="inlineStr">
        <is>
          <t>893330804</t>
        </is>
      </c>
    </row>
    <row r="115">
      <c r="A115" t="inlineStr">
        <is>
          <t>No</t>
        </is>
      </c>
      <c r="B115" t="inlineStr">
        <is>
          <t>PE1128.A2 G641 1984</t>
        </is>
      </c>
      <c r="C115" t="inlineStr">
        <is>
          <t>0                      PE 1128000A  2                  G  641         1984</t>
        </is>
      </c>
      <c r="D115" t="inlineStr">
        <is>
          <t>Teaching English as a second language 2 : an annotated bibliography / Wallace L. Goldstein.</t>
        </is>
      </c>
      <c r="F115" t="inlineStr">
        <is>
          <t>No</t>
        </is>
      </c>
      <c r="G115" t="inlineStr">
        <is>
          <t>1</t>
        </is>
      </c>
      <c r="H115" t="inlineStr">
        <is>
          <t>No</t>
        </is>
      </c>
      <c r="I115" t="inlineStr">
        <is>
          <t>No</t>
        </is>
      </c>
      <c r="J115" t="inlineStr">
        <is>
          <t>0</t>
        </is>
      </c>
      <c r="K115" t="inlineStr">
        <is>
          <t>Goldstein, Wallace L.</t>
        </is>
      </c>
      <c r="L115" t="inlineStr">
        <is>
          <t>New York : Garland Pub., 1984.</t>
        </is>
      </c>
      <c r="M115" t="inlineStr">
        <is>
          <t>1984</t>
        </is>
      </c>
      <c r="O115" t="inlineStr">
        <is>
          <t>eng</t>
        </is>
      </c>
      <c r="P115" t="inlineStr">
        <is>
          <t>nyu</t>
        </is>
      </c>
      <c r="Q115" t="inlineStr">
        <is>
          <t>Garland reference library of social science ; v. 181</t>
        </is>
      </c>
      <c r="R115" t="inlineStr">
        <is>
          <t xml:space="preserve">PE </t>
        </is>
      </c>
      <c r="S115" t="n">
        <v>6</v>
      </c>
      <c r="T115" t="n">
        <v>6</v>
      </c>
      <c r="U115" t="inlineStr">
        <is>
          <t>1996-04-02</t>
        </is>
      </c>
      <c r="V115" t="inlineStr">
        <is>
          <t>1996-04-02</t>
        </is>
      </c>
      <c r="W115" t="inlineStr">
        <is>
          <t>1992-02-26</t>
        </is>
      </c>
      <c r="X115" t="inlineStr">
        <is>
          <t>1992-02-26</t>
        </is>
      </c>
      <c r="Y115" t="n">
        <v>219</v>
      </c>
      <c r="Z115" t="n">
        <v>177</v>
      </c>
      <c r="AA115" t="n">
        <v>182</v>
      </c>
      <c r="AB115" t="n">
        <v>2</v>
      </c>
      <c r="AC115" t="n">
        <v>2</v>
      </c>
      <c r="AD115" t="n">
        <v>3</v>
      </c>
      <c r="AE115" t="n">
        <v>3</v>
      </c>
      <c r="AF115" t="n">
        <v>0</v>
      </c>
      <c r="AG115" t="n">
        <v>0</v>
      </c>
      <c r="AH115" t="n">
        <v>1</v>
      </c>
      <c r="AI115" t="n">
        <v>1</v>
      </c>
      <c r="AJ115" t="n">
        <v>2</v>
      </c>
      <c r="AK115" t="n">
        <v>2</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HYPERLINK("https://creighton-primo.hosted.exlibrisgroup.com/primo-explore/search?tab=default_tab&amp;search_scope=EVERYTHING&amp;vid=01CRU&amp;lang=en_US&amp;offset=0&amp;query=any,contains,991000241979702656","Catalog Record")</f>
        <v/>
      </c>
      <c r="AT115">
        <f>HYPERLINK("http://www.worldcat.org/oclc/9684911","WorldCat Record")</f>
        <v/>
      </c>
      <c r="AU115" t="inlineStr">
        <is>
          <t>3372910429:eng</t>
        </is>
      </c>
      <c r="AV115" t="inlineStr">
        <is>
          <t>9684911</t>
        </is>
      </c>
      <c r="AW115" t="inlineStr">
        <is>
          <t>991000241979702656</t>
        </is>
      </c>
      <c r="AX115" t="inlineStr">
        <is>
          <t>991000241979702656</t>
        </is>
      </c>
      <c r="AY115" t="inlineStr">
        <is>
          <t>2260698970002656</t>
        </is>
      </c>
      <c r="AZ115" t="inlineStr">
        <is>
          <t>BOOK</t>
        </is>
      </c>
      <c r="BB115" t="inlineStr">
        <is>
          <t>9780824090975</t>
        </is>
      </c>
      <c r="BC115" t="inlineStr">
        <is>
          <t>32285000977099</t>
        </is>
      </c>
      <c r="BD115" t="inlineStr">
        <is>
          <t>893261409</t>
        </is>
      </c>
    </row>
    <row r="116">
      <c r="A116" t="inlineStr">
        <is>
          <t>No</t>
        </is>
      </c>
      <c r="B116" t="inlineStr">
        <is>
          <t>PE1128.A2 M253</t>
        </is>
      </c>
      <c r="C116" t="inlineStr">
        <is>
          <t>0                      PE 1128000A  2                  M  253</t>
        </is>
      </c>
      <c r="D116" t="inlineStr">
        <is>
          <t>101 word games for students of English as a second or foreign language / George P. McCallum.</t>
        </is>
      </c>
      <c r="F116" t="inlineStr">
        <is>
          <t>No</t>
        </is>
      </c>
      <c r="G116" t="inlineStr">
        <is>
          <t>1</t>
        </is>
      </c>
      <c r="H116" t="inlineStr">
        <is>
          <t>No</t>
        </is>
      </c>
      <c r="I116" t="inlineStr">
        <is>
          <t>No</t>
        </is>
      </c>
      <c r="J116" t="inlineStr">
        <is>
          <t>0</t>
        </is>
      </c>
      <c r="K116" t="inlineStr">
        <is>
          <t>McCallum, George P.</t>
        </is>
      </c>
      <c r="L116" t="inlineStr">
        <is>
          <t>New York : Oxford University Press, 1980.</t>
        </is>
      </c>
      <c r="M116" t="inlineStr">
        <is>
          <t>1980</t>
        </is>
      </c>
      <c r="O116" t="inlineStr">
        <is>
          <t>eng</t>
        </is>
      </c>
      <c r="P116" t="inlineStr">
        <is>
          <t>nyu</t>
        </is>
      </c>
      <c r="R116" t="inlineStr">
        <is>
          <t xml:space="preserve">PE </t>
        </is>
      </c>
      <c r="S116" t="n">
        <v>12</v>
      </c>
      <c r="T116" t="n">
        <v>12</v>
      </c>
      <c r="U116" t="inlineStr">
        <is>
          <t>2008-10-08</t>
        </is>
      </c>
      <c r="V116" t="inlineStr">
        <is>
          <t>2008-10-08</t>
        </is>
      </c>
      <c r="W116" t="inlineStr">
        <is>
          <t>1993-04-23</t>
        </is>
      </c>
      <c r="X116" t="inlineStr">
        <is>
          <t>1993-04-23</t>
        </is>
      </c>
      <c r="Y116" t="n">
        <v>360</v>
      </c>
      <c r="Z116" t="n">
        <v>198</v>
      </c>
      <c r="AA116" t="n">
        <v>203</v>
      </c>
      <c r="AB116" t="n">
        <v>2</v>
      </c>
      <c r="AC116" t="n">
        <v>2</v>
      </c>
      <c r="AD116" t="n">
        <v>7</v>
      </c>
      <c r="AE116" t="n">
        <v>7</v>
      </c>
      <c r="AF116" t="n">
        <v>3</v>
      </c>
      <c r="AG116" t="n">
        <v>3</v>
      </c>
      <c r="AH116" t="n">
        <v>2</v>
      </c>
      <c r="AI116" t="n">
        <v>2</v>
      </c>
      <c r="AJ116" t="n">
        <v>4</v>
      </c>
      <c r="AK116" t="n">
        <v>4</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HYPERLINK("https://creighton-primo.hosted.exlibrisgroup.com/primo-explore/search?tab=default_tab&amp;search_scope=EVERYTHING&amp;vid=01CRU&amp;lang=en_US&amp;offset=0&amp;query=any,contains,991004896279702656","Catalog Record")</f>
        <v/>
      </c>
      <c r="AT116">
        <f>HYPERLINK("http://www.worldcat.org/oclc/5894081","WorldCat Record")</f>
        <v/>
      </c>
      <c r="AU116" t="inlineStr">
        <is>
          <t>415102:eng</t>
        </is>
      </c>
      <c r="AV116" t="inlineStr">
        <is>
          <t>5894081</t>
        </is>
      </c>
      <c r="AW116" t="inlineStr">
        <is>
          <t>991004896279702656</t>
        </is>
      </c>
      <c r="AX116" t="inlineStr">
        <is>
          <t>991004896279702656</t>
        </is>
      </c>
      <c r="AY116" t="inlineStr">
        <is>
          <t>2264368720002656</t>
        </is>
      </c>
      <c r="AZ116" t="inlineStr">
        <is>
          <t>BOOK</t>
        </is>
      </c>
      <c r="BB116" t="inlineStr">
        <is>
          <t>9780195027426</t>
        </is>
      </c>
      <c r="BC116" t="inlineStr">
        <is>
          <t>32285001646495</t>
        </is>
      </c>
      <c r="BD116" t="inlineStr">
        <is>
          <t>893350476</t>
        </is>
      </c>
    </row>
    <row r="117">
      <c r="A117" t="inlineStr">
        <is>
          <t>No</t>
        </is>
      </c>
      <c r="B117" t="inlineStr">
        <is>
          <t>PE1128.A2 N66</t>
        </is>
      </c>
      <c r="C117" t="inlineStr">
        <is>
          <t>0                      PE 1128000A  2                  N  66</t>
        </is>
      </c>
      <c r="D117" t="inlineStr">
        <is>
          <t>Preparing and using aids for English language teaching / Noor Azlina Yunus.</t>
        </is>
      </c>
      <c r="F117" t="inlineStr">
        <is>
          <t>No</t>
        </is>
      </c>
      <c r="G117" t="inlineStr">
        <is>
          <t>1</t>
        </is>
      </c>
      <c r="H117" t="inlineStr">
        <is>
          <t>No</t>
        </is>
      </c>
      <c r="I117" t="inlineStr">
        <is>
          <t>No</t>
        </is>
      </c>
      <c r="J117" t="inlineStr">
        <is>
          <t>0</t>
        </is>
      </c>
      <c r="K117" t="inlineStr">
        <is>
          <t>Yunus, Noor Azlina.</t>
        </is>
      </c>
      <c r="L117" t="inlineStr">
        <is>
          <t>Kuala Lumpur [Malaysia] ; New York : Oxford University Press, 1981.</t>
        </is>
      </c>
      <c r="M117" t="inlineStr">
        <is>
          <t>1981</t>
        </is>
      </c>
      <c r="O117" t="inlineStr">
        <is>
          <t>eng</t>
        </is>
      </c>
      <c r="P117" t="inlineStr">
        <is>
          <t xml:space="preserve">my </t>
        </is>
      </c>
      <c r="R117" t="inlineStr">
        <is>
          <t xml:space="preserve">PE </t>
        </is>
      </c>
      <c r="S117" t="n">
        <v>3</v>
      </c>
      <c r="T117" t="n">
        <v>3</v>
      </c>
      <c r="U117" t="inlineStr">
        <is>
          <t>1994-06-16</t>
        </is>
      </c>
      <c r="V117" t="inlineStr">
        <is>
          <t>1994-06-16</t>
        </is>
      </c>
      <c r="W117" t="inlineStr">
        <is>
          <t>1990-06-05</t>
        </is>
      </c>
      <c r="X117" t="inlineStr">
        <is>
          <t>1990-06-05</t>
        </is>
      </c>
      <c r="Y117" t="n">
        <v>103</v>
      </c>
      <c r="Z117" t="n">
        <v>76</v>
      </c>
      <c r="AA117" t="n">
        <v>81</v>
      </c>
      <c r="AB117" t="n">
        <v>1</v>
      </c>
      <c r="AC117" t="n">
        <v>1</v>
      </c>
      <c r="AD117" t="n">
        <v>1</v>
      </c>
      <c r="AE117" t="n">
        <v>1</v>
      </c>
      <c r="AF117" t="n">
        <v>1</v>
      </c>
      <c r="AG117" t="n">
        <v>1</v>
      </c>
      <c r="AH117" t="n">
        <v>0</v>
      </c>
      <c r="AI117" t="n">
        <v>0</v>
      </c>
      <c r="AJ117" t="n">
        <v>0</v>
      </c>
      <c r="AK117" t="n">
        <v>0</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HYPERLINK("https://creighton-primo.hosted.exlibrisgroup.com/primo-explore/search?tab=default_tab&amp;search_scope=EVERYTHING&amp;vid=01CRU&amp;lang=en_US&amp;offset=0&amp;query=any,contains,991000048559702656","Catalog Record")</f>
        <v/>
      </c>
      <c r="AT117">
        <f>HYPERLINK("http://www.worldcat.org/oclc/8673033","WorldCat Record")</f>
        <v/>
      </c>
      <c r="AU117" t="inlineStr">
        <is>
          <t>4202920503:eng</t>
        </is>
      </c>
      <c r="AV117" t="inlineStr">
        <is>
          <t>8673033</t>
        </is>
      </c>
      <c r="AW117" t="inlineStr">
        <is>
          <t>991000048559702656</t>
        </is>
      </c>
      <c r="AX117" t="inlineStr">
        <is>
          <t>991000048559702656</t>
        </is>
      </c>
      <c r="AY117" t="inlineStr">
        <is>
          <t>2272003790002656</t>
        </is>
      </c>
      <c r="AZ117" t="inlineStr">
        <is>
          <t>BOOK</t>
        </is>
      </c>
      <c r="BB117" t="inlineStr">
        <is>
          <t>9780195818093</t>
        </is>
      </c>
      <c r="BC117" t="inlineStr">
        <is>
          <t>32285000181981</t>
        </is>
      </c>
      <c r="BD117" t="inlineStr">
        <is>
          <t>893314624</t>
        </is>
      </c>
    </row>
    <row r="118">
      <c r="A118" t="inlineStr">
        <is>
          <t>No</t>
        </is>
      </c>
      <c r="B118" t="inlineStr">
        <is>
          <t>PE1128.A2 P33</t>
        </is>
      </c>
      <c r="C118" t="inlineStr">
        <is>
          <t>0                      PE 1128000A  2                  P  33</t>
        </is>
      </c>
      <c r="D118" t="inlineStr">
        <is>
          <t>English as a second language / by Christina Bratt Paulston.</t>
        </is>
      </c>
      <c r="F118" t="inlineStr">
        <is>
          <t>No</t>
        </is>
      </c>
      <c r="G118" t="inlineStr">
        <is>
          <t>1</t>
        </is>
      </c>
      <c r="H118" t="inlineStr">
        <is>
          <t>No</t>
        </is>
      </c>
      <c r="I118" t="inlineStr">
        <is>
          <t>No</t>
        </is>
      </c>
      <c r="J118" t="inlineStr">
        <is>
          <t>0</t>
        </is>
      </c>
      <c r="K118" t="inlineStr">
        <is>
          <t>Paulston, Christina Bratt, 1932-</t>
        </is>
      </c>
      <c r="L118" t="inlineStr">
        <is>
          <t>Washington, D.C. : National Education Association, c1980.</t>
        </is>
      </c>
      <c r="M118" t="inlineStr">
        <is>
          <t>1980</t>
        </is>
      </c>
      <c r="O118" t="inlineStr">
        <is>
          <t>eng</t>
        </is>
      </c>
      <c r="P118" t="inlineStr">
        <is>
          <t>dcu</t>
        </is>
      </c>
      <c r="Q118" t="inlineStr">
        <is>
          <t>What research says to the teacher</t>
        </is>
      </c>
      <c r="R118" t="inlineStr">
        <is>
          <t xml:space="preserve">PE </t>
        </is>
      </c>
      <c r="S118" t="n">
        <v>1</v>
      </c>
      <c r="T118" t="n">
        <v>1</v>
      </c>
      <c r="U118" t="inlineStr">
        <is>
          <t>2008-10-08</t>
        </is>
      </c>
      <c r="V118" t="inlineStr">
        <is>
          <t>2008-10-08</t>
        </is>
      </c>
      <c r="W118" t="inlineStr">
        <is>
          <t>2004-12-13</t>
        </is>
      </c>
      <c r="X118" t="inlineStr">
        <is>
          <t>2004-12-13</t>
        </is>
      </c>
      <c r="Y118" t="n">
        <v>383</v>
      </c>
      <c r="Z118" t="n">
        <v>370</v>
      </c>
      <c r="AA118" t="n">
        <v>372</v>
      </c>
      <c r="AB118" t="n">
        <v>6</v>
      </c>
      <c r="AC118" t="n">
        <v>6</v>
      </c>
      <c r="AD118" t="n">
        <v>19</v>
      </c>
      <c r="AE118" t="n">
        <v>19</v>
      </c>
      <c r="AF118" t="n">
        <v>9</v>
      </c>
      <c r="AG118" t="n">
        <v>9</v>
      </c>
      <c r="AH118" t="n">
        <v>3</v>
      </c>
      <c r="AI118" t="n">
        <v>3</v>
      </c>
      <c r="AJ118" t="n">
        <v>10</v>
      </c>
      <c r="AK118" t="n">
        <v>10</v>
      </c>
      <c r="AL118" t="n">
        <v>5</v>
      </c>
      <c r="AM118" t="n">
        <v>5</v>
      </c>
      <c r="AN118" t="n">
        <v>0</v>
      </c>
      <c r="AO118" t="n">
        <v>0</v>
      </c>
      <c r="AP118" t="inlineStr">
        <is>
          <t>No</t>
        </is>
      </c>
      <c r="AQ118" t="inlineStr">
        <is>
          <t>Yes</t>
        </is>
      </c>
      <c r="AR118">
        <f>HYPERLINK("http://catalog.hathitrust.org/Record/000731604","HathiTrust Record")</f>
        <v/>
      </c>
      <c r="AS118">
        <f>HYPERLINK("https://creighton-primo.hosted.exlibrisgroup.com/primo-explore/search?tab=default_tab&amp;search_scope=EVERYTHING&amp;vid=01CRU&amp;lang=en_US&amp;offset=0&amp;query=any,contains,991004437269702656","Catalog Record")</f>
        <v/>
      </c>
      <c r="AT118">
        <f>HYPERLINK("http://www.worldcat.org/oclc/6554366","WorldCat Record")</f>
        <v/>
      </c>
      <c r="AU118" t="inlineStr">
        <is>
          <t>3740818228:eng</t>
        </is>
      </c>
      <c r="AV118" t="inlineStr">
        <is>
          <t>6554366</t>
        </is>
      </c>
      <c r="AW118" t="inlineStr">
        <is>
          <t>991004437269702656</t>
        </is>
      </c>
      <c r="AX118" t="inlineStr">
        <is>
          <t>991004437269702656</t>
        </is>
      </c>
      <c r="AY118" t="inlineStr">
        <is>
          <t>2255230850002656</t>
        </is>
      </c>
      <c r="AZ118" t="inlineStr">
        <is>
          <t>BOOK</t>
        </is>
      </c>
      <c r="BB118" t="inlineStr">
        <is>
          <t>9780810610514</t>
        </is>
      </c>
      <c r="BC118" t="inlineStr">
        <is>
          <t>32285001646503</t>
        </is>
      </c>
      <c r="BD118" t="inlineStr">
        <is>
          <t>893628159</t>
        </is>
      </c>
    </row>
    <row r="119">
      <c r="A119" t="inlineStr">
        <is>
          <t>No</t>
        </is>
      </c>
      <c r="B119" t="inlineStr">
        <is>
          <t>PE1128.A2 P34</t>
        </is>
      </c>
      <c r="C119" t="inlineStr">
        <is>
          <t>0                      PE 1128000A  2                  P  34</t>
        </is>
      </c>
      <c r="D119" t="inlineStr">
        <is>
          <t>Teaching English as a second language : techniques and procedures / Christina Bratt Paulston, Mary Newton Bruder.</t>
        </is>
      </c>
      <c r="F119" t="inlineStr">
        <is>
          <t>No</t>
        </is>
      </c>
      <c r="G119" t="inlineStr">
        <is>
          <t>1</t>
        </is>
      </c>
      <c r="H119" t="inlineStr">
        <is>
          <t>No</t>
        </is>
      </c>
      <c r="I119" t="inlineStr">
        <is>
          <t>No</t>
        </is>
      </c>
      <c r="J119" t="inlineStr">
        <is>
          <t>0</t>
        </is>
      </c>
      <c r="K119" t="inlineStr">
        <is>
          <t>Paulston, Christina Bratt, 1932-</t>
        </is>
      </c>
      <c r="L119" t="inlineStr">
        <is>
          <t>Cambridge, Mass. : Winthrop Publishers, c1976.</t>
        </is>
      </c>
      <c r="M119" t="inlineStr">
        <is>
          <t>1976</t>
        </is>
      </c>
      <c r="O119" t="inlineStr">
        <is>
          <t>eng</t>
        </is>
      </c>
      <c r="P119" t="inlineStr">
        <is>
          <t>mau</t>
        </is>
      </c>
      <c r="R119" t="inlineStr">
        <is>
          <t xml:space="preserve">PE </t>
        </is>
      </c>
      <c r="S119" t="n">
        <v>11</v>
      </c>
      <c r="T119" t="n">
        <v>11</v>
      </c>
      <c r="U119" t="inlineStr">
        <is>
          <t>2008-10-08</t>
        </is>
      </c>
      <c r="V119" t="inlineStr">
        <is>
          <t>2008-10-08</t>
        </is>
      </c>
      <c r="W119" t="inlineStr">
        <is>
          <t>1994-07-20</t>
        </is>
      </c>
      <c r="X119" t="inlineStr">
        <is>
          <t>1994-07-20</t>
        </is>
      </c>
      <c r="Y119" t="n">
        <v>622</v>
      </c>
      <c r="Z119" t="n">
        <v>477</v>
      </c>
      <c r="AA119" t="n">
        <v>534</v>
      </c>
      <c r="AB119" t="n">
        <v>3</v>
      </c>
      <c r="AC119" t="n">
        <v>4</v>
      </c>
      <c r="AD119" t="n">
        <v>21</v>
      </c>
      <c r="AE119" t="n">
        <v>24</v>
      </c>
      <c r="AF119" t="n">
        <v>12</v>
      </c>
      <c r="AG119" t="n">
        <v>13</v>
      </c>
      <c r="AH119" t="n">
        <v>4</v>
      </c>
      <c r="AI119" t="n">
        <v>4</v>
      </c>
      <c r="AJ119" t="n">
        <v>9</v>
      </c>
      <c r="AK119" t="n">
        <v>11</v>
      </c>
      <c r="AL119" t="n">
        <v>2</v>
      </c>
      <c r="AM119" t="n">
        <v>3</v>
      </c>
      <c r="AN119" t="n">
        <v>0</v>
      </c>
      <c r="AO119" t="n">
        <v>0</v>
      </c>
      <c r="AP119" t="inlineStr">
        <is>
          <t>No</t>
        </is>
      </c>
      <c r="AQ119" t="inlineStr">
        <is>
          <t>Yes</t>
        </is>
      </c>
      <c r="AR119">
        <f>HYPERLINK("http://catalog.hathitrust.org/Record/004418960","HathiTrust Record")</f>
        <v/>
      </c>
      <c r="AS119">
        <f>HYPERLINK("https://creighton-primo.hosted.exlibrisgroup.com/primo-explore/search?tab=default_tab&amp;search_scope=EVERYTHING&amp;vid=01CRU&amp;lang=en_US&amp;offset=0&amp;query=any,contains,991003946529702656","Catalog Record")</f>
        <v/>
      </c>
      <c r="AT119">
        <f>HYPERLINK("http://www.worldcat.org/oclc/1945589","WorldCat Record")</f>
        <v/>
      </c>
      <c r="AU119" t="inlineStr">
        <is>
          <t>3768943436:eng</t>
        </is>
      </c>
      <c r="AV119" t="inlineStr">
        <is>
          <t>1945589</t>
        </is>
      </c>
      <c r="AW119" t="inlineStr">
        <is>
          <t>991003946529702656</t>
        </is>
      </c>
      <c r="AX119" t="inlineStr">
        <is>
          <t>991003946529702656</t>
        </is>
      </c>
      <c r="AY119" t="inlineStr">
        <is>
          <t>2264784790002656</t>
        </is>
      </c>
      <c r="AZ119" t="inlineStr">
        <is>
          <t>BOOK</t>
        </is>
      </c>
      <c r="BC119" t="inlineStr">
        <is>
          <t>32285001936953</t>
        </is>
      </c>
      <c r="BD119" t="inlineStr">
        <is>
          <t>893894391</t>
        </is>
      </c>
    </row>
    <row r="120">
      <c r="A120" t="inlineStr">
        <is>
          <t>No</t>
        </is>
      </c>
      <c r="B120" t="inlineStr">
        <is>
          <t>PE1128.A2 P4</t>
        </is>
      </c>
      <c r="C120" t="inlineStr">
        <is>
          <t>0                      PE 1128000A  2                  P  4</t>
        </is>
      </c>
      <c r="D120" t="inlineStr">
        <is>
          <t>Teachers of English as a second language: their training and preparation; edited, with an introduction, by G. E. Perren.</t>
        </is>
      </c>
      <c r="F120" t="inlineStr">
        <is>
          <t>No</t>
        </is>
      </c>
      <c r="G120" t="inlineStr">
        <is>
          <t>1</t>
        </is>
      </c>
      <c r="H120" t="inlineStr">
        <is>
          <t>No</t>
        </is>
      </c>
      <c r="I120" t="inlineStr">
        <is>
          <t>No</t>
        </is>
      </c>
      <c r="J120" t="inlineStr">
        <is>
          <t>0</t>
        </is>
      </c>
      <c r="K120" t="inlineStr">
        <is>
          <t>Perren, G. E.</t>
        </is>
      </c>
      <c r="L120" t="inlineStr">
        <is>
          <t>London, Cambridge U.P., 1968.</t>
        </is>
      </c>
      <c r="M120" t="inlineStr">
        <is>
          <t>1968</t>
        </is>
      </c>
      <c r="O120" t="inlineStr">
        <is>
          <t>eng</t>
        </is>
      </c>
      <c r="P120" t="inlineStr">
        <is>
          <t>enk</t>
        </is>
      </c>
      <c r="R120" t="inlineStr">
        <is>
          <t xml:space="preserve">PE </t>
        </is>
      </c>
      <c r="S120" t="n">
        <v>6</v>
      </c>
      <c r="T120" t="n">
        <v>6</v>
      </c>
      <c r="U120" t="inlineStr">
        <is>
          <t>2003-03-24</t>
        </is>
      </c>
      <c r="V120" t="inlineStr">
        <is>
          <t>2003-03-24</t>
        </is>
      </c>
      <c r="W120" t="inlineStr">
        <is>
          <t>1992-02-18</t>
        </is>
      </c>
      <c r="X120" t="inlineStr">
        <is>
          <t>1992-02-18</t>
        </is>
      </c>
      <c r="Y120" t="n">
        <v>367</v>
      </c>
      <c r="Z120" t="n">
        <v>220</v>
      </c>
      <c r="AA120" t="n">
        <v>235</v>
      </c>
      <c r="AB120" t="n">
        <v>2</v>
      </c>
      <c r="AC120" t="n">
        <v>2</v>
      </c>
      <c r="AD120" t="n">
        <v>9</v>
      </c>
      <c r="AE120" t="n">
        <v>10</v>
      </c>
      <c r="AF120" t="n">
        <v>3</v>
      </c>
      <c r="AG120" t="n">
        <v>3</v>
      </c>
      <c r="AH120" t="n">
        <v>1</v>
      </c>
      <c r="AI120" t="n">
        <v>2</v>
      </c>
      <c r="AJ120" t="n">
        <v>6</v>
      </c>
      <c r="AK120" t="n">
        <v>6</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HYPERLINK("https://creighton-primo.hosted.exlibrisgroup.com/primo-explore/search?tab=default_tab&amp;search_scope=EVERYTHING&amp;vid=01CRU&amp;lang=en_US&amp;offset=0&amp;query=any,contains,991002299549702656","Catalog Record")</f>
        <v/>
      </c>
      <c r="AT120">
        <f>HYPERLINK("http://www.worldcat.org/oclc/316964","WorldCat Record")</f>
        <v/>
      </c>
      <c r="AU120" t="inlineStr">
        <is>
          <t>23969986:eng</t>
        </is>
      </c>
      <c r="AV120" t="inlineStr">
        <is>
          <t>316964</t>
        </is>
      </c>
      <c r="AW120" t="inlineStr">
        <is>
          <t>991002299549702656</t>
        </is>
      </c>
      <c r="AX120" t="inlineStr">
        <is>
          <t>991002299549702656</t>
        </is>
      </c>
      <c r="AY120" t="inlineStr">
        <is>
          <t>2269470610002656</t>
        </is>
      </c>
      <c r="AZ120" t="inlineStr">
        <is>
          <t>BOOK</t>
        </is>
      </c>
      <c r="BB120" t="inlineStr">
        <is>
          <t>9780521070829</t>
        </is>
      </c>
      <c r="BC120" t="inlineStr">
        <is>
          <t>32285000947530</t>
        </is>
      </c>
      <c r="BD120" t="inlineStr">
        <is>
          <t>893504255</t>
        </is>
      </c>
    </row>
    <row r="121">
      <c r="A121" t="inlineStr">
        <is>
          <t>No</t>
        </is>
      </c>
      <c r="B121" t="inlineStr">
        <is>
          <t>PE1128.A2 P516 2003</t>
        </is>
      </c>
      <c r="C121" t="inlineStr">
        <is>
          <t>0                      PE 1128000A  2                  P  516         2003</t>
        </is>
      </c>
      <c r="D121" t="inlineStr">
        <is>
          <t>Assessing English language learners / Lorraine Valdez-Pierce.</t>
        </is>
      </c>
      <c r="F121" t="inlineStr">
        <is>
          <t>No</t>
        </is>
      </c>
      <c r="G121" t="inlineStr">
        <is>
          <t>1</t>
        </is>
      </c>
      <c r="H121" t="inlineStr">
        <is>
          <t>No</t>
        </is>
      </c>
      <c r="I121" t="inlineStr">
        <is>
          <t>No</t>
        </is>
      </c>
      <c r="J121" t="inlineStr">
        <is>
          <t>0</t>
        </is>
      </c>
      <c r="K121" t="inlineStr">
        <is>
          <t>Pierce, Lorraine Valdez, 1952-</t>
        </is>
      </c>
      <c r="L121" t="inlineStr">
        <is>
          <t>Washington, D.C. : National Education Association, 2003.</t>
        </is>
      </c>
      <c r="M121" t="inlineStr">
        <is>
          <t>2003</t>
        </is>
      </c>
      <c r="O121" t="inlineStr">
        <is>
          <t>eng</t>
        </is>
      </c>
      <c r="P121" t="inlineStr">
        <is>
          <t>dcu</t>
        </is>
      </c>
      <c r="Q121" t="inlineStr">
        <is>
          <t>Student assessment series</t>
        </is>
      </c>
      <c r="R121" t="inlineStr">
        <is>
          <t xml:space="preserve">PE </t>
        </is>
      </c>
      <c r="S121" t="n">
        <v>3</v>
      </c>
      <c r="T121" t="n">
        <v>3</v>
      </c>
      <c r="U121" t="inlineStr">
        <is>
          <t>2006-11-05</t>
        </is>
      </c>
      <c r="V121" t="inlineStr">
        <is>
          <t>2006-11-05</t>
        </is>
      </c>
      <c r="W121" t="inlineStr">
        <is>
          <t>2003-09-09</t>
        </is>
      </c>
      <c r="X121" t="inlineStr">
        <is>
          <t>2003-09-09</t>
        </is>
      </c>
      <c r="Y121" t="n">
        <v>214</v>
      </c>
      <c r="Z121" t="n">
        <v>199</v>
      </c>
      <c r="AA121" t="n">
        <v>199</v>
      </c>
      <c r="AB121" t="n">
        <v>3</v>
      </c>
      <c r="AC121" t="n">
        <v>3</v>
      </c>
      <c r="AD121" t="n">
        <v>9</v>
      </c>
      <c r="AE121" t="n">
        <v>9</v>
      </c>
      <c r="AF121" t="n">
        <v>4</v>
      </c>
      <c r="AG121" t="n">
        <v>4</v>
      </c>
      <c r="AH121" t="n">
        <v>1</v>
      </c>
      <c r="AI121" t="n">
        <v>1</v>
      </c>
      <c r="AJ121" t="n">
        <v>5</v>
      </c>
      <c r="AK121" t="n">
        <v>5</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HYPERLINK("https://creighton-primo.hosted.exlibrisgroup.com/primo-explore/search?tab=default_tab&amp;search_scope=EVERYTHING&amp;vid=01CRU&amp;lang=en_US&amp;offset=0&amp;query=any,contains,991004116919702656","Catalog Record")</f>
        <v/>
      </c>
      <c r="AT121">
        <f>HYPERLINK("http://www.worldcat.org/oclc/51931164","WorldCat Record")</f>
        <v/>
      </c>
      <c r="AU121" t="inlineStr">
        <is>
          <t>704489:eng</t>
        </is>
      </c>
      <c r="AV121" t="inlineStr">
        <is>
          <t>51931164</t>
        </is>
      </c>
      <c r="AW121" t="inlineStr">
        <is>
          <t>991004116919702656</t>
        </is>
      </c>
      <c r="AX121" t="inlineStr">
        <is>
          <t>991004116919702656</t>
        </is>
      </c>
      <c r="AY121" t="inlineStr">
        <is>
          <t>2263217300002656</t>
        </is>
      </c>
      <c r="AZ121" t="inlineStr">
        <is>
          <t>BOOK</t>
        </is>
      </c>
      <c r="BB121" t="inlineStr">
        <is>
          <t>9780810620766</t>
        </is>
      </c>
      <c r="BC121" t="inlineStr">
        <is>
          <t>32285004782073</t>
        </is>
      </c>
      <c r="BD121" t="inlineStr">
        <is>
          <t>893599452</t>
        </is>
      </c>
    </row>
    <row r="122">
      <c r="A122" t="inlineStr">
        <is>
          <t>No</t>
        </is>
      </c>
      <c r="B122" t="inlineStr">
        <is>
          <t>PE1128.A2 R493 1989</t>
        </is>
      </c>
      <c r="C122" t="inlineStr">
        <is>
          <t>0                      PE 1128000A  2                  R  493         1989</t>
        </is>
      </c>
      <c r="D122" t="inlineStr">
        <is>
          <t>Richness in writing : empowering ESL students / edited by Donna M. Johnson, Duane H. Roen.</t>
        </is>
      </c>
      <c r="F122" t="inlineStr">
        <is>
          <t>No</t>
        </is>
      </c>
      <c r="G122" t="inlineStr">
        <is>
          <t>1</t>
        </is>
      </c>
      <c r="H122" t="inlineStr">
        <is>
          <t>No</t>
        </is>
      </c>
      <c r="I122" t="inlineStr">
        <is>
          <t>No</t>
        </is>
      </c>
      <c r="J122" t="inlineStr">
        <is>
          <t>0</t>
        </is>
      </c>
      <c r="L122" t="inlineStr">
        <is>
          <t>New York : Longman, c1989.</t>
        </is>
      </c>
      <c r="M122" t="inlineStr">
        <is>
          <t>1989</t>
        </is>
      </c>
      <c r="O122" t="inlineStr">
        <is>
          <t>eng</t>
        </is>
      </c>
      <c r="P122" t="inlineStr">
        <is>
          <t>nyu</t>
        </is>
      </c>
      <c r="R122" t="inlineStr">
        <is>
          <t xml:space="preserve">PE </t>
        </is>
      </c>
      <c r="S122" t="n">
        <v>10</v>
      </c>
      <c r="T122" t="n">
        <v>10</v>
      </c>
      <c r="U122" t="inlineStr">
        <is>
          <t>1998-11-17</t>
        </is>
      </c>
      <c r="V122" t="inlineStr">
        <is>
          <t>1998-11-17</t>
        </is>
      </c>
      <c r="W122" t="inlineStr">
        <is>
          <t>1992-04-22</t>
        </is>
      </c>
      <c r="X122" t="inlineStr">
        <is>
          <t>1992-04-22</t>
        </is>
      </c>
      <c r="Y122" t="n">
        <v>326</v>
      </c>
      <c r="Z122" t="n">
        <v>283</v>
      </c>
      <c r="AA122" t="n">
        <v>287</v>
      </c>
      <c r="AB122" t="n">
        <v>4</v>
      </c>
      <c r="AC122" t="n">
        <v>4</v>
      </c>
      <c r="AD122" t="n">
        <v>13</v>
      </c>
      <c r="AE122" t="n">
        <v>13</v>
      </c>
      <c r="AF122" t="n">
        <v>2</v>
      </c>
      <c r="AG122" t="n">
        <v>2</v>
      </c>
      <c r="AH122" t="n">
        <v>2</v>
      </c>
      <c r="AI122" t="n">
        <v>2</v>
      </c>
      <c r="AJ122" t="n">
        <v>7</v>
      </c>
      <c r="AK122" t="n">
        <v>7</v>
      </c>
      <c r="AL122" t="n">
        <v>3</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HYPERLINK("https://creighton-primo.hosted.exlibrisgroup.com/primo-explore/search?tab=default_tab&amp;search_scope=EVERYTHING&amp;vid=01CRU&amp;lang=en_US&amp;offset=0&amp;query=any,contains,991001362169702656","Catalog Record")</f>
        <v/>
      </c>
      <c r="AT122">
        <f>HYPERLINK("http://www.worldcat.org/oclc/18522367","WorldCat Record")</f>
        <v/>
      </c>
      <c r="AU122" t="inlineStr">
        <is>
          <t>368884347:eng</t>
        </is>
      </c>
      <c r="AV122" t="inlineStr">
        <is>
          <t>18522367</t>
        </is>
      </c>
      <c r="AW122" t="inlineStr">
        <is>
          <t>991001362169702656</t>
        </is>
      </c>
      <c r="AX122" t="inlineStr">
        <is>
          <t>991001362169702656</t>
        </is>
      </c>
      <c r="AY122" t="inlineStr">
        <is>
          <t>2267706760002656</t>
        </is>
      </c>
      <c r="AZ122" t="inlineStr">
        <is>
          <t>BOOK</t>
        </is>
      </c>
      <c r="BB122" t="inlineStr">
        <is>
          <t>9780801301766</t>
        </is>
      </c>
      <c r="BC122" t="inlineStr">
        <is>
          <t>32285001036861</t>
        </is>
      </c>
      <c r="BD122" t="inlineStr">
        <is>
          <t>893528901</t>
        </is>
      </c>
    </row>
    <row r="123">
      <c r="A123" t="inlineStr">
        <is>
          <t>No</t>
        </is>
      </c>
      <c r="B123" t="inlineStr">
        <is>
          <t>PE1128.A2 S599 1999</t>
        </is>
      </c>
      <c r="C123" t="inlineStr">
        <is>
          <t>0                      PE 1128000A  2                  S  599         1999</t>
        </is>
      </c>
      <c r="D123" t="inlineStr">
        <is>
          <t>So much to say : adolescents, bilingualism, and ESL in the secondary school / Christian J. Faltis, Paula M. Wolfe, editors.</t>
        </is>
      </c>
      <c r="F123" t="inlineStr">
        <is>
          <t>No</t>
        </is>
      </c>
      <c r="G123" t="inlineStr">
        <is>
          <t>1</t>
        </is>
      </c>
      <c r="H123" t="inlineStr">
        <is>
          <t>No</t>
        </is>
      </c>
      <c r="I123" t="inlineStr">
        <is>
          <t>No</t>
        </is>
      </c>
      <c r="J123" t="inlineStr">
        <is>
          <t>0</t>
        </is>
      </c>
      <c r="L123" t="inlineStr">
        <is>
          <t>New York : Teachers College Press, c1999.</t>
        </is>
      </c>
      <c r="M123" t="inlineStr">
        <is>
          <t>1999</t>
        </is>
      </c>
      <c r="O123" t="inlineStr">
        <is>
          <t>eng</t>
        </is>
      </c>
      <c r="P123" t="inlineStr">
        <is>
          <t>nyu</t>
        </is>
      </c>
      <c r="Q123" t="inlineStr">
        <is>
          <t>Language and literacy series</t>
        </is>
      </c>
      <c r="R123" t="inlineStr">
        <is>
          <t xml:space="preserve">PE </t>
        </is>
      </c>
      <c r="S123" t="n">
        <v>15</v>
      </c>
      <c r="T123" t="n">
        <v>15</v>
      </c>
      <c r="U123" t="inlineStr">
        <is>
          <t>2008-05-31</t>
        </is>
      </c>
      <c r="V123" t="inlineStr">
        <is>
          <t>2008-05-31</t>
        </is>
      </c>
      <c r="W123" t="inlineStr">
        <is>
          <t>2002-04-18</t>
        </is>
      </c>
      <c r="X123" t="inlineStr">
        <is>
          <t>2002-04-18</t>
        </is>
      </c>
      <c r="Y123" t="n">
        <v>470</v>
      </c>
      <c r="Z123" t="n">
        <v>433</v>
      </c>
      <c r="AA123" t="n">
        <v>437</v>
      </c>
      <c r="AB123" t="n">
        <v>6</v>
      </c>
      <c r="AC123" t="n">
        <v>6</v>
      </c>
      <c r="AD123" t="n">
        <v>26</v>
      </c>
      <c r="AE123" t="n">
        <v>26</v>
      </c>
      <c r="AF123" t="n">
        <v>10</v>
      </c>
      <c r="AG123" t="n">
        <v>10</v>
      </c>
      <c r="AH123" t="n">
        <v>7</v>
      </c>
      <c r="AI123" t="n">
        <v>7</v>
      </c>
      <c r="AJ123" t="n">
        <v>11</v>
      </c>
      <c r="AK123" t="n">
        <v>11</v>
      </c>
      <c r="AL123" t="n">
        <v>5</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HYPERLINK("https://creighton-primo.hosted.exlibrisgroup.com/primo-explore/search?tab=default_tab&amp;search_scope=EVERYTHING&amp;vid=01CRU&amp;lang=en_US&amp;offset=0&amp;query=any,contains,991003794149702656","Catalog Record")</f>
        <v/>
      </c>
      <c r="AT123">
        <f>HYPERLINK("http://www.worldcat.org/oclc/39556476","WorldCat Record")</f>
        <v/>
      </c>
      <c r="AU123" t="inlineStr">
        <is>
          <t>358141782:eng</t>
        </is>
      </c>
      <c r="AV123" t="inlineStr">
        <is>
          <t>39556476</t>
        </is>
      </c>
      <c r="AW123" t="inlineStr">
        <is>
          <t>991003794149702656</t>
        </is>
      </c>
      <c r="AX123" t="inlineStr">
        <is>
          <t>991003794149702656</t>
        </is>
      </c>
      <c r="AY123" t="inlineStr">
        <is>
          <t>2263887620002656</t>
        </is>
      </c>
      <c r="AZ123" t="inlineStr">
        <is>
          <t>BOOK</t>
        </is>
      </c>
      <c r="BB123" t="inlineStr">
        <is>
          <t>9780807737965</t>
        </is>
      </c>
      <c r="BC123" t="inlineStr">
        <is>
          <t>32285004481445</t>
        </is>
      </c>
      <c r="BD123" t="inlineStr">
        <is>
          <t>893881554</t>
        </is>
      </c>
    </row>
    <row r="124">
      <c r="A124" t="inlineStr">
        <is>
          <t>No</t>
        </is>
      </c>
      <c r="B124" t="inlineStr">
        <is>
          <t>PE1128.A2 S8</t>
        </is>
      </c>
      <c r="C124" t="inlineStr">
        <is>
          <t>0                      PE 1128000A  2                  S  8</t>
        </is>
      </c>
      <c r="D124" t="inlineStr">
        <is>
          <t>Helping people learn English; a manual for teachers of English as a second language.</t>
        </is>
      </c>
      <c r="F124" t="inlineStr">
        <is>
          <t>No</t>
        </is>
      </c>
      <c r="G124" t="inlineStr">
        <is>
          <t>1</t>
        </is>
      </c>
      <c r="H124" t="inlineStr">
        <is>
          <t>No</t>
        </is>
      </c>
      <c r="I124" t="inlineStr">
        <is>
          <t>No</t>
        </is>
      </c>
      <c r="J124" t="inlineStr">
        <is>
          <t>0</t>
        </is>
      </c>
      <c r="K124" t="inlineStr">
        <is>
          <t>Stevick, Earl W.</t>
        </is>
      </c>
      <c r="L124" t="inlineStr">
        <is>
          <t>New York, Abingdon Press [1957]</t>
        </is>
      </c>
      <c r="M124" t="inlineStr">
        <is>
          <t>1957</t>
        </is>
      </c>
      <c r="O124" t="inlineStr">
        <is>
          <t>eng</t>
        </is>
      </c>
      <c r="P124" t="inlineStr">
        <is>
          <t>nyu</t>
        </is>
      </c>
      <c r="R124" t="inlineStr">
        <is>
          <t xml:space="preserve">PE </t>
        </is>
      </c>
      <c r="S124" t="n">
        <v>3</v>
      </c>
      <c r="T124" t="n">
        <v>3</v>
      </c>
      <c r="U124" t="inlineStr">
        <is>
          <t>2006-11-27</t>
        </is>
      </c>
      <c r="V124" t="inlineStr">
        <is>
          <t>2006-11-27</t>
        </is>
      </c>
      <c r="W124" t="inlineStr">
        <is>
          <t>1997-09-22</t>
        </is>
      </c>
      <c r="X124" t="inlineStr">
        <is>
          <t>1997-09-22</t>
        </is>
      </c>
      <c r="Y124" t="n">
        <v>435</v>
      </c>
      <c r="Z124" t="n">
        <v>381</v>
      </c>
      <c r="AA124" t="n">
        <v>390</v>
      </c>
      <c r="AB124" t="n">
        <v>4</v>
      </c>
      <c r="AC124" t="n">
        <v>4</v>
      </c>
      <c r="AD124" t="n">
        <v>16</v>
      </c>
      <c r="AE124" t="n">
        <v>16</v>
      </c>
      <c r="AF124" t="n">
        <v>7</v>
      </c>
      <c r="AG124" t="n">
        <v>7</v>
      </c>
      <c r="AH124" t="n">
        <v>4</v>
      </c>
      <c r="AI124" t="n">
        <v>4</v>
      </c>
      <c r="AJ124" t="n">
        <v>6</v>
      </c>
      <c r="AK124" t="n">
        <v>6</v>
      </c>
      <c r="AL124" t="n">
        <v>3</v>
      </c>
      <c r="AM124" t="n">
        <v>3</v>
      </c>
      <c r="AN124" t="n">
        <v>0</v>
      </c>
      <c r="AO124" t="n">
        <v>0</v>
      </c>
      <c r="AP124" t="inlineStr">
        <is>
          <t>Yes</t>
        </is>
      </c>
      <c r="AQ124" t="inlineStr">
        <is>
          <t>No</t>
        </is>
      </c>
      <c r="AR124">
        <f>HYPERLINK("http://catalog.hathitrust.org/Record/001441634","HathiTrust Record")</f>
        <v/>
      </c>
      <c r="AS124">
        <f>HYPERLINK("https://creighton-primo.hosted.exlibrisgroup.com/primo-explore/search?tab=default_tab&amp;search_scope=EVERYTHING&amp;vid=01CRU&amp;lang=en_US&amp;offset=0&amp;query=any,contains,991002299489702656","Catalog Record")</f>
        <v/>
      </c>
      <c r="AT124">
        <f>HYPERLINK("http://www.worldcat.org/oclc/316946","WorldCat Record")</f>
        <v/>
      </c>
      <c r="AU124" t="inlineStr">
        <is>
          <t>1388638:eng</t>
        </is>
      </c>
      <c r="AV124" t="inlineStr">
        <is>
          <t>316946</t>
        </is>
      </c>
      <c r="AW124" t="inlineStr">
        <is>
          <t>991002299489702656</t>
        </is>
      </c>
      <c r="AX124" t="inlineStr">
        <is>
          <t>991002299489702656</t>
        </is>
      </c>
      <c r="AY124" t="inlineStr">
        <is>
          <t>2269464440002656</t>
        </is>
      </c>
      <c r="AZ124" t="inlineStr">
        <is>
          <t>BOOK</t>
        </is>
      </c>
      <c r="BC124" t="inlineStr">
        <is>
          <t>32285003245130</t>
        </is>
      </c>
      <c r="BD124" t="inlineStr">
        <is>
          <t>893892400</t>
        </is>
      </c>
    </row>
    <row r="125">
      <c r="A125" t="inlineStr">
        <is>
          <t>No</t>
        </is>
      </c>
      <c r="B125" t="inlineStr">
        <is>
          <t>PE1128.A2 S86</t>
        </is>
      </c>
      <c r="C125" t="inlineStr">
        <is>
          <t>0                      PE 1128000A  2                  S  86</t>
        </is>
      </c>
      <c r="D125" t="inlineStr">
        <is>
          <t>New orientations in the teaching of English / [by] Peter Strevens.</t>
        </is>
      </c>
      <c r="F125" t="inlineStr">
        <is>
          <t>No</t>
        </is>
      </c>
      <c r="G125" t="inlineStr">
        <is>
          <t>1</t>
        </is>
      </c>
      <c r="H125" t="inlineStr">
        <is>
          <t>No</t>
        </is>
      </c>
      <c r="I125" t="inlineStr">
        <is>
          <t>No</t>
        </is>
      </c>
      <c r="J125" t="inlineStr">
        <is>
          <t>0</t>
        </is>
      </c>
      <c r="K125" t="inlineStr">
        <is>
          <t>Strevens, Peter.</t>
        </is>
      </c>
      <c r="L125" t="inlineStr">
        <is>
          <t>Oxford [Eng.] ; New York : Oxford University Press, 1977.</t>
        </is>
      </c>
      <c r="M125" t="inlineStr">
        <is>
          <t>1977</t>
        </is>
      </c>
      <c r="O125" t="inlineStr">
        <is>
          <t>eng</t>
        </is>
      </c>
      <c r="P125" t="inlineStr">
        <is>
          <t>enk</t>
        </is>
      </c>
      <c r="R125" t="inlineStr">
        <is>
          <t xml:space="preserve">PE </t>
        </is>
      </c>
      <c r="S125" t="n">
        <v>3</v>
      </c>
      <c r="T125" t="n">
        <v>3</v>
      </c>
      <c r="U125" t="inlineStr">
        <is>
          <t>2004-03-22</t>
        </is>
      </c>
      <c r="V125" t="inlineStr">
        <is>
          <t>2004-03-22</t>
        </is>
      </c>
      <c r="W125" t="inlineStr">
        <is>
          <t>1995-02-24</t>
        </is>
      </c>
      <c r="X125" t="inlineStr">
        <is>
          <t>1995-02-24</t>
        </is>
      </c>
      <c r="Y125" t="n">
        <v>461</v>
      </c>
      <c r="Z125" t="n">
        <v>233</v>
      </c>
      <c r="AA125" t="n">
        <v>239</v>
      </c>
      <c r="AB125" t="n">
        <v>3</v>
      </c>
      <c r="AC125" t="n">
        <v>3</v>
      </c>
      <c r="AD125" t="n">
        <v>7</v>
      </c>
      <c r="AE125" t="n">
        <v>8</v>
      </c>
      <c r="AF125" t="n">
        <v>3</v>
      </c>
      <c r="AG125" t="n">
        <v>3</v>
      </c>
      <c r="AH125" t="n">
        <v>1</v>
      </c>
      <c r="AI125" t="n">
        <v>2</v>
      </c>
      <c r="AJ125" t="n">
        <v>2</v>
      </c>
      <c r="AK125" t="n">
        <v>3</v>
      </c>
      <c r="AL125" t="n">
        <v>2</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HYPERLINK("https://creighton-primo.hosted.exlibrisgroup.com/primo-explore/search?tab=default_tab&amp;search_scope=EVERYTHING&amp;vid=01CRU&amp;lang=en_US&amp;offset=0&amp;query=any,contains,991004561359702656","Catalog Record")</f>
        <v/>
      </c>
      <c r="AT125">
        <f>HYPERLINK("http://www.worldcat.org/oclc/4002443","WorldCat Record")</f>
        <v/>
      </c>
      <c r="AU125" t="inlineStr">
        <is>
          <t>93731:eng</t>
        </is>
      </c>
      <c r="AV125" t="inlineStr">
        <is>
          <t>4002443</t>
        </is>
      </c>
      <c r="AW125" t="inlineStr">
        <is>
          <t>991004561359702656</t>
        </is>
      </c>
      <c r="AX125" t="inlineStr">
        <is>
          <t>991004561359702656</t>
        </is>
      </c>
      <c r="AY125" t="inlineStr">
        <is>
          <t>2268145190002656</t>
        </is>
      </c>
      <c r="AZ125" t="inlineStr">
        <is>
          <t>BOOK</t>
        </is>
      </c>
      <c r="BB125" t="inlineStr">
        <is>
          <t>9780194370769</t>
        </is>
      </c>
      <c r="BC125" t="inlineStr">
        <is>
          <t>32285002010485</t>
        </is>
      </c>
      <c r="BD125" t="inlineStr">
        <is>
          <t>893876252</t>
        </is>
      </c>
    </row>
    <row r="126">
      <c r="A126" t="inlineStr">
        <is>
          <t>No</t>
        </is>
      </c>
      <c r="B126" t="inlineStr">
        <is>
          <t>PE1128.A2 S88 1987</t>
        </is>
      </c>
      <c r="C126" t="inlineStr">
        <is>
          <t>0                      PE 1128000A  2                  S  88          1987</t>
        </is>
      </c>
      <c r="D126" t="inlineStr">
        <is>
          <t>Success or failure? : learning and the language minority student / Henry T. Trueba, editor.</t>
        </is>
      </c>
      <c r="F126" t="inlineStr">
        <is>
          <t>No</t>
        </is>
      </c>
      <c r="G126" t="inlineStr">
        <is>
          <t>1</t>
        </is>
      </c>
      <c r="H126" t="inlineStr">
        <is>
          <t>No</t>
        </is>
      </c>
      <c r="I126" t="inlineStr">
        <is>
          <t>No</t>
        </is>
      </c>
      <c r="J126" t="inlineStr">
        <is>
          <t>0</t>
        </is>
      </c>
      <c r="L126" t="inlineStr">
        <is>
          <t>Cambridge, Mass. : Newbury House, c1987.</t>
        </is>
      </c>
      <c r="M126" t="inlineStr">
        <is>
          <t>1987</t>
        </is>
      </c>
      <c r="O126" t="inlineStr">
        <is>
          <t>eng</t>
        </is>
      </c>
      <c r="P126" t="inlineStr">
        <is>
          <t>mau</t>
        </is>
      </c>
      <c r="R126" t="inlineStr">
        <is>
          <t xml:space="preserve">PE </t>
        </is>
      </c>
      <c r="S126" t="n">
        <v>8</v>
      </c>
      <c r="T126" t="n">
        <v>8</v>
      </c>
      <c r="U126" t="inlineStr">
        <is>
          <t>2005-05-31</t>
        </is>
      </c>
      <c r="V126" t="inlineStr">
        <is>
          <t>2005-05-31</t>
        </is>
      </c>
      <c r="W126" t="inlineStr">
        <is>
          <t>1992-02-17</t>
        </is>
      </c>
      <c r="X126" t="inlineStr">
        <is>
          <t>1992-02-17</t>
        </is>
      </c>
      <c r="Y126" t="n">
        <v>334</v>
      </c>
      <c r="Z126" t="n">
        <v>272</v>
      </c>
      <c r="AA126" t="n">
        <v>283</v>
      </c>
      <c r="AB126" t="n">
        <v>2</v>
      </c>
      <c r="AC126" t="n">
        <v>2</v>
      </c>
      <c r="AD126" t="n">
        <v>8</v>
      </c>
      <c r="AE126" t="n">
        <v>8</v>
      </c>
      <c r="AF126" t="n">
        <v>2</v>
      </c>
      <c r="AG126" t="n">
        <v>2</v>
      </c>
      <c r="AH126" t="n">
        <v>1</v>
      </c>
      <c r="AI126" t="n">
        <v>1</v>
      </c>
      <c r="AJ126" t="n">
        <v>6</v>
      </c>
      <c r="AK126" t="n">
        <v>6</v>
      </c>
      <c r="AL126" t="n">
        <v>1</v>
      </c>
      <c r="AM126" t="n">
        <v>1</v>
      </c>
      <c r="AN126" t="n">
        <v>0</v>
      </c>
      <c r="AO126" t="n">
        <v>0</v>
      </c>
      <c r="AP126" t="inlineStr">
        <is>
          <t>No</t>
        </is>
      </c>
      <c r="AQ126" t="inlineStr">
        <is>
          <t>Yes</t>
        </is>
      </c>
      <c r="AR126">
        <f>HYPERLINK("http://catalog.hathitrust.org/Record/000849511","HathiTrust Record")</f>
        <v/>
      </c>
      <c r="AS126">
        <f>HYPERLINK("https://creighton-primo.hosted.exlibrisgroup.com/primo-explore/search?tab=default_tab&amp;search_scope=EVERYTHING&amp;vid=01CRU&amp;lang=en_US&amp;offset=0&amp;query=any,contains,991000952659702656","Catalog Record")</f>
        <v/>
      </c>
      <c r="AT126">
        <f>HYPERLINK("http://www.worldcat.org/oclc/14692556","WorldCat Record")</f>
        <v/>
      </c>
      <c r="AU126" t="inlineStr">
        <is>
          <t>836689137:eng</t>
        </is>
      </c>
      <c r="AV126" t="inlineStr">
        <is>
          <t>14692556</t>
        </is>
      </c>
      <c r="AW126" t="inlineStr">
        <is>
          <t>991000952659702656</t>
        </is>
      </c>
      <c r="AX126" t="inlineStr">
        <is>
          <t>991000952659702656</t>
        </is>
      </c>
      <c r="AY126" t="inlineStr">
        <is>
          <t>2257664480002656</t>
        </is>
      </c>
      <c r="AZ126" t="inlineStr">
        <is>
          <t>BOOK</t>
        </is>
      </c>
      <c r="BB126" t="inlineStr">
        <is>
          <t>9780066325477</t>
        </is>
      </c>
      <c r="BC126" t="inlineStr">
        <is>
          <t>32285000947100</t>
        </is>
      </c>
      <c r="BD126" t="inlineStr">
        <is>
          <t>893872169</t>
        </is>
      </c>
    </row>
    <row r="127">
      <c r="A127" t="inlineStr">
        <is>
          <t>No</t>
        </is>
      </c>
      <c r="B127" t="inlineStr">
        <is>
          <t>PE1128.A2 T65 1985</t>
        </is>
      </c>
      <c r="C127" t="inlineStr">
        <is>
          <t>0                      PE 1128000A  2                  T  65          1985</t>
        </is>
      </c>
      <c r="D127" t="inlineStr">
        <is>
          <t>Talk two : children using English as a second language in primary schools / Joan Tough ; [pictures by Sylvia Deakins].</t>
        </is>
      </c>
      <c r="F127" t="inlineStr">
        <is>
          <t>No</t>
        </is>
      </c>
      <c r="G127" t="inlineStr">
        <is>
          <t>1</t>
        </is>
      </c>
      <c r="H127" t="inlineStr">
        <is>
          <t>No</t>
        </is>
      </c>
      <c r="I127" t="inlineStr">
        <is>
          <t>No</t>
        </is>
      </c>
      <c r="J127" t="inlineStr">
        <is>
          <t>0</t>
        </is>
      </c>
      <c r="K127" t="inlineStr">
        <is>
          <t>Tough, Joan.</t>
        </is>
      </c>
      <c r="L127" t="inlineStr">
        <is>
          <t>London : Onyx Press ; Portsmouth, N.H. : Distributed in the U.S.A. by Heinemann Educational Books, 1985.</t>
        </is>
      </c>
      <c r="M127" t="inlineStr">
        <is>
          <t>1985</t>
        </is>
      </c>
      <c r="O127" t="inlineStr">
        <is>
          <t>fre</t>
        </is>
      </c>
      <c r="P127" t="inlineStr">
        <is>
          <t>enk</t>
        </is>
      </c>
      <c r="R127" t="inlineStr">
        <is>
          <t xml:space="preserve">PE </t>
        </is>
      </c>
      <c r="S127" t="n">
        <v>6</v>
      </c>
      <c r="T127" t="n">
        <v>6</v>
      </c>
      <c r="U127" t="inlineStr">
        <is>
          <t>2008-11-23</t>
        </is>
      </c>
      <c r="V127" t="inlineStr">
        <is>
          <t>2008-11-23</t>
        </is>
      </c>
      <c r="W127" t="inlineStr">
        <is>
          <t>1992-11-24</t>
        </is>
      </c>
      <c r="X127" t="inlineStr">
        <is>
          <t>1992-11-24</t>
        </is>
      </c>
      <c r="Y127" t="n">
        <v>138</v>
      </c>
      <c r="Z127" t="n">
        <v>107</v>
      </c>
      <c r="AA127" t="n">
        <v>107</v>
      </c>
      <c r="AB127" t="n">
        <v>1</v>
      </c>
      <c r="AC127" t="n">
        <v>1</v>
      </c>
      <c r="AD127" t="n">
        <v>7</v>
      </c>
      <c r="AE127" t="n">
        <v>7</v>
      </c>
      <c r="AF127" t="n">
        <v>4</v>
      </c>
      <c r="AG127" t="n">
        <v>4</v>
      </c>
      <c r="AH127" t="n">
        <v>1</v>
      </c>
      <c r="AI127" t="n">
        <v>1</v>
      </c>
      <c r="AJ127" t="n">
        <v>5</v>
      </c>
      <c r="AK127" t="n">
        <v>5</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HYPERLINK("https://creighton-primo.hosted.exlibrisgroup.com/primo-explore/search?tab=default_tab&amp;search_scope=EVERYTHING&amp;vid=01CRU&amp;lang=en_US&amp;offset=0&amp;query=any,contains,991000961139702656","Catalog Record")</f>
        <v/>
      </c>
      <c r="AT127">
        <f>HYPERLINK("http://www.worldcat.org/oclc/14818778","WorldCat Record")</f>
        <v/>
      </c>
      <c r="AU127" t="inlineStr">
        <is>
          <t>8540281:fre</t>
        </is>
      </c>
      <c r="AV127" t="inlineStr">
        <is>
          <t>14818778</t>
        </is>
      </c>
      <c r="AW127" t="inlineStr">
        <is>
          <t>991000961139702656</t>
        </is>
      </c>
      <c r="AX127" t="inlineStr">
        <is>
          <t>991000961139702656</t>
        </is>
      </c>
      <c r="AY127" t="inlineStr">
        <is>
          <t>2263865470002656</t>
        </is>
      </c>
      <c r="AZ127" t="inlineStr">
        <is>
          <t>BOOK</t>
        </is>
      </c>
      <c r="BB127" t="inlineStr">
        <is>
          <t>9780906383278</t>
        </is>
      </c>
      <c r="BC127" t="inlineStr">
        <is>
          <t>32285001409332</t>
        </is>
      </c>
      <c r="BD127" t="inlineStr">
        <is>
          <t>893333934</t>
        </is>
      </c>
    </row>
    <row r="128">
      <c r="A128" t="inlineStr">
        <is>
          <t>No</t>
        </is>
      </c>
      <c r="B128" t="inlineStr">
        <is>
          <t>PE1128.A2 W575 1994b</t>
        </is>
      </c>
      <c r="C128" t="inlineStr">
        <is>
          <t>0                      PE 1128000A  2                  W  575         1994b</t>
        </is>
      </c>
      <c r="D128" t="inlineStr">
        <is>
          <t>With different eyes : insights into teaching language minority students across the disciplines / edited by Faye Peitzman, George Gadda.</t>
        </is>
      </c>
      <c r="F128" t="inlineStr">
        <is>
          <t>No</t>
        </is>
      </c>
      <c r="G128" t="inlineStr">
        <is>
          <t>1</t>
        </is>
      </c>
      <c r="H128" t="inlineStr">
        <is>
          <t>No</t>
        </is>
      </c>
      <c r="I128" t="inlineStr">
        <is>
          <t>No</t>
        </is>
      </c>
      <c r="J128" t="inlineStr">
        <is>
          <t>0</t>
        </is>
      </c>
      <c r="L128" t="inlineStr">
        <is>
          <t>Reading, Mass. : Addison-Wesley, c1994.</t>
        </is>
      </c>
      <c r="M128" t="inlineStr">
        <is>
          <t>1994</t>
        </is>
      </c>
      <c r="O128" t="inlineStr">
        <is>
          <t>eng</t>
        </is>
      </c>
      <c r="P128" t="inlineStr">
        <is>
          <t>mau</t>
        </is>
      </c>
      <c r="R128" t="inlineStr">
        <is>
          <t xml:space="preserve">PE </t>
        </is>
      </c>
      <c r="S128" t="n">
        <v>10</v>
      </c>
      <c r="T128" t="n">
        <v>10</v>
      </c>
      <c r="U128" t="inlineStr">
        <is>
          <t>2008-11-23</t>
        </is>
      </c>
      <c r="V128" t="inlineStr">
        <is>
          <t>2008-11-23</t>
        </is>
      </c>
      <c r="W128" t="inlineStr">
        <is>
          <t>1997-03-18</t>
        </is>
      </c>
      <c r="X128" t="inlineStr">
        <is>
          <t>1997-03-18</t>
        </is>
      </c>
      <c r="Y128" t="n">
        <v>66</v>
      </c>
      <c r="Z128" t="n">
        <v>59</v>
      </c>
      <c r="AA128" t="n">
        <v>192</v>
      </c>
      <c r="AB128" t="n">
        <v>1</v>
      </c>
      <c r="AC128" t="n">
        <v>2</v>
      </c>
      <c r="AD128" t="n">
        <v>1</v>
      </c>
      <c r="AE128" t="n">
        <v>9</v>
      </c>
      <c r="AF128" t="n">
        <v>1</v>
      </c>
      <c r="AG128" t="n">
        <v>5</v>
      </c>
      <c r="AH128" t="n">
        <v>0</v>
      </c>
      <c r="AI128" t="n">
        <v>1</v>
      </c>
      <c r="AJ128" t="n">
        <v>0</v>
      </c>
      <c r="AK128" t="n">
        <v>4</v>
      </c>
      <c r="AL128" t="n">
        <v>0</v>
      </c>
      <c r="AM128" t="n">
        <v>1</v>
      </c>
      <c r="AN128" t="n">
        <v>0</v>
      </c>
      <c r="AO128" t="n">
        <v>0</v>
      </c>
      <c r="AP128" t="inlineStr">
        <is>
          <t>No</t>
        </is>
      </c>
      <c r="AQ128" t="inlineStr">
        <is>
          <t>Yes</t>
        </is>
      </c>
      <c r="AR128">
        <f>HYPERLINK("http://catalog.hathitrust.org/Record/008327468","HathiTrust Record")</f>
        <v/>
      </c>
      <c r="AS128">
        <f>HYPERLINK("https://creighton-primo.hosted.exlibrisgroup.com/primo-explore/search?tab=default_tab&amp;search_scope=EVERYTHING&amp;vid=01CRU&amp;lang=en_US&amp;offset=0&amp;query=any,contains,991002493429702656","Catalog Record")</f>
        <v/>
      </c>
      <c r="AT128">
        <f>HYPERLINK("http://www.worldcat.org/oclc/32438942","WorldCat Record")</f>
        <v/>
      </c>
      <c r="AU128" t="inlineStr">
        <is>
          <t>939137332:eng</t>
        </is>
      </c>
      <c r="AV128" t="inlineStr">
        <is>
          <t>32438942</t>
        </is>
      </c>
      <c r="AW128" t="inlineStr">
        <is>
          <t>991002493429702656</t>
        </is>
      </c>
      <c r="AX128" t="inlineStr">
        <is>
          <t>991002493429702656</t>
        </is>
      </c>
      <c r="AY128" t="inlineStr">
        <is>
          <t>2261610850002656</t>
        </is>
      </c>
      <c r="AZ128" t="inlineStr">
        <is>
          <t>BOOK</t>
        </is>
      </c>
      <c r="BC128" t="inlineStr">
        <is>
          <t>32285002444064</t>
        </is>
      </c>
      <c r="BD128" t="inlineStr">
        <is>
          <t>893517349</t>
        </is>
      </c>
    </row>
    <row r="129">
      <c r="A129" t="inlineStr">
        <is>
          <t>No</t>
        </is>
      </c>
      <c r="B129" t="inlineStr">
        <is>
          <t>PE1129.S8 M456 no.2</t>
        </is>
      </c>
      <c r="C129" t="inlineStr">
        <is>
          <t>0                      PE 1129000S  8                  M  456                               no.2</t>
        </is>
      </c>
      <c r="D129" t="inlineStr">
        <is>
          <t>English pattern practices : establishing the patterns as habits / Robert Lado, Charles C. Fries.</t>
        </is>
      </c>
      <c r="E129" t="inlineStr">
        <is>
          <t>no.2*</t>
        </is>
      </c>
      <c r="F129" t="inlineStr">
        <is>
          <t>No</t>
        </is>
      </c>
      <c r="G129" t="inlineStr">
        <is>
          <t>1</t>
        </is>
      </c>
      <c r="H129" t="inlineStr">
        <is>
          <t>No</t>
        </is>
      </c>
      <c r="I129" t="inlineStr">
        <is>
          <t>No</t>
        </is>
      </c>
      <c r="J129" t="inlineStr">
        <is>
          <t>0</t>
        </is>
      </c>
      <c r="K129" t="inlineStr">
        <is>
          <t>Lado, Robert, 1915-1995.</t>
        </is>
      </c>
      <c r="L129" t="inlineStr">
        <is>
          <t>Ann Arbor : University of Michigan Press, c1958.</t>
        </is>
      </c>
      <c r="M129" t="inlineStr">
        <is>
          <t>1958</t>
        </is>
      </c>
      <c r="N129" t="inlineStr">
        <is>
          <t>Rev. ed.</t>
        </is>
      </c>
      <c r="O129" t="inlineStr">
        <is>
          <t>eng</t>
        </is>
      </c>
      <c r="P129" t="inlineStr">
        <is>
          <t>miu</t>
        </is>
      </c>
      <c r="Q129" t="inlineStr">
        <is>
          <t>An intensive course in English</t>
        </is>
      </c>
      <c r="R129" t="inlineStr">
        <is>
          <t xml:space="preserve">PE </t>
        </is>
      </c>
      <c r="S129" t="n">
        <v>5</v>
      </c>
      <c r="T129" t="n">
        <v>5</v>
      </c>
      <c r="U129" t="inlineStr">
        <is>
          <t>1997-12-29</t>
        </is>
      </c>
      <c r="V129" t="inlineStr">
        <is>
          <t>1997-12-29</t>
        </is>
      </c>
      <c r="W129" t="inlineStr">
        <is>
          <t>1993-10-18</t>
        </is>
      </c>
      <c r="X129" t="inlineStr">
        <is>
          <t>1993-10-18</t>
        </is>
      </c>
      <c r="Y129" t="n">
        <v>187</v>
      </c>
      <c r="Z129" t="n">
        <v>131</v>
      </c>
      <c r="AA129" t="n">
        <v>168</v>
      </c>
      <c r="AB129" t="n">
        <v>2</v>
      </c>
      <c r="AC129" t="n">
        <v>2</v>
      </c>
      <c r="AD129" t="n">
        <v>7</v>
      </c>
      <c r="AE129" t="n">
        <v>7</v>
      </c>
      <c r="AF129" t="n">
        <v>2</v>
      </c>
      <c r="AG129" t="n">
        <v>2</v>
      </c>
      <c r="AH129" t="n">
        <v>1</v>
      </c>
      <c r="AI129" t="n">
        <v>1</v>
      </c>
      <c r="AJ129" t="n">
        <v>4</v>
      </c>
      <c r="AK129" t="n">
        <v>4</v>
      </c>
      <c r="AL129" t="n">
        <v>1</v>
      </c>
      <c r="AM129" t="n">
        <v>1</v>
      </c>
      <c r="AN129" t="n">
        <v>0</v>
      </c>
      <c r="AO129" t="n">
        <v>0</v>
      </c>
      <c r="AP129" t="inlineStr">
        <is>
          <t>Yes</t>
        </is>
      </c>
      <c r="AQ129" t="inlineStr">
        <is>
          <t>No</t>
        </is>
      </c>
      <c r="AR129">
        <f>HYPERLINK("http://catalog.hathitrust.org/Record/005085058","HathiTrust Record")</f>
        <v/>
      </c>
      <c r="AS129">
        <f>HYPERLINK("https://creighton-primo.hosted.exlibrisgroup.com/primo-explore/search?tab=default_tab&amp;search_scope=EVERYTHING&amp;vid=01CRU&amp;lang=en_US&amp;offset=0&amp;query=any,contains,991004633129702656","Catalog Record")</f>
        <v/>
      </c>
      <c r="AT129">
        <f>HYPERLINK("http://www.worldcat.org/oclc/4385830","WorldCat Record")</f>
        <v/>
      </c>
      <c r="AU129" t="inlineStr">
        <is>
          <t>145026694:eng</t>
        </is>
      </c>
      <c r="AV129" t="inlineStr">
        <is>
          <t>4385830</t>
        </is>
      </c>
      <c r="AW129" t="inlineStr">
        <is>
          <t>991004633129702656</t>
        </is>
      </c>
      <c r="AX129" t="inlineStr">
        <is>
          <t>991004633129702656</t>
        </is>
      </c>
      <c r="AY129" t="inlineStr">
        <is>
          <t>2261507960002656</t>
        </is>
      </c>
      <c r="AZ129" t="inlineStr">
        <is>
          <t>BOOK</t>
        </is>
      </c>
      <c r="BC129" t="inlineStr">
        <is>
          <t>32285001793867</t>
        </is>
      </c>
      <c r="BD129" t="inlineStr">
        <is>
          <t>893776229</t>
        </is>
      </c>
    </row>
    <row r="130">
      <c r="A130" t="inlineStr">
        <is>
          <t>No</t>
        </is>
      </c>
      <c r="B130" t="inlineStr">
        <is>
          <t>PE1129.S8 M456 no.3</t>
        </is>
      </c>
      <c r="C130" t="inlineStr">
        <is>
          <t>0                      PE 1129000S  8                  M  456                               no.3</t>
        </is>
      </c>
      <c r="D130" t="inlineStr">
        <is>
          <t>English pronunciation : exercises in sound segments, intonation, and rhythm / English Language Institute Staff, Robert Lado and Charles C. Fries.</t>
        </is>
      </c>
      <c r="E130" t="inlineStr">
        <is>
          <t>no.3*</t>
        </is>
      </c>
      <c r="F130" t="inlineStr">
        <is>
          <t>No</t>
        </is>
      </c>
      <c r="G130" t="inlineStr">
        <is>
          <t>1</t>
        </is>
      </c>
      <c r="H130" t="inlineStr">
        <is>
          <t>No</t>
        </is>
      </c>
      <c r="I130" t="inlineStr">
        <is>
          <t>No</t>
        </is>
      </c>
      <c r="J130" t="inlineStr">
        <is>
          <t>0</t>
        </is>
      </c>
      <c r="K130" t="inlineStr">
        <is>
          <t>University of Michigan. English Language Institute.</t>
        </is>
      </c>
      <c r="L130" t="inlineStr">
        <is>
          <t>Ann Arbor : University of Michigan Press, 1958, c1954, 1965 printing.</t>
        </is>
      </c>
      <c r="M130" t="inlineStr">
        <is>
          <t>1958</t>
        </is>
      </c>
      <c r="N130" t="inlineStr">
        <is>
          <t>[2nd rev. ed.].</t>
        </is>
      </c>
      <c r="O130" t="inlineStr">
        <is>
          <t>eng</t>
        </is>
      </c>
      <c r="P130" t="inlineStr">
        <is>
          <t>miu</t>
        </is>
      </c>
      <c r="R130" t="inlineStr">
        <is>
          <t xml:space="preserve">PE </t>
        </is>
      </c>
      <c r="S130" t="n">
        <v>5</v>
      </c>
      <c r="T130" t="n">
        <v>5</v>
      </c>
      <c r="U130" t="inlineStr">
        <is>
          <t>2001-09-14</t>
        </is>
      </c>
      <c r="V130" t="inlineStr">
        <is>
          <t>2001-09-14</t>
        </is>
      </c>
      <c r="W130" t="inlineStr">
        <is>
          <t>1993-04-23</t>
        </is>
      </c>
      <c r="X130" t="inlineStr">
        <is>
          <t>1993-04-23</t>
        </is>
      </c>
      <c r="Y130" t="n">
        <v>137</v>
      </c>
      <c r="Z130" t="n">
        <v>103</v>
      </c>
      <c r="AA130" t="n">
        <v>209</v>
      </c>
      <c r="AB130" t="n">
        <v>1</v>
      </c>
      <c r="AC130" t="n">
        <v>2</v>
      </c>
      <c r="AD130" t="n">
        <v>4</v>
      </c>
      <c r="AE130" t="n">
        <v>9</v>
      </c>
      <c r="AF130" t="n">
        <v>0</v>
      </c>
      <c r="AG130" t="n">
        <v>1</v>
      </c>
      <c r="AH130" t="n">
        <v>3</v>
      </c>
      <c r="AI130" t="n">
        <v>3</v>
      </c>
      <c r="AJ130" t="n">
        <v>2</v>
      </c>
      <c r="AK130" t="n">
        <v>5</v>
      </c>
      <c r="AL130" t="n">
        <v>0</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HYPERLINK("https://creighton-primo.hosted.exlibrisgroup.com/primo-explore/search?tab=default_tab&amp;search_scope=EVERYTHING&amp;vid=01CRU&amp;lang=en_US&amp;offset=0&amp;query=any,contains,991004755729702656","Catalog Record")</f>
        <v/>
      </c>
      <c r="AT130">
        <f>HYPERLINK("http://www.worldcat.org/oclc/4961482","WorldCat Record")</f>
        <v/>
      </c>
      <c r="AU130" t="inlineStr">
        <is>
          <t>463692328:eng</t>
        </is>
      </c>
      <c r="AV130" t="inlineStr">
        <is>
          <t>4961482</t>
        </is>
      </c>
      <c r="AW130" t="inlineStr">
        <is>
          <t>991004755729702656</t>
        </is>
      </c>
      <c r="AX130" t="inlineStr">
        <is>
          <t>991004755729702656</t>
        </is>
      </c>
      <c r="AY130" t="inlineStr">
        <is>
          <t>2255312200002656</t>
        </is>
      </c>
      <c r="AZ130" t="inlineStr">
        <is>
          <t>BOOK</t>
        </is>
      </c>
      <c r="BB130" t="inlineStr">
        <is>
          <t>9780472083039</t>
        </is>
      </c>
      <c r="BC130" t="inlineStr">
        <is>
          <t>32285001646552</t>
        </is>
      </c>
      <c r="BD130" t="inlineStr">
        <is>
          <t>893889244</t>
        </is>
      </c>
    </row>
    <row r="131">
      <c r="A131" t="inlineStr">
        <is>
          <t>No</t>
        </is>
      </c>
      <c r="B131" t="inlineStr">
        <is>
          <t>PE1129.S8 M456 no.4</t>
        </is>
      </c>
      <c r="C131" t="inlineStr">
        <is>
          <t>0                      PE 1129000S  8                  M  456                               no.4</t>
        </is>
      </c>
      <c r="D131" t="inlineStr">
        <is>
          <t>Vocabulary in context / [by] Harry B. Franklin, Herbert G. Meikle and Jeris E. Strain.</t>
        </is>
      </c>
      <c r="E131" t="inlineStr">
        <is>
          <t>no.4*</t>
        </is>
      </c>
      <c r="F131" t="inlineStr">
        <is>
          <t>No</t>
        </is>
      </c>
      <c r="G131" t="inlineStr">
        <is>
          <t>1</t>
        </is>
      </c>
      <c r="H131" t="inlineStr">
        <is>
          <t>No</t>
        </is>
      </c>
      <c r="I131" t="inlineStr">
        <is>
          <t>No</t>
        </is>
      </c>
      <c r="J131" t="inlineStr">
        <is>
          <t>0</t>
        </is>
      </c>
      <c r="K131" t="inlineStr">
        <is>
          <t>University of Michigan. English Language Institute.</t>
        </is>
      </c>
      <c r="L131" t="inlineStr">
        <is>
          <t>Ann Arbor : University of Michigan Press, c1964, 1966 printing.</t>
        </is>
      </c>
      <c r="M131" t="inlineStr">
        <is>
          <t>1964</t>
        </is>
      </c>
      <c r="O131" t="inlineStr">
        <is>
          <t>eng</t>
        </is>
      </c>
      <c r="P131" t="inlineStr">
        <is>
          <t>miu</t>
        </is>
      </c>
      <c r="Q131" t="inlineStr">
        <is>
          <t>Its An intensive course in English [v. 4]</t>
        </is>
      </c>
      <c r="R131" t="inlineStr">
        <is>
          <t xml:space="preserve">PE </t>
        </is>
      </c>
      <c r="S131" t="n">
        <v>4</v>
      </c>
      <c r="T131" t="n">
        <v>4</v>
      </c>
      <c r="U131" t="inlineStr">
        <is>
          <t>1997-12-29</t>
        </is>
      </c>
      <c r="V131" t="inlineStr">
        <is>
          <t>1997-12-29</t>
        </is>
      </c>
      <c r="W131" t="inlineStr">
        <is>
          <t>1993-04-23</t>
        </is>
      </c>
      <c r="X131" t="inlineStr">
        <is>
          <t>1993-04-23</t>
        </is>
      </c>
      <c r="Y131" t="n">
        <v>178</v>
      </c>
      <c r="Z131" t="n">
        <v>131</v>
      </c>
      <c r="AA131" t="n">
        <v>146</v>
      </c>
      <c r="AB131" t="n">
        <v>2</v>
      </c>
      <c r="AC131" t="n">
        <v>2</v>
      </c>
      <c r="AD131" t="n">
        <v>7</v>
      </c>
      <c r="AE131" t="n">
        <v>8</v>
      </c>
      <c r="AF131" t="n">
        <v>1</v>
      </c>
      <c r="AG131" t="n">
        <v>2</v>
      </c>
      <c r="AH131" t="n">
        <v>1</v>
      </c>
      <c r="AI131" t="n">
        <v>1</v>
      </c>
      <c r="AJ131" t="n">
        <v>5</v>
      </c>
      <c r="AK131" t="n">
        <v>5</v>
      </c>
      <c r="AL131" t="n">
        <v>1</v>
      </c>
      <c r="AM131" t="n">
        <v>1</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HYPERLINK("https://creighton-primo.hosted.exlibrisgroup.com/primo-explore/search?tab=default_tab&amp;search_scope=EVERYTHING&amp;vid=01CRU&amp;lang=en_US&amp;offset=0&amp;query=any,contains,991000223759702656","Catalog Record")</f>
        <v/>
      </c>
      <c r="AT131">
        <f>HYPERLINK("http://www.worldcat.org/oclc/9593991","WorldCat Record")</f>
        <v/>
      </c>
      <c r="AU131" t="inlineStr">
        <is>
          <t>4803431216:eng</t>
        </is>
      </c>
      <c r="AV131" t="inlineStr">
        <is>
          <t>9593991</t>
        </is>
      </c>
      <c r="AW131" t="inlineStr">
        <is>
          <t>991000223759702656</t>
        </is>
      </c>
      <c r="AX131" t="inlineStr">
        <is>
          <t>991000223759702656</t>
        </is>
      </c>
      <c r="AY131" t="inlineStr">
        <is>
          <t>2257028790002656</t>
        </is>
      </c>
      <c r="AZ131" t="inlineStr">
        <is>
          <t>BOOK</t>
        </is>
      </c>
      <c r="BC131" t="inlineStr">
        <is>
          <t>32285001646560</t>
        </is>
      </c>
      <c r="BD131" t="inlineStr">
        <is>
          <t>893249196</t>
        </is>
      </c>
    </row>
    <row r="132">
      <c r="A132" t="inlineStr">
        <is>
          <t>No</t>
        </is>
      </c>
      <c r="B132" t="inlineStr">
        <is>
          <t>PE1129.S8 M457 no.1</t>
        </is>
      </c>
      <c r="C132" t="inlineStr">
        <is>
          <t>0                      PE 1129000S  8                  M  457                               no.1</t>
        </is>
      </c>
      <c r="D132" t="inlineStr">
        <is>
          <t>English sentence structure / Robert Krohn and the staff of the English Language Institute.</t>
        </is>
      </c>
      <c r="E132" t="inlineStr">
        <is>
          <t>no.1*</t>
        </is>
      </c>
      <c r="F132" t="inlineStr">
        <is>
          <t>No</t>
        </is>
      </c>
      <c r="G132" t="inlineStr">
        <is>
          <t>1</t>
        </is>
      </c>
      <c r="H132" t="inlineStr">
        <is>
          <t>No</t>
        </is>
      </c>
      <c r="I132" t="inlineStr">
        <is>
          <t>No</t>
        </is>
      </c>
      <c r="J132" t="inlineStr">
        <is>
          <t>0</t>
        </is>
      </c>
      <c r="K132" t="inlineStr">
        <is>
          <t>Krohn, Robert.</t>
        </is>
      </c>
      <c r="L132" t="inlineStr">
        <is>
          <t>Ann Arbor : University of Michigan Press, c1971.</t>
        </is>
      </c>
      <c r="M132" t="inlineStr">
        <is>
          <t>1971</t>
        </is>
      </c>
      <c r="O132" t="inlineStr">
        <is>
          <t>eng</t>
        </is>
      </c>
      <c r="P132" t="inlineStr">
        <is>
          <t>miu</t>
        </is>
      </c>
      <c r="Q132" t="inlineStr">
        <is>
          <t>An intensive course in English ; no. 1</t>
        </is>
      </c>
      <c r="R132" t="inlineStr">
        <is>
          <t xml:space="preserve">PE </t>
        </is>
      </c>
      <c r="S132" t="n">
        <v>10</v>
      </c>
      <c r="T132" t="n">
        <v>10</v>
      </c>
      <c r="U132" t="inlineStr">
        <is>
          <t>1998-07-15</t>
        </is>
      </c>
      <c r="V132" t="inlineStr">
        <is>
          <t>1998-07-15</t>
        </is>
      </c>
      <c r="W132" t="inlineStr">
        <is>
          <t>1993-10-05</t>
        </is>
      </c>
      <c r="X132" t="inlineStr">
        <is>
          <t>1993-10-05</t>
        </is>
      </c>
      <c r="Y132" t="n">
        <v>377</v>
      </c>
      <c r="Z132" t="n">
        <v>287</v>
      </c>
      <c r="AA132" t="n">
        <v>293</v>
      </c>
      <c r="AB132" t="n">
        <v>1</v>
      </c>
      <c r="AC132" t="n">
        <v>1</v>
      </c>
      <c r="AD132" t="n">
        <v>7</v>
      </c>
      <c r="AE132" t="n">
        <v>7</v>
      </c>
      <c r="AF132" t="n">
        <v>0</v>
      </c>
      <c r="AG132" t="n">
        <v>0</v>
      </c>
      <c r="AH132" t="n">
        <v>3</v>
      </c>
      <c r="AI132" t="n">
        <v>3</v>
      </c>
      <c r="AJ132" t="n">
        <v>5</v>
      </c>
      <c r="AK132" t="n">
        <v>5</v>
      </c>
      <c r="AL132" t="n">
        <v>0</v>
      </c>
      <c r="AM132" t="n">
        <v>0</v>
      </c>
      <c r="AN132" t="n">
        <v>0</v>
      </c>
      <c r="AO132" t="n">
        <v>0</v>
      </c>
      <c r="AP132" t="inlineStr">
        <is>
          <t>No</t>
        </is>
      </c>
      <c r="AQ132" t="inlineStr">
        <is>
          <t>Yes</t>
        </is>
      </c>
      <c r="AR132">
        <f>HYPERLINK("http://catalog.hathitrust.org/Record/004418546","HathiTrust Record")</f>
        <v/>
      </c>
      <c r="AS132">
        <f>HYPERLINK("https://creighton-primo.hosted.exlibrisgroup.com/primo-explore/search?tab=default_tab&amp;search_scope=EVERYTHING&amp;vid=01CRU&amp;lang=en_US&amp;offset=0&amp;query=any,contains,991002136469702656","Catalog Record")</f>
        <v/>
      </c>
      <c r="AT132">
        <f>HYPERLINK("http://www.worldcat.org/oclc/27405268","WorldCat Record")</f>
        <v/>
      </c>
      <c r="AU132" t="inlineStr">
        <is>
          <t>490849:eng</t>
        </is>
      </c>
      <c r="AV132" t="inlineStr">
        <is>
          <t>27405268</t>
        </is>
      </c>
      <c r="AW132" t="inlineStr">
        <is>
          <t>991002136469702656</t>
        </is>
      </c>
      <c r="AX132" t="inlineStr">
        <is>
          <t>991002136469702656</t>
        </is>
      </c>
      <c r="AY132" t="inlineStr">
        <is>
          <t>2258507520002656</t>
        </is>
      </c>
      <c r="AZ132" t="inlineStr">
        <is>
          <t>BOOK</t>
        </is>
      </c>
      <c r="BB132" t="inlineStr">
        <is>
          <t>9780472083077</t>
        </is>
      </c>
      <c r="BC132" t="inlineStr">
        <is>
          <t>32285001772762</t>
        </is>
      </c>
      <c r="BD132" t="inlineStr">
        <is>
          <t>893510338</t>
        </is>
      </c>
    </row>
    <row r="133">
      <c r="A133" t="inlineStr">
        <is>
          <t>No</t>
        </is>
      </c>
      <c r="B133" t="inlineStr">
        <is>
          <t>PE1129.S8 V26 2001</t>
        </is>
      </c>
      <c r="C133" t="inlineStr">
        <is>
          <t>0                      PE 1129000S  8                  V  26          2001</t>
        </is>
      </c>
      <c r="D133" t="inlineStr">
        <is>
          <t>Learning and not learning English : Latino students in American schools / Guadalupe Valdés.</t>
        </is>
      </c>
      <c r="F133" t="inlineStr">
        <is>
          <t>No</t>
        </is>
      </c>
      <c r="G133" t="inlineStr">
        <is>
          <t>1</t>
        </is>
      </c>
      <c r="H133" t="inlineStr">
        <is>
          <t>No</t>
        </is>
      </c>
      <c r="I133" t="inlineStr">
        <is>
          <t>No</t>
        </is>
      </c>
      <c r="J133" t="inlineStr">
        <is>
          <t>0</t>
        </is>
      </c>
      <c r="K133" t="inlineStr">
        <is>
          <t>Valdés, Guadalupe.</t>
        </is>
      </c>
      <c r="L133" t="inlineStr">
        <is>
          <t>New York: Teachers College Press, c2001.</t>
        </is>
      </c>
      <c r="M133" t="inlineStr">
        <is>
          <t>2001</t>
        </is>
      </c>
      <c r="O133" t="inlineStr">
        <is>
          <t>eng</t>
        </is>
      </c>
      <c r="P133" t="inlineStr">
        <is>
          <t>nyu</t>
        </is>
      </c>
      <c r="Q133" t="inlineStr">
        <is>
          <t>Multicultural education series</t>
        </is>
      </c>
      <c r="R133" t="inlineStr">
        <is>
          <t xml:space="preserve">PE </t>
        </is>
      </c>
      <c r="S133" t="n">
        <v>6</v>
      </c>
      <c r="T133" t="n">
        <v>6</v>
      </c>
      <c r="U133" t="inlineStr">
        <is>
          <t>2008-11-23</t>
        </is>
      </c>
      <c r="V133" t="inlineStr">
        <is>
          <t>2008-11-23</t>
        </is>
      </c>
      <c r="W133" t="inlineStr">
        <is>
          <t>2001-08-22</t>
        </is>
      </c>
      <c r="X133" t="inlineStr">
        <is>
          <t>2001-08-22</t>
        </is>
      </c>
      <c r="Y133" t="n">
        <v>863</v>
      </c>
      <c r="Z133" t="n">
        <v>831</v>
      </c>
      <c r="AA133" t="n">
        <v>1083</v>
      </c>
      <c r="AB133" t="n">
        <v>5</v>
      </c>
      <c r="AC133" t="n">
        <v>28</v>
      </c>
      <c r="AD133" t="n">
        <v>39</v>
      </c>
      <c r="AE133" t="n">
        <v>51</v>
      </c>
      <c r="AF133" t="n">
        <v>17</v>
      </c>
      <c r="AG133" t="n">
        <v>19</v>
      </c>
      <c r="AH133" t="n">
        <v>10</v>
      </c>
      <c r="AI133" t="n">
        <v>10</v>
      </c>
      <c r="AJ133" t="n">
        <v>18</v>
      </c>
      <c r="AK133" t="n">
        <v>20</v>
      </c>
      <c r="AL133" t="n">
        <v>4</v>
      </c>
      <c r="AM133" t="n">
        <v>13</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HYPERLINK("https://creighton-primo.hosted.exlibrisgroup.com/primo-explore/search?tab=default_tab&amp;search_scope=EVERYTHING&amp;vid=01CRU&amp;lang=en_US&amp;offset=0&amp;query=any,contains,991003593029702656","Catalog Record")</f>
        <v/>
      </c>
      <c r="AT133">
        <f>HYPERLINK("http://www.worldcat.org/oclc/45661687","WorldCat Record")</f>
        <v/>
      </c>
      <c r="AU133" t="inlineStr">
        <is>
          <t>797180820:eng</t>
        </is>
      </c>
      <c r="AV133" t="inlineStr">
        <is>
          <t>45661687</t>
        </is>
      </c>
      <c r="AW133" t="inlineStr">
        <is>
          <t>991003593029702656</t>
        </is>
      </c>
      <c r="AX133" t="inlineStr">
        <is>
          <t>991003593029702656</t>
        </is>
      </c>
      <c r="AY133" t="inlineStr">
        <is>
          <t>2267818160002656</t>
        </is>
      </c>
      <c r="AZ133" t="inlineStr">
        <is>
          <t>BOOK</t>
        </is>
      </c>
      <c r="BB133" t="inlineStr">
        <is>
          <t>9780807741054</t>
        </is>
      </c>
      <c r="BC133" t="inlineStr">
        <is>
          <t>32285004379912</t>
        </is>
      </c>
      <c r="BD133" t="inlineStr">
        <is>
          <t>893330523</t>
        </is>
      </c>
    </row>
    <row r="134">
      <c r="A134" t="inlineStr">
        <is>
          <t>No</t>
        </is>
      </c>
      <c r="B134" t="inlineStr">
        <is>
          <t>PE1130.J3 K5</t>
        </is>
      </c>
      <c r="C134" t="inlineStr">
        <is>
          <t>0                      PE 1130000J  3                  K  5</t>
        </is>
      </c>
      <c r="D134" t="inlineStr">
        <is>
          <t>Teaching English to Japanese.</t>
        </is>
      </c>
      <c r="F134" t="inlineStr">
        <is>
          <t>No</t>
        </is>
      </c>
      <c r="G134" t="inlineStr">
        <is>
          <t>1</t>
        </is>
      </c>
      <c r="H134" t="inlineStr">
        <is>
          <t>No</t>
        </is>
      </c>
      <c r="I134" t="inlineStr">
        <is>
          <t>No</t>
        </is>
      </c>
      <c r="J134" t="inlineStr">
        <is>
          <t>0</t>
        </is>
      </c>
      <c r="K134" t="inlineStr">
        <is>
          <t>Kimizuka, Sumako.</t>
        </is>
      </c>
      <c r="L134" t="inlineStr">
        <is>
          <t>Los Angeles : Anchor Enterprises, [1968]</t>
        </is>
      </c>
      <c r="M134" t="inlineStr">
        <is>
          <t>1968</t>
        </is>
      </c>
      <c r="O134" t="inlineStr">
        <is>
          <t>eng</t>
        </is>
      </c>
      <c r="P134" t="inlineStr">
        <is>
          <t>cau</t>
        </is>
      </c>
      <c r="Q134" t="inlineStr">
        <is>
          <t>A Neptune book</t>
        </is>
      </c>
      <c r="R134" t="inlineStr">
        <is>
          <t xml:space="preserve">PE </t>
        </is>
      </c>
      <c r="S134" t="n">
        <v>4</v>
      </c>
      <c r="T134" t="n">
        <v>4</v>
      </c>
      <c r="U134" t="inlineStr">
        <is>
          <t>2004-03-22</t>
        </is>
      </c>
      <c r="V134" t="inlineStr">
        <is>
          <t>2004-03-22</t>
        </is>
      </c>
      <c r="W134" t="inlineStr">
        <is>
          <t>1990-09-04</t>
        </is>
      </c>
      <c r="X134" t="inlineStr">
        <is>
          <t>1990-09-04</t>
        </is>
      </c>
      <c r="Y134" t="n">
        <v>60</v>
      </c>
      <c r="Z134" t="n">
        <v>57</v>
      </c>
      <c r="AA134" t="n">
        <v>98</v>
      </c>
      <c r="AB134" t="n">
        <v>2</v>
      </c>
      <c r="AC134" t="n">
        <v>2</v>
      </c>
      <c r="AD134" t="n">
        <v>3</v>
      </c>
      <c r="AE134" t="n">
        <v>4</v>
      </c>
      <c r="AF134" t="n">
        <v>1</v>
      </c>
      <c r="AG134" t="n">
        <v>1</v>
      </c>
      <c r="AH134" t="n">
        <v>0</v>
      </c>
      <c r="AI134" t="n">
        <v>1</v>
      </c>
      <c r="AJ134" t="n">
        <v>1</v>
      </c>
      <c r="AK134" t="n">
        <v>2</v>
      </c>
      <c r="AL134" t="n">
        <v>1</v>
      </c>
      <c r="AM134" t="n">
        <v>1</v>
      </c>
      <c r="AN134" t="n">
        <v>0</v>
      </c>
      <c r="AO134" t="n">
        <v>0</v>
      </c>
      <c r="AP134" t="inlineStr">
        <is>
          <t>No</t>
        </is>
      </c>
      <c r="AQ134" t="inlineStr">
        <is>
          <t>Yes</t>
        </is>
      </c>
      <c r="AR134">
        <f>HYPERLINK("http://catalog.hathitrust.org/Record/009917363","HathiTrust Record")</f>
        <v/>
      </c>
      <c r="AS134">
        <f>HYPERLINK("https://creighton-primo.hosted.exlibrisgroup.com/primo-explore/search?tab=default_tab&amp;search_scope=EVERYTHING&amp;vid=01CRU&amp;lang=en_US&amp;offset=0&amp;query=any,contains,991002764239702656","Catalog Record")</f>
        <v/>
      </c>
      <c r="AT134">
        <f>HYPERLINK("http://www.worldcat.org/oclc/431880","WorldCat Record")</f>
        <v/>
      </c>
      <c r="AU134" t="inlineStr">
        <is>
          <t>1539015:eng</t>
        </is>
      </c>
      <c r="AV134" t="inlineStr">
        <is>
          <t>431880</t>
        </is>
      </c>
      <c r="AW134" t="inlineStr">
        <is>
          <t>991002764239702656</t>
        </is>
      </c>
      <c r="AX134" t="inlineStr">
        <is>
          <t>991002764239702656</t>
        </is>
      </c>
      <c r="AY134" t="inlineStr">
        <is>
          <t>2271253490002656</t>
        </is>
      </c>
      <c r="AZ134" t="inlineStr">
        <is>
          <t>BOOK</t>
        </is>
      </c>
      <c r="BC134" t="inlineStr">
        <is>
          <t>32285000300235</t>
        </is>
      </c>
      <c r="BD134" t="inlineStr">
        <is>
          <t>893773996</t>
        </is>
      </c>
    </row>
    <row r="135">
      <c r="A135" t="inlineStr">
        <is>
          <t>No</t>
        </is>
      </c>
      <c r="B135" t="inlineStr">
        <is>
          <t>PE1130.J3 K86</t>
        </is>
      </c>
      <c r="C135" t="inlineStr">
        <is>
          <t>0                      PE 1130000J  3                  K  86</t>
        </is>
      </c>
      <c r="D135" t="inlineStr">
        <is>
          <t>[Gendai Amerika eigo (romanized form)] / by Kunihiro Masao.</t>
        </is>
      </c>
      <c r="E135" t="inlineStr">
        <is>
          <t>V. 3</t>
        </is>
      </c>
      <c r="F135" t="inlineStr">
        <is>
          <t>Yes</t>
        </is>
      </c>
      <c r="G135" t="inlineStr">
        <is>
          <t>1</t>
        </is>
      </c>
      <c r="H135" t="inlineStr">
        <is>
          <t>No</t>
        </is>
      </c>
      <c r="I135" t="inlineStr">
        <is>
          <t>No</t>
        </is>
      </c>
      <c r="J135" t="inlineStr">
        <is>
          <t>0</t>
        </is>
      </c>
      <c r="K135" t="inlineStr">
        <is>
          <t>Kunihiro, Masao, 1930-2014.</t>
        </is>
      </c>
      <c r="L135" t="inlineStr">
        <is>
          <t>Tokyo : Simul Press, 1975.</t>
        </is>
      </c>
      <c r="M135" t="inlineStr">
        <is>
          <t>1975</t>
        </is>
      </c>
      <c r="O135" t="inlineStr">
        <is>
          <t>jpn</t>
        </is>
      </c>
      <c r="P135" t="inlineStr">
        <is>
          <t xml:space="preserve">ja </t>
        </is>
      </c>
      <c r="Q135" t="inlineStr">
        <is>
          <t>Kunihiro's Contemporary Americana</t>
        </is>
      </c>
      <c r="R135" t="inlineStr">
        <is>
          <t xml:space="preserve">PE </t>
        </is>
      </c>
      <c r="S135" t="n">
        <v>2</v>
      </c>
      <c r="T135" t="n">
        <v>2</v>
      </c>
      <c r="U135" t="inlineStr">
        <is>
          <t>2004-03-22</t>
        </is>
      </c>
      <c r="V135" t="inlineStr">
        <is>
          <t>2004-03-22</t>
        </is>
      </c>
      <c r="W135" t="inlineStr">
        <is>
          <t>1993-04-23</t>
        </is>
      </c>
      <c r="X135" t="inlineStr">
        <is>
          <t>1993-04-23</t>
        </is>
      </c>
      <c r="Y135" t="n">
        <v>1</v>
      </c>
      <c r="Z135" t="n">
        <v>1</v>
      </c>
      <c r="AA135" t="n">
        <v>1</v>
      </c>
      <c r="AB135" t="n">
        <v>1</v>
      </c>
      <c r="AC135" t="n">
        <v>1</v>
      </c>
      <c r="AD135" t="n">
        <v>0</v>
      </c>
      <c r="AE135" t="n">
        <v>0</v>
      </c>
      <c r="AF135" t="n">
        <v>0</v>
      </c>
      <c r="AG135" t="n">
        <v>0</v>
      </c>
      <c r="AH135" t="n">
        <v>0</v>
      </c>
      <c r="AI135" t="n">
        <v>0</v>
      </c>
      <c r="AJ135" t="n">
        <v>0</v>
      </c>
      <c r="AK135" t="n">
        <v>0</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HYPERLINK("https://creighton-primo.hosted.exlibrisgroup.com/primo-explore/search?tab=default_tab&amp;search_scope=EVERYTHING&amp;vid=01CRU&amp;lang=en_US&amp;offset=0&amp;query=any,contains,991000084909702656","Catalog Record")</f>
        <v/>
      </c>
      <c r="AT135">
        <f>HYPERLINK("http://www.worldcat.org/oclc/8853151","WorldCat Record")</f>
        <v/>
      </c>
      <c r="AU135" t="inlineStr">
        <is>
          <t>11616214:jpn</t>
        </is>
      </c>
      <c r="AV135" t="inlineStr">
        <is>
          <t>8853151</t>
        </is>
      </c>
      <c r="AW135" t="inlineStr">
        <is>
          <t>991000084909702656</t>
        </is>
      </c>
      <c r="AX135" t="inlineStr">
        <is>
          <t>991000084909702656</t>
        </is>
      </c>
      <c r="AY135" t="inlineStr">
        <is>
          <t>2258325630002656</t>
        </is>
      </c>
      <c r="AZ135" t="inlineStr">
        <is>
          <t>BOOK</t>
        </is>
      </c>
      <c r="BC135" t="inlineStr">
        <is>
          <t>32285001646586</t>
        </is>
      </c>
      <c r="BD135" t="inlineStr">
        <is>
          <t>893877788</t>
        </is>
      </c>
    </row>
    <row r="136">
      <c r="A136" t="inlineStr">
        <is>
          <t>No</t>
        </is>
      </c>
      <c r="B136" t="inlineStr">
        <is>
          <t>PE1130.J3 K86</t>
        </is>
      </c>
      <c r="C136" t="inlineStr">
        <is>
          <t>0                      PE 1130000J  3                  K  86</t>
        </is>
      </c>
      <c r="D136" t="inlineStr">
        <is>
          <t>[Gendai Amerika eigo (romanized form)] / by Kunihiro Masao.</t>
        </is>
      </c>
      <c r="E136" t="inlineStr">
        <is>
          <t>V. 2</t>
        </is>
      </c>
      <c r="F136" t="inlineStr">
        <is>
          <t>Yes</t>
        </is>
      </c>
      <c r="G136" t="inlineStr">
        <is>
          <t>1</t>
        </is>
      </c>
      <c r="H136" t="inlineStr">
        <is>
          <t>No</t>
        </is>
      </c>
      <c r="I136" t="inlineStr">
        <is>
          <t>No</t>
        </is>
      </c>
      <c r="J136" t="inlineStr">
        <is>
          <t>0</t>
        </is>
      </c>
      <c r="K136" t="inlineStr">
        <is>
          <t>Kunihiro, Masao, 1930-2014.</t>
        </is>
      </c>
      <c r="L136" t="inlineStr">
        <is>
          <t>Tokyo : Simul Press, 1975.</t>
        </is>
      </c>
      <c r="M136" t="inlineStr">
        <is>
          <t>1975</t>
        </is>
      </c>
      <c r="O136" t="inlineStr">
        <is>
          <t>jpn</t>
        </is>
      </c>
      <c r="P136" t="inlineStr">
        <is>
          <t xml:space="preserve">ja </t>
        </is>
      </c>
      <c r="Q136" t="inlineStr">
        <is>
          <t>Kunihiro's Contemporary Americana</t>
        </is>
      </c>
      <c r="R136" t="inlineStr">
        <is>
          <t xml:space="preserve">PE </t>
        </is>
      </c>
      <c r="S136" t="n">
        <v>0</v>
      </c>
      <c r="T136" t="n">
        <v>2</v>
      </c>
      <c r="V136" t="inlineStr">
        <is>
          <t>2004-03-22</t>
        </is>
      </c>
      <c r="W136" t="inlineStr">
        <is>
          <t>1993-04-23</t>
        </is>
      </c>
      <c r="X136" t="inlineStr">
        <is>
          <t>1993-04-23</t>
        </is>
      </c>
      <c r="Y136" t="n">
        <v>1</v>
      </c>
      <c r="Z136" t="n">
        <v>1</v>
      </c>
      <c r="AA136" t="n">
        <v>1</v>
      </c>
      <c r="AB136" t="n">
        <v>1</v>
      </c>
      <c r="AC136" t="n">
        <v>1</v>
      </c>
      <c r="AD136" t="n">
        <v>0</v>
      </c>
      <c r="AE136" t="n">
        <v>0</v>
      </c>
      <c r="AF136" t="n">
        <v>0</v>
      </c>
      <c r="AG136" t="n">
        <v>0</v>
      </c>
      <c r="AH136" t="n">
        <v>0</v>
      </c>
      <c r="AI136" t="n">
        <v>0</v>
      </c>
      <c r="AJ136" t="n">
        <v>0</v>
      </c>
      <c r="AK136" t="n">
        <v>0</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HYPERLINK("https://creighton-primo.hosted.exlibrisgroup.com/primo-explore/search?tab=default_tab&amp;search_scope=EVERYTHING&amp;vid=01CRU&amp;lang=en_US&amp;offset=0&amp;query=any,contains,991000084909702656","Catalog Record")</f>
        <v/>
      </c>
      <c r="AT136">
        <f>HYPERLINK("http://www.worldcat.org/oclc/8853151","WorldCat Record")</f>
        <v/>
      </c>
      <c r="AU136" t="inlineStr">
        <is>
          <t>11616214:jpn</t>
        </is>
      </c>
      <c r="AV136" t="inlineStr">
        <is>
          <t>8853151</t>
        </is>
      </c>
      <c r="AW136" t="inlineStr">
        <is>
          <t>991000084909702656</t>
        </is>
      </c>
      <c r="AX136" t="inlineStr">
        <is>
          <t>991000084909702656</t>
        </is>
      </c>
      <c r="AY136" t="inlineStr">
        <is>
          <t>2258325630002656</t>
        </is>
      </c>
      <c r="AZ136" t="inlineStr">
        <is>
          <t>BOOK</t>
        </is>
      </c>
      <c r="BC136" t="inlineStr">
        <is>
          <t>32285001646578</t>
        </is>
      </c>
      <c r="BD136" t="inlineStr">
        <is>
          <t>893871385</t>
        </is>
      </c>
    </row>
    <row r="137">
      <c r="A137" t="inlineStr">
        <is>
          <t>No</t>
        </is>
      </c>
      <c r="B137" t="inlineStr">
        <is>
          <t>PE1130.J3 K86</t>
        </is>
      </c>
      <c r="C137" t="inlineStr">
        <is>
          <t>0                      PE 1130000J  3                  K  86</t>
        </is>
      </c>
      <c r="D137" t="inlineStr">
        <is>
          <t>[Gendai Amerika eigo (romanized form)] / by Kunihiro Masao.</t>
        </is>
      </c>
      <c r="E137" t="inlineStr">
        <is>
          <t>V. 1</t>
        </is>
      </c>
      <c r="F137" t="inlineStr">
        <is>
          <t>Yes</t>
        </is>
      </c>
      <c r="G137" t="inlineStr">
        <is>
          <t>1</t>
        </is>
      </c>
      <c r="H137" t="inlineStr">
        <is>
          <t>No</t>
        </is>
      </c>
      <c r="I137" t="inlineStr">
        <is>
          <t>No</t>
        </is>
      </c>
      <c r="J137" t="inlineStr">
        <is>
          <t>0</t>
        </is>
      </c>
      <c r="K137" t="inlineStr">
        <is>
          <t>Kunihiro, Masao, 1930-2014.</t>
        </is>
      </c>
      <c r="L137" t="inlineStr">
        <is>
          <t>Tokyo : Simul Press, 1975.</t>
        </is>
      </c>
      <c r="M137" t="inlineStr">
        <is>
          <t>1975</t>
        </is>
      </c>
      <c r="O137" t="inlineStr">
        <is>
          <t>jpn</t>
        </is>
      </c>
      <c r="P137" t="inlineStr">
        <is>
          <t xml:space="preserve">ja </t>
        </is>
      </c>
      <c r="Q137" t="inlineStr">
        <is>
          <t>Kunihiro's Contemporary Americana</t>
        </is>
      </c>
      <c r="R137" t="inlineStr">
        <is>
          <t xml:space="preserve">PE </t>
        </is>
      </c>
      <c r="S137" t="n">
        <v>0</v>
      </c>
      <c r="T137" t="n">
        <v>2</v>
      </c>
      <c r="V137" t="inlineStr">
        <is>
          <t>2004-03-22</t>
        </is>
      </c>
      <c r="W137" t="inlineStr">
        <is>
          <t>1990-07-20</t>
        </is>
      </c>
      <c r="X137" t="inlineStr">
        <is>
          <t>1993-04-23</t>
        </is>
      </c>
      <c r="Y137" t="n">
        <v>1</v>
      </c>
      <c r="Z137" t="n">
        <v>1</v>
      </c>
      <c r="AA137" t="n">
        <v>1</v>
      </c>
      <c r="AB137" t="n">
        <v>1</v>
      </c>
      <c r="AC137" t="n">
        <v>1</v>
      </c>
      <c r="AD137" t="n">
        <v>0</v>
      </c>
      <c r="AE137" t="n">
        <v>0</v>
      </c>
      <c r="AF137" t="n">
        <v>0</v>
      </c>
      <c r="AG137" t="n">
        <v>0</v>
      </c>
      <c r="AH137" t="n">
        <v>0</v>
      </c>
      <c r="AI137" t="n">
        <v>0</v>
      </c>
      <c r="AJ137" t="n">
        <v>0</v>
      </c>
      <c r="AK137" t="n">
        <v>0</v>
      </c>
      <c r="AL137" t="n">
        <v>0</v>
      </c>
      <c r="AM137" t="n">
        <v>0</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HYPERLINK("https://creighton-primo.hosted.exlibrisgroup.com/primo-explore/search?tab=default_tab&amp;search_scope=EVERYTHING&amp;vid=01CRU&amp;lang=en_US&amp;offset=0&amp;query=any,contains,991000084909702656","Catalog Record")</f>
        <v/>
      </c>
      <c r="AT137">
        <f>HYPERLINK("http://www.worldcat.org/oclc/8853151","WorldCat Record")</f>
        <v/>
      </c>
      <c r="AU137" t="inlineStr">
        <is>
          <t>11616214:jpn</t>
        </is>
      </c>
      <c r="AV137" t="inlineStr">
        <is>
          <t>8853151</t>
        </is>
      </c>
      <c r="AW137" t="inlineStr">
        <is>
          <t>991000084909702656</t>
        </is>
      </c>
      <c r="AX137" t="inlineStr">
        <is>
          <t>991000084909702656</t>
        </is>
      </c>
      <c r="AY137" t="inlineStr">
        <is>
          <t>2258325630002656</t>
        </is>
      </c>
      <c r="AZ137" t="inlineStr">
        <is>
          <t>BOOK</t>
        </is>
      </c>
      <c r="BC137" t="inlineStr">
        <is>
          <t>32285000245042</t>
        </is>
      </c>
      <c r="BD137" t="inlineStr">
        <is>
          <t>893877789</t>
        </is>
      </c>
    </row>
    <row r="138">
      <c r="A138" t="inlineStr">
        <is>
          <t>No</t>
        </is>
      </c>
      <c r="B138" t="inlineStr">
        <is>
          <t>PE1133 .J6 1989</t>
        </is>
      </c>
      <c r="C138" t="inlineStr">
        <is>
          <t>0                      PE 1133000J  6           1989</t>
        </is>
      </c>
      <c r="D138" t="inlineStr">
        <is>
          <t>A history of English phonology / Charles Jones.</t>
        </is>
      </c>
      <c r="F138" t="inlineStr">
        <is>
          <t>No</t>
        </is>
      </c>
      <c r="G138" t="inlineStr">
        <is>
          <t>1</t>
        </is>
      </c>
      <c r="H138" t="inlineStr">
        <is>
          <t>No</t>
        </is>
      </c>
      <c r="I138" t="inlineStr">
        <is>
          <t>No</t>
        </is>
      </c>
      <c r="J138" t="inlineStr">
        <is>
          <t>0</t>
        </is>
      </c>
      <c r="K138" t="inlineStr">
        <is>
          <t>Jones, Charles, 1939-</t>
        </is>
      </c>
      <c r="L138" t="inlineStr">
        <is>
          <t>London ; New York : Longman, 1989.</t>
        </is>
      </c>
      <c r="M138" t="inlineStr">
        <is>
          <t>1989</t>
        </is>
      </c>
      <c r="O138" t="inlineStr">
        <is>
          <t>eng</t>
        </is>
      </c>
      <c r="P138" t="inlineStr">
        <is>
          <t>nyu</t>
        </is>
      </c>
      <c r="Q138" t="inlineStr">
        <is>
          <t>Longman linguistics library</t>
        </is>
      </c>
      <c r="R138" t="inlineStr">
        <is>
          <t xml:space="preserve">PE </t>
        </is>
      </c>
      <c r="S138" t="n">
        <v>4</v>
      </c>
      <c r="T138" t="n">
        <v>4</v>
      </c>
      <c r="U138" t="inlineStr">
        <is>
          <t>1996-03-24</t>
        </is>
      </c>
      <c r="V138" t="inlineStr">
        <is>
          <t>1996-03-24</t>
        </is>
      </c>
      <c r="W138" t="inlineStr">
        <is>
          <t>1990-02-24</t>
        </is>
      </c>
      <c r="X138" t="inlineStr">
        <is>
          <t>1990-02-24</t>
        </is>
      </c>
      <c r="Y138" t="n">
        <v>459</v>
      </c>
      <c r="Z138" t="n">
        <v>271</v>
      </c>
      <c r="AA138" t="n">
        <v>291</v>
      </c>
      <c r="AB138" t="n">
        <v>4</v>
      </c>
      <c r="AC138" t="n">
        <v>4</v>
      </c>
      <c r="AD138" t="n">
        <v>15</v>
      </c>
      <c r="AE138" t="n">
        <v>15</v>
      </c>
      <c r="AF138" t="n">
        <v>2</v>
      </c>
      <c r="AG138" t="n">
        <v>2</v>
      </c>
      <c r="AH138" t="n">
        <v>6</v>
      </c>
      <c r="AI138" t="n">
        <v>6</v>
      </c>
      <c r="AJ138" t="n">
        <v>9</v>
      </c>
      <c r="AK138" t="n">
        <v>9</v>
      </c>
      <c r="AL138" t="n">
        <v>3</v>
      </c>
      <c r="AM138" t="n">
        <v>3</v>
      </c>
      <c r="AN138" t="n">
        <v>0</v>
      </c>
      <c r="AO138" t="n">
        <v>0</v>
      </c>
      <c r="AP138" t="inlineStr">
        <is>
          <t>No</t>
        </is>
      </c>
      <c r="AQ138" t="inlineStr">
        <is>
          <t>Yes</t>
        </is>
      </c>
      <c r="AR138">
        <f>HYPERLINK("http://catalog.hathitrust.org/Record/002629886","HathiTrust Record")</f>
        <v/>
      </c>
      <c r="AS138">
        <f>HYPERLINK("https://creighton-primo.hosted.exlibrisgroup.com/primo-explore/search?tab=default_tab&amp;search_scope=EVERYTHING&amp;vid=01CRU&amp;lang=en_US&amp;offset=0&amp;query=any,contains,991001353709702656","Catalog Record")</f>
        <v/>
      </c>
      <c r="AT138">
        <f>HYPERLINK("http://www.worldcat.org/oclc/18463263","WorldCat Record")</f>
        <v/>
      </c>
      <c r="AU138" t="inlineStr">
        <is>
          <t>17465735:eng</t>
        </is>
      </c>
      <c r="AV138" t="inlineStr">
        <is>
          <t>18463263</t>
        </is>
      </c>
      <c r="AW138" t="inlineStr">
        <is>
          <t>991001353709702656</t>
        </is>
      </c>
      <c r="AX138" t="inlineStr">
        <is>
          <t>991001353709702656</t>
        </is>
      </c>
      <c r="AY138" t="inlineStr">
        <is>
          <t>2259782720002656</t>
        </is>
      </c>
      <c r="AZ138" t="inlineStr">
        <is>
          <t>BOOK</t>
        </is>
      </c>
      <c r="BB138" t="inlineStr">
        <is>
          <t>9780582291560</t>
        </is>
      </c>
      <c r="BC138" t="inlineStr">
        <is>
          <t>32285000040690</t>
        </is>
      </c>
      <c r="BD138" t="inlineStr">
        <is>
          <t>893432802</t>
        </is>
      </c>
    </row>
    <row r="139">
      <c r="A139" t="inlineStr">
        <is>
          <t>No</t>
        </is>
      </c>
      <c r="B139" t="inlineStr">
        <is>
          <t>PE1133 .M7 1924</t>
        </is>
      </c>
      <c r="C139" t="inlineStr">
        <is>
          <t>0                      PE 1133000M  7           1924</t>
        </is>
      </c>
      <c r="D139" t="inlineStr">
        <is>
          <t>Historical outlines of English phonology and Middle English grammar : for courses in Chaucer, Middle English, and the history of the English language / by Samuel Moore.</t>
        </is>
      </c>
      <c r="F139" t="inlineStr">
        <is>
          <t>No</t>
        </is>
      </c>
      <c r="G139" t="inlineStr">
        <is>
          <t>1</t>
        </is>
      </c>
      <c r="H139" t="inlineStr">
        <is>
          <t>Yes</t>
        </is>
      </c>
      <c r="I139" t="inlineStr">
        <is>
          <t>No</t>
        </is>
      </c>
      <c r="J139" t="inlineStr">
        <is>
          <t>0</t>
        </is>
      </c>
      <c r="K139" t="inlineStr">
        <is>
          <t>Moore, Samuel, 1877-1934.</t>
        </is>
      </c>
      <c r="L139" t="inlineStr">
        <is>
          <t>Ann Arbor, Mich. : George Wahr, c1924.</t>
        </is>
      </c>
      <c r="M139" t="inlineStr">
        <is>
          <t>1924</t>
        </is>
      </c>
      <c r="O139" t="inlineStr">
        <is>
          <t>eng</t>
        </is>
      </c>
      <c r="P139" t="inlineStr">
        <is>
          <t>miu</t>
        </is>
      </c>
      <c r="R139" t="inlineStr">
        <is>
          <t xml:space="preserve">PE </t>
        </is>
      </c>
      <c r="S139" t="n">
        <v>1</v>
      </c>
      <c r="T139" t="n">
        <v>2</v>
      </c>
      <c r="U139" t="inlineStr">
        <is>
          <t>2004-10-31</t>
        </is>
      </c>
      <c r="V139" t="inlineStr">
        <is>
          <t>2004-10-31</t>
        </is>
      </c>
      <c r="W139" t="inlineStr">
        <is>
          <t>1993-04-23</t>
        </is>
      </c>
      <c r="X139" t="inlineStr">
        <is>
          <t>1993-04-23</t>
        </is>
      </c>
      <c r="Y139" t="n">
        <v>18</v>
      </c>
      <c r="Z139" t="n">
        <v>16</v>
      </c>
      <c r="AA139" t="n">
        <v>117</v>
      </c>
      <c r="AB139" t="n">
        <v>1</v>
      </c>
      <c r="AC139" t="n">
        <v>2</v>
      </c>
      <c r="AD139" t="n">
        <v>1</v>
      </c>
      <c r="AE139" t="n">
        <v>4</v>
      </c>
      <c r="AF139" t="n">
        <v>1</v>
      </c>
      <c r="AG139" t="n">
        <v>2</v>
      </c>
      <c r="AH139" t="n">
        <v>0</v>
      </c>
      <c r="AI139" t="n">
        <v>1</v>
      </c>
      <c r="AJ139" t="n">
        <v>0</v>
      </c>
      <c r="AK139" t="n">
        <v>0</v>
      </c>
      <c r="AL139" t="n">
        <v>0</v>
      </c>
      <c r="AM139" t="n">
        <v>1</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HYPERLINK("https://creighton-primo.hosted.exlibrisgroup.com/primo-explore/search?tab=default_tab&amp;search_scope=EVERYTHING&amp;vid=01CRU&amp;lang=en_US&amp;offset=0&amp;query=any,contains,991000764839702656","Catalog Record")</f>
        <v/>
      </c>
      <c r="AT139">
        <f>HYPERLINK("http://www.worldcat.org/oclc/12982201","WorldCat Record")</f>
        <v/>
      </c>
      <c r="AU139" t="inlineStr">
        <is>
          <t>422890564:eng</t>
        </is>
      </c>
      <c r="AV139" t="inlineStr">
        <is>
          <t>12982201</t>
        </is>
      </c>
      <c r="AW139" t="inlineStr">
        <is>
          <t>991000764839702656</t>
        </is>
      </c>
      <c r="AX139" t="inlineStr">
        <is>
          <t>991000764839702656</t>
        </is>
      </c>
      <c r="AY139" t="inlineStr">
        <is>
          <t>2262758970002656</t>
        </is>
      </c>
      <c r="AZ139" t="inlineStr">
        <is>
          <t>BOOK</t>
        </is>
      </c>
      <c r="BC139" t="inlineStr">
        <is>
          <t>32285001646610</t>
        </is>
      </c>
      <c r="BD139" t="inlineStr">
        <is>
          <t>893345959</t>
        </is>
      </c>
    </row>
    <row r="140">
      <c r="A140" t="inlineStr">
        <is>
          <t>No</t>
        </is>
      </c>
      <c r="B140" t="inlineStr">
        <is>
          <t>PE1133 .M7 1924</t>
        </is>
      </c>
      <c r="C140" t="inlineStr">
        <is>
          <t>0                      PE 1133000M  7           1924</t>
        </is>
      </c>
      <c r="D140" t="inlineStr">
        <is>
          <t>Historical outlines of English phonology and Middle English grammar : for courses in Chaucer, Middle English, and the history of the English language / by Samuel Moore.</t>
        </is>
      </c>
      <c r="F140" t="inlineStr">
        <is>
          <t>No</t>
        </is>
      </c>
      <c r="G140" t="inlineStr">
        <is>
          <t>1</t>
        </is>
      </c>
      <c r="H140" t="inlineStr">
        <is>
          <t>Yes</t>
        </is>
      </c>
      <c r="I140" t="inlineStr">
        <is>
          <t>No</t>
        </is>
      </c>
      <c r="J140" t="inlineStr">
        <is>
          <t>0</t>
        </is>
      </c>
      <c r="K140" t="inlineStr">
        <is>
          <t>Moore, Samuel, 1877-1934.</t>
        </is>
      </c>
      <c r="L140" t="inlineStr">
        <is>
          <t>Ann Arbor, Mich. : George Wahr, c1924.</t>
        </is>
      </c>
      <c r="M140" t="inlineStr">
        <is>
          <t>1924</t>
        </is>
      </c>
      <c r="O140" t="inlineStr">
        <is>
          <t>eng</t>
        </is>
      </c>
      <c r="P140" t="inlineStr">
        <is>
          <t>miu</t>
        </is>
      </c>
      <c r="R140" t="inlineStr">
        <is>
          <t xml:space="preserve">PE </t>
        </is>
      </c>
      <c r="S140" t="n">
        <v>1</v>
      </c>
      <c r="T140" t="n">
        <v>2</v>
      </c>
      <c r="U140" t="inlineStr">
        <is>
          <t>2004-10-31</t>
        </is>
      </c>
      <c r="V140" t="inlineStr">
        <is>
          <t>2004-10-31</t>
        </is>
      </c>
      <c r="W140" t="inlineStr">
        <is>
          <t>1993-04-23</t>
        </is>
      </c>
      <c r="X140" t="inlineStr">
        <is>
          <t>1993-04-23</t>
        </is>
      </c>
      <c r="Y140" t="n">
        <v>18</v>
      </c>
      <c r="Z140" t="n">
        <v>16</v>
      </c>
      <c r="AA140" t="n">
        <v>117</v>
      </c>
      <c r="AB140" t="n">
        <v>1</v>
      </c>
      <c r="AC140" t="n">
        <v>2</v>
      </c>
      <c r="AD140" t="n">
        <v>1</v>
      </c>
      <c r="AE140" t="n">
        <v>4</v>
      </c>
      <c r="AF140" t="n">
        <v>1</v>
      </c>
      <c r="AG140" t="n">
        <v>2</v>
      </c>
      <c r="AH140" t="n">
        <v>0</v>
      </c>
      <c r="AI140" t="n">
        <v>1</v>
      </c>
      <c r="AJ140" t="n">
        <v>0</v>
      </c>
      <c r="AK140" t="n">
        <v>0</v>
      </c>
      <c r="AL140" t="n">
        <v>0</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HYPERLINK("https://creighton-primo.hosted.exlibrisgroup.com/primo-explore/search?tab=default_tab&amp;search_scope=EVERYTHING&amp;vid=01CRU&amp;lang=en_US&amp;offset=0&amp;query=any,contains,991000764839702656","Catalog Record")</f>
        <v/>
      </c>
      <c r="AT140">
        <f>HYPERLINK("http://www.worldcat.org/oclc/12982201","WorldCat Record")</f>
        <v/>
      </c>
      <c r="AU140" t="inlineStr">
        <is>
          <t>422890564:eng</t>
        </is>
      </c>
      <c r="AV140" t="inlineStr">
        <is>
          <t>12982201</t>
        </is>
      </c>
      <c r="AW140" t="inlineStr">
        <is>
          <t>991000764839702656</t>
        </is>
      </c>
      <c r="AX140" t="inlineStr">
        <is>
          <t>991000764839702656</t>
        </is>
      </c>
      <c r="AY140" t="inlineStr">
        <is>
          <t>2262758970002656</t>
        </is>
      </c>
      <c r="AZ140" t="inlineStr">
        <is>
          <t>BOOK</t>
        </is>
      </c>
      <c r="BC140" t="inlineStr">
        <is>
          <t>32285001646628</t>
        </is>
      </c>
      <c r="BD140" t="inlineStr">
        <is>
          <t>893345960</t>
        </is>
      </c>
    </row>
    <row r="141">
      <c r="A141" t="inlineStr">
        <is>
          <t>No</t>
        </is>
      </c>
      <c r="B141" t="inlineStr">
        <is>
          <t>PE1135 .J67 1964</t>
        </is>
      </c>
      <c r="C141" t="inlineStr">
        <is>
          <t>0                      PE 1135000J  67          1964</t>
        </is>
      </c>
      <c r="D141" t="inlineStr">
        <is>
          <t>An outline of English phonetics / by Daniel Jones ; with 116 illustrations and with appendices on types of phonetic transcription and American pronunciation.</t>
        </is>
      </c>
      <c r="F141" t="inlineStr">
        <is>
          <t>No</t>
        </is>
      </c>
      <c r="G141" t="inlineStr">
        <is>
          <t>1</t>
        </is>
      </c>
      <c r="H141" t="inlineStr">
        <is>
          <t>No</t>
        </is>
      </c>
      <c r="I141" t="inlineStr">
        <is>
          <t>No</t>
        </is>
      </c>
      <c r="J141" t="inlineStr">
        <is>
          <t>0</t>
        </is>
      </c>
      <c r="K141" t="inlineStr">
        <is>
          <t>Jones, Daniel, 1881-1967.</t>
        </is>
      </c>
      <c r="L141" t="inlineStr">
        <is>
          <t>Cambridge, [Eng.] : Heffer, [1964, c1960]</t>
        </is>
      </c>
      <c r="M141" t="inlineStr">
        <is>
          <t>1964</t>
        </is>
      </c>
      <c r="N141" t="inlineStr">
        <is>
          <t>9th ed.</t>
        </is>
      </c>
      <c r="O141" t="inlineStr">
        <is>
          <t>eng</t>
        </is>
      </c>
      <c r="P141" t="inlineStr">
        <is>
          <t>enk</t>
        </is>
      </c>
      <c r="R141" t="inlineStr">
        <is>
          <t xml:space="preserve">PE </t>
        </is>
      </c>
      <c r="S141" t="n">
        <v>2</v>
      </c>
      <c r="T141" t="n">
        <v>2</v>
      </c>
      <c r="U141" t="inlineStr">
        <is>
          <t>2005-08-02</t>
        </is>
      </c>
      <c r="V141" t="inlineStr">
        <is>
          <t>2005-08-02</t>
        </is>
      </c>
      <c r="W141" t="inlineStr">
        <is>
          <t>1995-10-06</t>
        </is>
      </c>
      <c r="X141" t="inlineStr">
        <is>
          <t>1995-10-06</t>
        </is>
      </c>
      <c r="Y141" t="n">
        <v>97</v>
      </c>
      <c r="Z141" t="n">
        <v>62</v>
      </c>
      <c r="AA141" t="n">
        <v>540</v>
      </c>
      <c r="AB141" t="n">
        <v>1</v>
      </c>
      <c r="AC141" t="n">
        <v>4</v>
      </c>
      <c r="AD141" t="n">
        <v>3</v>
      </c>
      <c r="AE141" t="n">
        <v>28</v>
      </c>
      <c r="AF141" t="n">
        <v>0</v>
      </c>
      <c r="AG141" t="n">
        <v>12</v>
      </c>
      <c r="AH141" t="n">
        <v>2</v>
      </c>
      <c r="AI141" t="n">
        <v>7</v>
      </c>
      <c r="AJ141" t="n">
        <v>3</v>
      </c>
      <c r="AK141" t="n">
        <v>14</v>
      </c>
      <c r="AL141" t="n">
        <v>0</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HYPERLINK("https://creighton-primo.hosted.exlibrisgroup.com/primo-explore/search?tab=default_tab&amp;search_scope=EVERYTHING&amp;vid=01CRU&amp;lang=en_US&amp;offset=0&amp;query=any,contains,991005031009702656","Catalog Record")</f>
        <v/>
      </c>
      <c r="AT141">
        <f>HYPERLINK("http://www.worldcat.org/oclc/6718433","WorldCat Record")</f>
        <v/>
      </c>
      <c r="AU141" t="inlineStr">
        <is>
          <t>575900:eng</t>
        </is>
      </c>
      <c r="AV141" t="inlineStr">
        <is>
          <t>6718433</t>
        </is>
      </c>
      <c r="AW141" t="inlineStr">
        <is>
          <t>991005031009702656</t>
        </is>
      </c>
      <c r="AX141" t="inlineStr">
        <is>
          <t>991005031009702656</t>
        </is>
      </c>
      <c r="AY141" t="inlineStr">
        <is>
          <t>2257385250002656</t>
        </is>
      </c>
      <c r="AZ141" t="inlineStr">
        <is>
          <t>BOOK</t>
        </is>
      </c>
      <c r="BC141" t="inlineStr">
        <is>
          <t>32285002068343</t>
        </is>
      </c>
      <c r="BD141" t="inlineStr">
        <is>
          <t>893600515</t>
        </is>
      </c>
    </row>
    <row r="142">
      <c r="A142" t="inlineStr">
        <is>
          <t>No</t>
        </is>
      </c>
      <c r="B142" t="inlineStr">
        <is>
          <t>PE1135 .K4 1950</t>
        </is>
      </c>
      <c r="C142" t="inlineStr">
        <is>
          <t>0                      PE 1135000K  4           1950</t>
        </is>
      </c>
      <c r="D142" t="inlineStr">
        <is>
          <t>American pronunciation.</t>
        </is>
      </c>
      <c r="F142" t="inlineStr">
        <is>
          <t>No</t>
        </is>
      </c>
      <c r="G142" t="inlineStr">
        <is>
          <t>1</t>
        </is>
      </c>
      <c r="H142" t="inlineStr">
        <is>
          <t>No</t>
        </is>
      </c>
      <c r="I142" t="inlineStr">
        <is>
          <t>No</t>
        </is>
      </c>
      <c r="J142" t="inlineStr">
        <is>
          <t>0</t>
        </is>
      </c>
      <c r="K142" t="inlineStr">
        <is>
          <t>Kenyon, John Samuel, 1874-1959.</t>
        </is>
      </c>
      <c r="L142" t="inlineStr">
        <is>
          <t>Ann Arbor, Mich. : G. Wahr Pub. Co., 1950.</t>
        </is>
      </c>
      <c r="M142" t="inlineStr">
        <is>
          <t>1950</t>
        </is>
      </c>
      <c r="N142" t="inlineStr">
        <is>
          <t>10th ed.</t>
        </is>
      </c>
      <c r="O142" t="inlineStr">
        <is>
          <t>eng</t>
        </is>
      </c>
      <c r="P142" t="inlineStr">
        <is>
          <t>miu</t>
        </is>
      </c>
      <c r="R142" t="inlineStr">
        <is>
          <t xml:space="preserve">PE </t>
        </is>
      </c>
      <c r="S142" t="n">
        <v>4</v>
      </c>
      <c r="T142" t="n">
        <v>4</v>
      </c>
      <c r="U142" t="inlineStr">
        <is>
          <t>2007-11-02</t>
        </is>
      </c>
      <c r="V142" t="inlineStr">
        <is>
          <t>2007-11-02</t>
        </is>
      </c>
      <c r="W142" t="inlineStr">
        <is>
          <t>1992-08-19</t>
        </is>
      </c>
      <c r="X142" t="inlineStr">
        <is>
          <t>1992-08-19</t>
        </is>
      </c>
      <c r="Y142" t="n">
        <v>428</v>
      </c>
      <c r="Z142" t="n">
        <v>393</v>
      </c>
      <c r="AA142" t="n">
        <v>568</v>
      </c>
      <c r="AB142" t="n">
        <v>4</v>
      </c>
      <c r="AC142" t="n">
        <v>4</v>
      </c>
      <c r="AD142" t="n">
        <v>16</v>
      </c>
      <c r="AE142" t="n">
        <v>28</v>
      </c>
      <c r="AF142" t="n">
        <v>5</v>
      </c>
      <c r="AG142" t="n">
        <v>12</v>
      </c>
      <c r="AH142" t="n">
        <v>5</v>
      </c>
      <c r="AI142" t="n">
        <v>5</v>
      </c>
      <c r="AJ142" t="n">
        <v>9</v>
      </c>
      <c r="AK142" t="n">
        <v>16</v>
      </c>
      <c r="AL142" t="n">
        <v>3</v>
      </c>
      <c r="AM142" t="n">
        <v>3</v>
      </c>
      <c r="AN142" t="n">
        <v>0</v>
      </c>
      <c r="AO142" t="n">
        <v>0</v>
      </c>
      <c r="AP142" t="inlineStr">
        <is>
          <t>Yes</t>
        </is>
      </c>
      <c r="AQ142" t="inlineStr">
        <is>
          <t>No</t>
        </is>
      </c>
      <c r="AR142">
        <f>HYPERLINK("http://catalog.hathitrust.org/Record/001183046","HathiTrust Record")</f>
        <v/>
      </c>
      <c r="AS142">
        <f>HYPERLINK("https://creighton-primo.hosted.exlibrisgroup.com/primo-explore/search?tab=default_tab&amp;search_scope=EVERYTHING&amp;vid=01CRU&amp;lang=en_US&amp;offset=0&amp;query=any,contains,991002299369702656","Catalog Record")</f>
        <v/>
      </c>
      <c r="AT142">
        <f>HYPERLINK("http://www.worldcat.org/oclc/316925","WorldCat Record")</f>
        <v/>
      </c>
      <c r="AU142" t="inlineStr">
        <is>
          <t>1388577:eng</t>
        </is>
      </c>
      <c r="AV142" t="inlineStr">
        <is>
          <t>316925</t>
        </is>
      </c>
      <c r="AW142" t="inlineStr">
        <is>
          <t>991002299369702656</t>
        </is>
      </c>
      <c r="AX142" t="inlineStr">
        <is>
          <t>991002299369702656</t>
        </is>
      </c>
      <c r="AY142" t="inlineStr">
        <is>
          <t>2269461130002656</t>
        </is>
      </c>
      <c r="AZ142" t="inlineStr">
        <is>
          <t>BOOK</t>
        </is>
      </c>
      <c r="BC142" t="inlineStr">
        <is>
          <t>32285001246544</t>
        </is>
      </c>
      <c r="BD142" t="inlineStr">
        <is>
          <t>893341273</t>
        </is>
      </c>
    </row>
    <row r="143">
      <c r="A143" t="inlineStr">
        <is>
          <t>No</t>
        </is>
      </c>
      <c r="B143" t="inlineStr">
        <is>
          <t>PE1135 .T48</t>
        </is>
      </c>
      <c r="C143" t="inlineStr">
        <is>
          <t>0                      PE 1135000T  48</t>
        </is>
      </c>
      <c r="D143" t="inlineStr">
        <is>
          <t>Handbook of speech improvement.</t>
        </is>
      </c>
      <c r="F143" t="inlineStr">
        <is>
          <t>No</t>
        </is>
      </c>
      <c r="G143" t="inlineStr">
        <is>
          <t>1</t>
        </is>
      </c>
      <c r="H143" t="inlineStr">
        <is>
          <t>No</t>
        </is>
      </c>
      <c r="I143" t="inlineStr">
        <is>
          <t>No</t>
        </is>
      </c>
      <c r="J143" t="inlineStr">
        <is>
          <t>0</t>
        </is>
      </c>
      <c r="K143" t="inlineStr">
        <is>
          <t>Thomas, Charles Kenneth.</t>
        </is>
      </c>
      <c r="L143" t="inlineStr">
        <is>
          <t>New York : Ronald Press Co., [1956]</t>
        </is>
      </c>
      <c r="M143" t="inlineStr">
        <is>
          <t>1956</t>
        </is>
      </c>
      <c r="O143" t="inlineStr">
        <is>
          <t>eng</t>
        </is>
      </c>
      <c r="P143" t="inlineStr">
        <is>
          <t>nyu</t>
        </is>
      </c>
      <c r="R143" t="inlineStr">
        <is>
          <t xml:space="preserve">PE </t>
        </is>
      </c>
      <c r="S143" t="n">
        <v>3</v>
      </c>
      <c r="T143" t="n">
        <v>3</v>
      </c>
      <c r="U143" t="inlineStr">
        <is>
          <t>2007-11-02</t>
        </is>
      </c>
      <c r="V143" t="inlineStr">
        <is>
          <t>2007-11-02</t>
        </is>
      </c>
      <c r="W143" t="inlineStr">
        <is>
          <t>1991-08-08</t>
        </is>
      </c>
      <c r="X143" t="inlineStr">
        <is>
          <t>1991-08-08</t>
        </is>
      </c>
      <c r="Y143" t="n">
        <v>331</v>
      </c>
      <c r="Z143" t="n">
        <v>319</v>
      </c>
      <c r="AA143" t="n">
        <v>325</v>
      </c>
      <c r="AB143" t="n">
        <v>2</v>
      </c>
      <c r="AC143" t="n">
        <v>2</v>
      </c>
      <c r="AD143" t="n">
        <v>7</v>
      </c>
      <c r="AE143" t="n">
        <v>7</v>
      </c>
      <c r="AF143" t="n">
        <v>3</v>
      </c>
      <c r="AG143" t="n">
        <v>3</v>
      </c>
      <c r="AH143" t="n">
        <v>3</v>
      </c>
      <c r="AI143" t="n">
        <v>3</v>
      </c>
      <c r="AJ143" t="n">
        <v>2</v>
      </c>
      <c r="AK143" t="n">
        <v>2</v>
      </c>
      <c r="AL143" t="n">
        <v>1</v>
      </c>
      <c r="AM143" t="n">
        <v>1</v>
      </c>
      <c r="AN143" t="n">
        <v>0</v>
      </c>
      <c r="AO143" t="n">
        <v>0</v>
      </c>
      <c r="AP143" t="inlineStr">
        <is>
          <t>Yes</t>
        </is>
      </c>
      <c r="AQ143" t="inlineStr">
        <is>
          <t>No</t>
        </is>
      </c>
      <c r="AR143">
        <f>HYPERLINK("http://catalog.hathitrust.org/Record/001770909","HathiTrust Record")</f>
        <v/>
      </c>
      <c r="AS143">
        <f>HYPERLINK("https://creighton-primo.hosted.exlibrisgroup.com/primo-explore/search?tab=default_tab&amp;search_scope=EVERYTHING&amp;vid=01CRU&amp;lang=en_US&amp;offset=0&amp;query=any,contains,991003905469702656","Catalog Record")</f>
        <v/>
      </c>
      <c r="AT143">
        <f>HYPERLINK("http://www.worldcat.org/oclc/1836602","WorldCat Record")</f>
        <v/>
      </c>
      <c r="AU143" t="inlineStr">
        <is>
          <t>2753514:eng</t>
        </is>
      </c>
      <c r="AV143" t="inlineStr">
        <is>
          <t>1836602</t>
        </is>
      </c>
      <c r="AW143" t="inlineStr">
        <is>
          <t>991003905469702656</t>
        </is>
      </c>
      <c r="AX143" t="inlineStr">
        <is>
          <t>991003905469702656</t>
        </is>
      </c>
      <c r="AY143" t="inlineStr">
        <is>
          <t>2257512500002656</t>
        </is>
      </c>
      <c r="AZ143" t="inlineStr">
        <is>
          <t>BOOK</t>
        </is>
      </c>
      <c r="BC143" t="inlineStr">
        <is>
          <t>32285000681170</t>
        </is>
      </c>
      <c r="BD143" t="inlineStr">
        <is>
          <t>893800358</t>
        </is>
      </c>
    </row>
    <row r="144">
      <c r="A144" t="inlineStr">
        <is>
          <t>No</t>
        </is>
      </c>
      <c r="B144" t="inlineStr">
        <is>
          <t>PE1135 .V35 1962</t>
        </is>
      </c>
      <c r="C144" t="inlineStr">
        <is>
          <t>0                      PE 1135000V  35          1962</t>
        </is>
      </c>
      <c r="D144" t="inlineStr">
        <is>
          <t>An introduction to general American phonetics [by] Charles G. Van Riper and Dorothy Edna Smith.</t>
        </is>
      </c>
      <c r="F144" t="inlineStr">
        <is>
          <t>No</t>
        </is>
      </c>
      <c r="G144" t="inlineStr">
        <is>
          <t>1</t>
        </is>
      </c>
      <c r="H144" t="inlineStr">
        <is>
          <t>No</t>
        </is>
      </c>
      <c r="I144" t="inlineStr">
        <is>
          <t>No</t>
        </is>
      </c>
      <c r="J144" t="inlineStr">
        <is>
          <t>0</t>
        </is>
      </c>
      <c r="K144" t="inlineStr">
        <is>
          <t>Van Riper, Charles, 1905-1994.</t>
        </is>
      </c>
      <c r="L144" t="inlineStr">
        <is>
          <t>New York, Harper &amp; Row [1962]</t>
        </is>
      </c>
      <c r="M144" t="inlineStr">
        <is>
          <t>1962</t>
        </is>
      </c>
      <c r="N144" t="inlineStr">
        <is>
          <t>2d ed.</t>
        </is>
      </c>
      <c r="O144" t="inlineStr">
        <is>
          <t>eng</t>
        </is>
      </c>
      <c r="P144" t="inlineStr">
        <is>
          <t>nyu</t>
        </is>
      </c>
      <c r="R144" t="inlineStr">
        <is>
          <t xml:space="preserve">PE </t>
        </is>
      </c>
      <c r="S144" t="n">
        <v>1</v>
      </c>
      <c r="T144" t="n">
        <v>1</v>
      </c>
      <c r="U144" t="inlineStr">
        <is>
          <t>2005-08-02</t>
        </is>
      </c>
      <c r="V144" t="inlineStr">
        <is>
          <t>2005-08-02</t>
        </is>
      </c>
      <c r="W144" t="inlineStr">
        <is>
          <t>1997-09-22</t>
        </is>
      </c>
      <c r="X144" t="inlineStr">
        <is>
          <t>1997-09-22</t>
        </is>
      </c>
      <c r="Y144" t="n">
        <v>304</v>
      </c>
      <c r="Z144" t="n">
        <v>276</v>
      </c>
      <c r="AA144" t="n">
        <v>462</v>
      </c>
      <c r="AB144" t="n">
        <v>4</v>
      </c>
      <c r="AC144" t="n">
        <v>5</v>
      </c>
      <c r="AD144" t="n">
        <v>11</v>
      </c>
      <c r="AE144" t="n">
        <v>19</v>
      </c>
      <c r="AF144" t="n">
        <v>2</v>
      </c>
      <c r="AG144" t="n">
        <v>6</v>
      </c>
      <c r="AH144" t="n">
        <v>4</v>
      </c>
      <c r="AI144" t="n">
        <v>6</v>
      </c>
      <c r="AJ144" t="n">
        <v>5</v>
      </c>
      <c r="AK144" t="n">
        <v>7</v>
      </c>
      <c r="AL144" t="n">
        <v>3</v>
      </c>
      <c r="AM144" t="n">
        <v>4</v>
      </c>
      <c r="AN144" t="n">
        <v>0</v>
      </c>
      <c r="AO144" t="n">
        <v>0</v>
      </c>
      <c r="AP144" t="inlineStr">
        <is>
          <t>No</t>
        </is>
      </c>
      <c r="AQ144" t="inlineStr">
        <is>
          <t>Yes</t>
        </is>
      </c>
      <c r="AR144">
        <f>HYPERLINK("http://catalog.hathitrust.org/Record/004514132","HathiTrust Record")</f>
        <v/>
      </c>
      <c r="AS144">
        <f>HYPERLINK("https://creighton-primo.hosted.exlibrisgroup.com/primo-explore/search?tab=default_tab&amp;search_scope=EVERYTHING&amp;vid=01CRU&amp;lang=en_US&amp;offset=0&amp;query=any,contains,991002299429702656","Catalog Record")</f>
        <v/>
      </c>
      <c r="AT144">
        <f>HYPERLINK("http://www.worldcat.org/oclc/316936","WorldCat Record")</f>
        <v/>
      </c>
      <c r="AU144" t="inlineStr">
        <is>
          <t>1031316054:eng</t>
        </is>
      </c>
      <c r="AV144" t="inlineStr">
        <is>
          <t>316936</t>
        </is>
      </c>
      <c r="AW144" t="inlineStr">
        <is>
          <t>991002299429702656</t>
        </is>
      </c>
      <c r="AX144" t="inlineStr">
        <is>
          <t>991002299429702656</t>
        </is>
      </c>
      <c r="AY144" t="inlineStr">
        <is>
          <t>2269479240002656</t>
        </is>
      </c>
      <c r="AZ144" t="inlineStr">
        <is>
          <t>BOOK</t>
        </is>
      </c>
      <c r="BC144" t="inlineStr">
        <is>
          <t>32285003245320</t>
        </is>
      </c>
      <c r="BD144" t="inlineStr">
        <is>
          <t>893710119</t>
        </is>
      </c>
    </row>
    <row r="145">
      <c r="A145" t="inlineStr">
        <is>
          <t>No</t>
        </is>
      </c>
      <c r="B145" t="inlineStr">
        <is>
          <t>PE1135 .W57</t>
        </is>
      </c>
      <c r="C145" t="inlineStr">
        <is>
          <t>0                      PE 1135000W  57</t>
        </is>
      </c>
      <c r="D145" t="inlineStr">
        <is>
          <t>Applied phonetics / illustrated by H. S. Wise.</t>
        </is>
      </c>
      <c r="F145" t="inlineStr">
        <is>
          <t>No</t>
        </is>
      </c>
      <c r="G145" t="inlineStr">
        <is>
          <t>1</t>
        </is>
      </c>
      <c r="H145" t="inlineStr">
        <is>
          <t>No</t>
        </is>
      </c>
      <c r="I145" t="inlineStr">
        <is>
          <t>No</t>
        </is>
      </c>
      <c r="J145" t="inlineStr">
        <is>
          <t>0</t>
        </is>
      </c>
      <c r="K145" t="inlineStr">
        <is>
          <t>Wise, Claude Merton, 1887-1966.</t>
        </is>
      </c>
      <c r="L145" t="inlineStr">
        <is>
          <t>Englewood Cliffs, N.J. : Prentice-Hall, 1957.</t>
        </is>
      </c>
      <c r="M145" t="inlineStr">
        <is>
          <t>1957</t>
        </is>
      </c>
      <c r="O145" t="inlineStr">
        <is>
          <t>eng</t>
        </is>
      </c>
      <c r="P145" t="inlineStr">
        <is>
          <t>nju</t>
        </is>
      </c>
      <c r="R145" t="inlineStr">
        <is>
          <t xml:space="preserve">PE </t>
        </is>
      </c>
      <c r="S145" t="n">
        <v>1</v>
      </c>
      <c r="T145" t="n">
        <v>1</v>
      </c>
      <c r="U145" t="inlineStr">
        <is>
          <t>1994-02-17</t>
        </is>
      </c>
      <c r="V145" t="inlineStr">
        <is>
          <t>1994-02-17</t>
        </is>
      </c>
      <c r="W145" t="inlineStr">
        <is>
          <t>1991-08-08</t>
        </is>
      </c>
      <c r="X145" t="inlineStr">
        <is>
          <t>1991-08-08</t>
        </is>
      </c>
      <c r="Y145" t="n">
        <v>742</v>
      </c>
      <c r="Z145" t="n">
        <v>640</v>
      </c>
      <c r="AA145" t="n">
        <v>646</v>
      </c>
      <c r="AB145" t="n">
        <v>9</v>
      </c>
      <c r="AC145" t="n">
        <v>9</v>
      </c>
      <c r="AD145" t="n">
        <v>32</v>
      </c>
      <c r="AE145" t="n">
        <v>32</v>
      </c>
      <c r="AF145" t="n">
        <v>9</v>
      </c>
      <c r="AG145" t="n">
        <v>9</v>
      </c>
      <c r="AH145" t="n">
        <v>5</v>
      </c>
      <c r="AI145" t="n">
        <v>5</v>
      </c>
      <c r="AJ145" t="n">
        <v>16</v>
      </c>
      <c r="AK145" t="n">
        <v>16</v>
      </c>
      <c r="AL145" t="n">
        <v>8</v>
      </c>
      <c r="AM145" t="n">
        <v>8</v>
      </c>
      <c r="AN145" t="n">
        <v>0</v>
      </c>
      <c r="AO145" t="n">
        <v>0</v>
      </c>
      <c r="AP145" t="inlineStr">
        <is>
          <t>Yes</t>
        </is>
      </c>
      <c r="AQ145" t="inlineStr">
        <is>
          <t>No</t>
        </is>
      </c>
      <c r="AR145">
        <f>HYPERLINK("http://catalog.hathitrust.org/Record/001193589","HathiTrust Record")</f>
        <v/>
      </c>
      <c r="AS145">
        <f>HYPERLINK("https://creighton-primo.hosted.exlibrisgroup.com/primo-explore/search?tab=default_tab&amp;search_scope=EVERYTHING&amp;vid=01CRU&amp;lang=en_US&amp;offset=0&amp;query=any,contains,991002299459702656","Catalog Record")</f>
        <v/>
      </c>
      <c r="AT145">
        <f>HYPERLINK("http://www.worldcat.org/oclc/316938","WorldCat Record")</f>
        <v/>
      </c>
      <c r="AU145" t="inlineStr">
        <is>
          <t>1388610:eng</t>
        </is>
      </c>
      <c r="AV145" t="inlineStr">
        <is>
          <t>316938</t>
        </is>
      </c>
      <c r="AW145" t="inlineStr">
        <is>
          <t>991002299459702656</t>
        </is>
      </c>
      <c r="AX145" t="inlineStr">
        <is>
          <t>991002299459702656</t>
        </is>
      </c>
      <c r="AY145" t="inlineStr">
        <is>
          <t>2269479380002656</t>
        </is>
      </c>
      <c r="AZ145" t="inlineStr">
        <is>
          <t>BOOK</t>
        </is>
      </c>
      <c r="BC145" t="inlineStr">
        <is>
          <t>32285000681162</t>
        </is>
      </c>
      <c r="BD145" t="inlineStr">
        <is>
          <t>893316647</t>
        </is>
      </c>
    </row>
    <row r="146">
      <c r="A146" t="inlineStr">
        <is>
          <t>No</t>
        </is>
      </c>
      <c r="B146" t="inlineStr">
        <is>
          <t>PE1137 .E53</t>
        </is>
      </c>
      <c r="C146" t="inlineStr">
        <is>
          <t>0                      PE 1137000E  53</t>
        </is>
      </c>
      <c r="D146" t="inlineStr">
        <is>
          <t>The improvement of voice and diction.</t>
        </is>
      </c>
      <c r="F146" t="inlineStr">
        <is>
          <t>No</t>
        </is>
      </c>
      <c r="G146" t="inlineStr">
        <is>
          <t>1</t>
        </is>
      </c>
      <c r="H146" t="inlineStr">
        <is>
          <t>No</t>
        </is>
      </c>
      <c r="I146" t="inlineStr">
        <is>
          <t>Yes</t>
        </is>
      </c>
      <c r="J146" t="inlineStr">
        <is>
          <t>0</t>
        </is>
      </c>
      <c r="K146" t="inlineStr">
        <is>
          <t>Eisenson, Jon, 1907-2001.</t>
        </is>
      </c>
      <c r="L146" t="inlineStr">
        <is>
          <t>New York, Macmillan [1958]</t>
        </is>
      </c>
      <c r="M146" t="inlineStr">
        <is>
          <t>1958</t>
        </is>
      </c>
      <c r="O146" t="inlineStr">
        <is>
          <t>eng</t>
        </is>
      </c>
      <c r="P146" t="inlineStr">
        <is>
          <t>nyu</t>
        </is>
      </c>
      <c r="R146" t="inlineStr">
        <is>
          <t xml:space="preserve">PE </t>
        </is>
      </c>
      <c r="S146" t="n">
        <v>2</v>
      </c>
      <c r="T146" t="n">
        <v>2</v>
      </c>
      <c r="U146" t="inlineStr">
        <is>
          <t>1997-11-30</t>
        </is>
      </c>
      <c r="V146" t="inlineStr">
        <is>
          <t>1997-11-30</t>
        </is>
      </c>
      <c r="W146" t="inlineStr">
        <is>
          <t>1997-09-22</t>
        </is>
      </c>
      <c r="X146" t="inlineStr">
        <is>
          <t>1997-09-22</t>
        </is>
      </c>
      <c r="Y146" t="n">
        <v>273</v>
      </c>
      <c r="Z146" t="n">
        <v>255</v>
      </c>
      <c r="AA146" t="n">
        <v>793</v>
      </c>
      <c r="AB146" t="n">
        <v>3</v>
      </c>
      <c r="AC146" t="n">
        <v>9</v>
      </c>
      <c r="AD146" t="n">
        <v>14</v>
      </c>
      <c r="AE146" t="n">
        <v>33</v>
      </c>
      <c r="AF146" t="n">
        <v>10</v>
      </c>
      <c r="AG146" t="n">
        <v>15</v>
      </c>
      <c r="AH146" t="n">
        <v>2</v>
      </c>
      <c r="AI146" t="n">
        <v>4</v>
      </c>
      <c r="AJ146" t="n">
        <v>5</v>
      </c>
      <c r="AK146" t="n">
        <v>14</v>
      </c>
      <c r="AL146" t="n">
        <v>1</v>
      </c>
      <c r="AM146" t="n">
        <v>6</v>
      </c>
      <c r="AN146" t="n">
        <v>0</v>
      </c>
      <c r="AO146" t="n">
        <v>0</v>
      </c>
      <c r="AP146" t="inlineStr">
        <is>
          <t>No</t>
        </is>
      </c>
      <c r="AQ146" t="inlineStr">
        <is>
          <t>No</t>
        </is>
      </c>
      <c r="AR146">
        <f>HYPERLINK("http://catalog.hathitrust.org/Record/006098824","HathiTrust Record")</f>
        <v/>
      </c>
      <c r="AS146">
        <f>HYPERLINK("https://creighton-primo.hosted.exlibrisgroup.com/primo-explore/search?tab=default_tab&amp;search_scope=EVERYTHING&amp;vid=01CRU&amp;lang=en_US&amp;offset=0&amp;query=any,contains,991003867729702656","Catalog Record")</f>
        <v/>
      </c>
      <c r="AT146">
        <f>HYPERLINK("http://www.worldcat.org/oclc/1683171","WorldCat Record")</f>
        <v/>
      </c>
      <c r="AU146" t="inlineStr">
        <is>
          <t>1389092:eng</t>
        </is>
      </c>
      <c r="AV146" t="inlineStr">
        <is>
          <t>1683171</t>
        </is>
      </c>
      <c r="AW146" t="inlineStr">
        <is>
          <t>991003867729702656</t>
        </is>
      </c>
      <c r="AX146" t="inlineStr">
        <is>
          <t>991003867729702656</t>
        </is>
      </c>
      <c r="AY146" t="inlineStr">
        <is>
          <t>2272146430002656</t>
        </is>
      </c>
      <c r="AZ146" t="inlineStr">
        <is>
          <t>BOOK</t>
        </is>
      </c>
      <c r="BC146" t="inlineStr">
        <is>
          <t>32285003245395</t>
        </is>
      </c>
      <c r="BD146" t="inlineStr">
        <is>
          <t>893518953</t>
        </is>
      </c>
    </row>
    <row r="147">
      <c r="A147" t="inlineStr">
        <is>
          <t>No</t>
        </is>
      </c>
      <c r="B147" t="inlineStr">
        <is>
          <t>PE1137 .E53 1965</t>
        </is>
      </c>
      <c r="C147" t="inlineStr">
        <is>
          <t>0                      PE 1137000E  53          1965</t>
        </is>
      </c>
      <c r="D147" t="inlineStr">
        <is>
          <t>The improvement of voice and diction.</t>
        </is>
      </c>
      <c r="F147" t="inlineStr">
        <is>
          <t>No</t>
        </is>
      </c>
      <c r="G147" t="inlineStr">
        <is>
          <t>1</t>
        </is>
      </c>
      <c r="H147" t="inlineStr">
        <is>
          <t>No</t>
        </is>
      </c>
      <c r="I147" t="inlineStr">
        <is>
          <t>Yes</t>
        </is>
      </c>
      <c r="J147" t="inlineStr">
        <is>
          <t>0</t>
        </is>
      </c>
      <c r="K147" t="inlineStr">
        <is>
          <t>Eisenson, Jon, 1907-2001.</t>
        </is>
      </c>
      <c r="L147" t="inlineStr">
        <is>
          <t>New York : Macmillan, [1965]</t>
        </is>
      </c>
      <c r="M147" t="inlineStr">
        <is>
          <t>1965</t>
        </is>
      </c>
      <c r="N147" t="inlineStr">
        <is>
          <t>2d ed.</t>
        </is>
      </c>
      <c r="O147" t="inlineStr">
        <is>
          <t>eng</t>
        </is>
      </c>
      <c r="P147" t="inlineStr">
        <is>
          <t>nyu</t>
        </is>
      </c>
      <c r="R147" t="inlineStr">
        <is>
          <t xml:space="preserve">PE </t>
        </is>
      </c>
      <c r="S147" t="n">
        <v>1</v>
      </c>
      <c r="T147" t="n">
        <v>1</v>
      </c>
      <c r="U147" t="inlineStr">
        <is>
          <t>1998-07-13</t>
        </is>
      </c>
      <c r="V147" t="inlineStr">
        <is>
          <t>1998-07-13</t>
        </is>
      </c>
      <c r="W147" t="inlineStr">
        <is>
          <t>1992-10-16</t>
        </is>
      </c>
      <c r="X147" t="inlineStr">
        <is>
          <t>1992-10-16</t>
        </is>
      </c>
      <c r="Y147" t="n">
        <v>667</v>
      </c>
      <c r="Z147" t="n">
        <v>625</v>
      </c>
      <c r="AA147" t="n">
        <v>793</v>
      </c>
      <c r="AB147" t="n">
        <v>8</v>
      </c>
      <c r="AC147" t="n">
        <v>9</v>
      </c>
      <c r="AD147" t="n">
        <v>23</v>
      </c>
      <c r="AE147" t="n">
        <v>33</v>
      </c>
      <c r="AF147" t="n">
        <v>7</v>
      </c>
      <c r="AG147" t="n">
        <v>15</v>
      </c>
      <c r="AH147" t="n">
        <v>3</v>
      </c>
      <c r="AI147" t="n">
        <v>4</v>
      </c>
      <c r="AJ147" t="n">
        <v>11</v>
      </c>
      <c r="AK147" t="n">
        <v>14</v>
      </c>
      <c r="AL147" t="n">
        <v>6</v>
      </c>
      <c r="AM147" t="n">
        <v>6</v>
      </c>
      <c r="AN147" t="n">
        <v>0</v>
      </c>
      <c r="AO147" t="n">
        <v>0</v>
      </c>
      <c r="AP147" t="inlineStr">
        <is>
          <t>No</t>
        </is>
      </c>
      <c r="AQ147" t="inlineStr">
        <is>
          <t>Yes</t>
        </is>
      </c>
      <c r="AR147">
        <f>HYPERLINK("http://catalog.hathitrust.org/Record/001183041","HathiTrust Record")</f>
        <v/>
      </c>
      <c r="AS147">
        <f>HYPERLINK("https://creighton-primo.hosted.exlibrisgroup.com/primo-explore/search?tab=default_tab&amp;search_scope=EVERYTHING&amp;vid=01CRU&amp;lang=en_US&amp;offset=0&amp;query=any,contains,991005264609702656","Catalog Record")</f>
        <v/>
      </c>
      <c r="AT147">
        <f>HYPERLINK("http://www.worldcat.org/oclc/317126","WorldCat Record")</f>
        <v/>
      </c>
      <c r="AU147" t="inlineStr">
        <is>
          <t>1389092:eng</t>
        </is>
      </c>
      <c r="AV147" t="inlineStr">
        <is>
          <t>317126</t>
        </is>
      </c>
      <c r="AW147" t="inlineStr">
        <is>
          <t>991005264609702656</t>
        </is>
      </c>
      <c r="AX147" t="inlineStr">
        <is>
          <t>991005264609702656</t>
        </is>
      </c>
      <c r="AY147" t="inlineStr">
        <is>
          <t>2269950990002656</t>
        </is>
      </c>
      <c r="AZ147" t="inlineStr">
        <is>
          <t>BOOK</t>
        </is>
      </c>
      <c r="BC147" t="inlineStr">
        <is>
          <t>32285001350486</t>
        </is>
      </c>
      <c r="BD147" t="inlineStr">
        <is>
          <t>893883593</t>
        </is>
      </c>
    </row>
    <row r="148">
      <c r="A148" t="inlineStr">
        <is>
          <t>No</t>
        </is>
      </c>
      <c r="B148" t="inlineStr">
        <is>
          <t>PE1137 .J56 1966</t>
        </is>
      </c>
      <c r="C148" t="inlineStr">
        <is>
          <t>0                      PE 1137000J  56          1966</t>
        </is>
      </c>
      <c r="D148" t="inlineStr">
        <is>
          <t>The pronunciation of English.</t>
        </is>
      </c>
      <c r="F148" t="inlineStr">
        <is>
          <t>No</t>
        </is>
      </c>
      <c r="G148" t="inlineStr">
        <is>
          <t>1</t>
        </is>
      </c>
      <c r="H148" t="inlineStr">
        <is>
          <t>No</t>
        </is>
      </c>
      <c r="I148" t="inlineStr">
        <is>
          <t>No</t>
        </is>
      </c>
      <c r="J148" t="inlineStr">
        <is>
          <t>0</t>
        </is>
      </c>
      <c r="K148" t="inlineStr">
        <is>
          <t>Jones, Daniel, 1881-1967.</t>
        </is>
      </c>
      <c r="L148" t="inlineStr">
        <is>
          <t>London Cambridge University Press [1966]</t>
        </is>
      </c>
      <c r="M148" t="inlineStr">
        <is>
          <t>1966</t>
        </is>
      </c>
      <c r="N148" t="inlineStr">
        <is>
          <t>4th ed., rev. and enl.</t>
        </is>
      </c>
      <c r="O148" t="inlineStr">
        <is>
          <t>eng</t>
        </is>
      </c>
      <c r="P148" t="inlineStr">
        <is>
          <t xml:space="preserve">xx </t>
        </is>
      </c>
      <c r="R148" t="inlineStr">
        <is>
          <t xml:space="preserve">PE </t>
        </is>
      </c>
      <c r="S148" t="n">
        <v>1</v>
      </c>
      <c r="T148" t="n">
        <v>1</v>
      </c>
      <c r="U148" t="inlineStr">
        <is>
          <t>2010-04-16</t>
        </is>
      </c>
      <c r="V148" t="inlineStr">
        <is>
          <t>2010-04-16</t>
        </is>
      </c>
      <c r="W148" t="inlineStr">
        <is>
          <t>1997-09-22</t>
        </is>
      </c>
      <c r="X148" t="inlineStr">
        <is>
          <t>1997-09-22</t>
        </is>
      </c>
      <c r="Y148" t="n">
        <v>172</v>
      </c>
      <c r="Z148" t="n">
        <v>137</v>
      </c>
      <c r="AA148" t="n">
        <v>466</v>
      </c>
      <c r="AB148" t="n">
        <v>2</v>
      </c>
      <c r="AC148" t="n">
        <v>3</v>
      </c>
      <c r="AD148" t="n">
        <v>5</v>
      </c>
      <c r="AE148" t="n">
        <v>22</v>
      </c>
      <c r="AF148" t="n">
        <v>1</v>
      </c>
      <c r="AG148" t="n">
        <v>6</v>
      </c>
      <c r="AH148" t="n">
        <v>3</v>
      </c>
      <c r="AI148" t="n">
        <v>7</v>
      </c>
      <c r="AJ148" t="n">
        <v>3</v>
      </c>
      <c r="AK148" t="n">
        <v>12</v>
      </c>
      <c r="AL148" t="n">
        <v>1</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HYPERLINK("https://creighton-primo.hosted.exlibrisgroup.com/primo-explore/search?tab=default_tab&amp;search_scope=EVERYTHING&amp;vid=01CRU&amp;lang=en_US&amp;offset=0&amp;query=any,contains,991003516329702656","Catalog Record")</f>
        <v/>
      </c>
      <c r="AT148">
        <f>HYPERLINK("http://www.worldcat.org/oclc/1074205","WorldCat Record")</f>
        <v/>
      </c>
      <c r="AU148" t="inlineStr">
        <is>
          <t>1389087:eng</t>
        </is>
      </c>
      <c r="AV148" t="inlineStr">
        <is>
          <t>1074205</t>
        </is>
      </c>
      <c r="AW148" t="inlineStr">
        <is>
          <t>991003516329702656</t>
        </is>
      </c>
      <c r="AX148" t="inlineStr">
        <is>
          <t>991003516329702656</t>
        </is>
      </c>
      <c r="AY148" t="inlineStr">
        <is>
          <t>2255102270002656</t>
        </is>
      </c>
      <c r="AZ148" t="inlineStr">
        <is>
          <t>BOOK</t>
        </is>
      </c>
      <c r="BC148" t="inlineStr">
        <is>
          <t>32285003245403</t>
        </is>
      </c>
      <c r="BD148" t="inlineStr">
        <is>
          <t>893893800</t>
        </is>
      </c>
    </row>
    <row r="149">
      <c r="A149" t="inlineStr">
        <is>
          <t>No</t>
        </is>
      </c>
      <c r="B149" t="inlineStr">
        <is>
          <t>PE1137 .K8</t>
        </is>
      </c>
      <c r="C149" t="inlineStr">
        <is>
          <t>0                      PE 1137000K  8</t>
        </is>
      </c>
      <c r="D149" t="inlineStr">
        <is>
          <t>The pronunciation of standard English in America / by George Philip Krapp.</t>
        </is>
      </c>
      <c r="F149" t="inlineStr">
        <is>
          <t>No</t>
        </is>
      </c>
      <c r="G149" t="inlineStr">
        <is>
          <t>1</t>
        </is>
      </c>
      <c r="H149" t="inlineStr">
        <is>
          <t>No</t>
        </is>
      </c>
      <c r="I149" t="inlineStr">
        <is>
          <t>No</t>
        </is>
      </c>
      <c r="J149" t="inlineStr">
        <is>
          <t>0</t>
        </is>
      </c>
      <c r="K149" t="inlineStr">
        <is>
          <t>Krapp, George Philip, 1872-1934.</t>
        </is>
      </c>
      <c r="L149" t="inlineStr">
        <is>
          <t>New York : Oxford University Press, American Branch, 1919.</t>
        </is>
      </c>
      <c r="M149" t="inlineStr">
        <is>
          <t>1919</t>
        </is>
      </c>
      <c r="O149" t="inlineStr">
        <is>
          <t>eng</t>
        </is>
      </c>
      <c r="P149" t="inlineStr">
        <is>
          <t>nyu</t>
        </is>
      </c>
      <c r="R149" t="inlineStr">
        <is>
          <t xml:space="preserve">PE </t>
        </is>
      </c>
      <c r="S149" t="n">
        <v>2</v>
      </c>
      <c r="T149" t="n">
        <v>2</v>
      </c>
      <c r="U149" t="inlineStr">
        <is>
          <t>1994-07-19</t>
        </is>
      </c>
      <c r="V149" t="inlineStr">
        <is>
          <t>1994-07-19</t>
        </is>
      </c>
      <c r="W149" t="inlineStr">
        <is>
          <t>1993-04-23</t>
        </is>
      </c>
      <c r="X149" t="inlineStr">
        <is>
          <t>1993-04-23</t>
        </is>
      </c>
      <c r="Y149" t="n">
        <v>340</v>
      </c>
      <c r="Z149" t="n">
        <v>294</v>
      </c>
      <c r="AA149" t="n">
        <v>396</v>
      </c>
      <c r="AB149" t="n">
        <v>4</v>
      </c>
      <c r="AC149" t="n">
        <v>5</v>
      </c>
      <c r="AD149" t="n">
        <v>13</v>
      </c>
      <c r="AE149" t="n">
        <v>16</v>
      </c>
      <c r="AF149" t="n">
        <v>3</v>
      </c>
      <c r="AG149" t="n">
        <v>3</v>
      </c>
      <c r="AH149" t="n">
        <v>2</v>
      </c>
      <c r="AI149" t="n">
        <v>3</v>
      </c>
      <c r="AJ149" t="n">
        <v>8</v>
      </c>
      <c r="AK149" t="n">
        <v>9</v>
      </c>
      <c r="AL149" t="n">
        <v>3</v>
      </c>
      <c r="AM149" t="n">
        <v>4</v>
      </c>
      <c r="AN149" t="n">
        <v>0</v>
      </c>
      <c r="AO149" t="n">
        <v>0</v>
      </c>
      <c r="AP149" t="inlineStr">
        <is>
          <t>Yes</t>
        </is>
      </c>
      <c r="AQ149" t="inlineStr">
        <is>
          <t>No</t>
        </is>
      </c>
      <c r="AR149">
        <f>HYPERLINK("http://catalog.hathitrust.org/Record/001183048","HathiTrust Record")</f>
        <v/>
      </c>
      <c r="AS149">
        <f>HYPERLINK("https://creighton-primo.hosted.exlibrisgroup.com/primo-explore/search?tab=default_tab&amp;search_scope=EVERYTHING&amp;vid=01CRU&amp;lang=en_US&amp;offset=0&amp;query=any,contains,991002300029702656","Catalog Record")</f>
        <v/>
      </c>
      <c r="AT149">
        <f>HYPERLINK("http://www.worldcat.org/oclc/317120","WorldCat Record")</f>
        <v/>
      </c>
      <c r="AU149" t="inlineStr">
        <is>
          <t>1198075:eng</t>
        </is>
      </c>
      <c r="AV149" t="inlineStr">
        <is>
          <t>317120</t>
        </is>
      </c>
      <c r="AW149" t="inlineStr">
        <is>
          <t>991002300029702656</t>
        </is>
      </c>
      <c r="AX149" t="inlineStr">
        <is>
          <t>991002300029702656</t>
        </is>
      </c>
      <c r="AY149" t="inlineStr">
        <is>
          <t>2269951740002656</t>
        </is>
      </c>
      <c r="AZ149" t="inlineStr">
        <is>
          <t>BOOK</t>
        </is>
      </c>
      <c r="BC149" t="inlineStr">
        <is>
          <t>32285001646669</t>
        </is>
      </c>
      <c r="BD149" t="inlineStr">
        <is>
          <t>893529794</t>
        </is>
      </c>
    </row>
    <row r="150">
      <c r="A150" t="inlineStr">
        <is>
          <t>No</t>
        </is>
      </c>
      <c r="B150" t="inlineStr">
        <is>
          <t>PE1141 .B35 2006</t>
        </is>
      </c>
      <c r="C150" t="inlineStr">
        <is>
          <t>0                      PE 1141000B  35          2006</t>
        </is>
      </c>
      <c r="D150" t="inlineStr">
        <is>
          <t>Eyes before ease : the unsolved mysteries and secret histories of spelling / Larry Beason.</t>
        </is>
      </c>
      <c r="F150" t="inlineStr">
        <is>
          <t>No</t>
        </is>
      </c>
      <c r="G150" t="inlineStr">
        <is>
          <t>1</t>
        </is>
      </c>
      <c r="H150" t="inlineStr">
        <is>
          <t>No</t>
        </is>
      </c>
      <c r="I150" t="inlineStr">
        <is>
          <t>No</t>
        </is>
      </c>
      <c r="J150" t="inlineStr">
        <is>
          <t>0</t>
        </is>
      </c>
      <c r="K150" t="inlineStr">
        <is>
          <t>Beason, Larry.</t>
        </is>
      </c>
      <c r="L150" t="inlineStr">
        <is>
          <t>New York : McGraw-Hill, c2006.</t>
        </is>
      </c>
      <c r="M150" t="inlineStr">
        <is>
          <t>2006</t>
        </is>
      </c>
      <c r="O150" t="inlineStr">
        <is>
          <t>eng</t>
        </is>
      </c>
      <c r="P150" t="inlineStr">
        <is>
          <t>nyu</t>
        </is>
      </c>
      <c r="R150" t="inlineStr">
        <is>
          <t xml:space="preserve">PE </t>
        </is>
      </c>
      <c r="S150" t="n">
        <v>2</v>
      </c>
      <c r="T150" t="n">
        <v>2</v>
      </c>
      <c r="U150" t="inlineStr">
        <is>
          <t>2010-04-25</t>
        </is>
      </c>
      <c r="V150" t="inlineStr">
        <is>
          <t>2010-04-25</t>
        </is>
      </c>
      <c r="W150" t="inlineStr">
        <is>
          <t>2006-10-17</t>
        </is>
      </c>
      <c r="X150" t="inlineStr">
        <is>
          <t>2006-10-17</t>
        </is>
      </c>
      <c r="Y150" t="n">
        <v>241</v>
      </c>
      <c r="Z150" t="n">
        <v>183</v>
      </c>
      <c r="AA150" t="n">
        <v>479</v>
      </c>
      <c r="AB150" t="n">
        <v>2</v>
      </c>
      <c r="AC150" t="n">
        <v>12</v>
      </c>
      <c r="AD150" t="n">
        <v>6</v>
      </c>
      <c r="AE150" t="n">
        <v>17</v>
      </c>
      <c r="AF150" t="n">
        <v>2</v>
      </c>
      <c r="AG150" t="n">
        <v>4</v>
      </c>
      <c r="AH150" t="n">
        <v>2</v>
      </c>
      <c r="AI150" t="n">
        <v>2</v>
      </c>
      <c r="AJ150" t="n">
        <v>2</v>
      </c>
      <c r="AK150" t="n">
        <v>3</v>
      </c>
      <c r="AL150" t="n">
        <v>1</v>
      </c>
      <c r="AM150" t="n">
        <v>9</v>
      </c>
      <c r="AN150" t="n">
        <v>0</v>
      </c>
      <c r="AO150" t="n">
        <v>0</v>
      </c>
      <c r="AP150" t="inlineStr">
        <is>
          <t>No</t>
        </is>
      </c>
      <c r="AQ150" t="inlineStr">
        <is>
          <t>Yes</t>
        </is>
      </c>
      <c r="AR150">
        <f>HYPERLINK("http://catalog.hathitrust.org/Record/007146980","HathiTrust Record")</f>
        <v/>
      </c>
      <c r="AS150">
        <f>HYPERLINK("https://creighton-primo.hosted.exlibrisgroup.com/primo-explore/search?tab=default_tab&amp;search_scope=EVERYTHING&amp;vid=01CRU&amp;lang=en_US&amp;offset=0&amp;query=any,contains,991004931819702656","Catalog Record")</f>
        <v/>
      </c>
      <c r="AT150">
        <f>HYPERLINK("http://www.worldcat.org/oclc/62593848","WorldCat Record")</f>
        <v/>
      </c>
      <c r="AU150" t="inlineStr">
        <is>
          <t>793997420:eng</t>
        </is>
      </c>
      <c r="AV150" t="inlineStr">
        <is>
          <t>62593848</t>
        </is>
      </c>
      <c r="AW150" t="inlineStr">
        <is>
          <t>991004931819702656</t>
        </is>
      </c>
      <c r="AX150" t="inlineStr">
        <is>
          <t>991004931819702656</t>
        </is>
      </c>
      <c r="AY150" t="inlineStr">
        <is>
          <t>2263320410002656</t>
        </is>
      </c>
      <c r="AZ150" t="inlineStr">
        <is>
          <t>BOOK</t>
        </is>
      </c>
      <c r="BB150" t="inlineStr">
        <is>
          <t>9780071459549</t>
        </is>
      </c>
      <c r="BC150" t="inlineStr">
        <is>
          <t>32285005229538</t>
        </is>
      </c>
      <c r="BD150" t="inlineStr">
        <is>
          <t>893895647</t>
        </is>
      </c>
    </row>
    <row r="151">
      <c r="A151" t="inlineStr">
        <is>
          <t>No</t>
        </is>
      </c>
      <c r="B151" t="inlineStr">
        <is>
          <t>PE1141 .E86 2007</t>
        </is>
      </c>
      <c r="C151" t="inlineStr">
        <is>
          <t>0                      PE 1141000E  86          2007</t>
        </is>
      </c>
      <c r="D151" t="inlineStr">
        <is>
          <t>Spellbound : the surprising origins and astonishing secrets of English spelling / James Essinger.</t>
        </is>
      </c>
      <c r="F151" t="inlineStr">
        <is>
          <t>No</t>
        </is>
      </c>
      <c r="G151" t="inlineStr">
        <is>
          <t>1</t>
        </is>
      </c>
      <c r="H151" t="inlineStr">
        <is>
          <t>No</t>
        </is>
      </c>
      <c r="I151" t="inlineStr">
        <is>
          <t>No</t>
        </is>
      </c>
      <c r="J151" t="inlineStr">
        <is>
          <t>0</t>
        </is>
      </c>
      <c r="K151" t="inlineStr">
        <is>
          <t>Essinger, James, 1957-</t>
        </is>
      </c>
      <c r="L151" t="inlineStr">
        <is>
          <t>New York, N.Y. : Bantam Dell, 2007.</t>
        </is>
      </c>
      <c r="M151" t="inlineStr">
        <is>
          <t>2007</t>
        </is>
      </c>
      <c r="N151" t="inlineStr">
        <is>
          <t>Delta trade pbk. ed.</t>
        </is>
      </c>
      <c r="O151" t="inlineStr">
        <is>
          <t>eng</t>
        </is>
      </c>
      <c r="P151" t="inlineStr">
        <is>
          <t>nyu</t>
        </is>
      </c>
      <c r="R151" t="inlineStr">
        <is>
          <t xml:space="preserve">PE </t>
        </is>
      </c>
      <c r="S151" t="n">
        <v>2</v>
      </c>
      <c r="T151" t="n">
        <v>2</v>
      </c>
      <c r="U151" t="inlineStr">
        <is>
          <t>2010-04-25</t>
        </is>
      </c>
      <c r="V151" t="inlineStr">
        <is>
          <t>2010-04-25</t>
        </is>
      </c>
      <c r="W151" t="inlineStr">
        <is>
          <t>2007-09-25</t>
        </is>
      </c>
      <c r="X151" t="inlineStr">
        <is>
          <t>2007-09-25</t>
        </is>
      </c>
      <c r="Y151" t="n">
        <v>350</v>
      </c>
      <c r="Z151" t="n">
        <v>333</v>
      </c>
      <c r="AA151" t="n">
        <v>357</v>
      </c>
      <c r="AB151" t="n">
        <v>5</v>
      </c>
      <c r="AC151" t="n">
        <v>5</v>
      </c>
      <c r="AD151" t="n">
        <v>4</v>
      </c>
      <c r="AE151" t="n">
        <v>4</v>
      </c>
      <c r="AF151" t="n">
        <v>1</v>
      </c>
      <c r="AG151" t="n">
        <v>1</v>
      </c>
      <c r="AH151" t="n">
        <v>1</v>
      </c>
      <c r="AI151" t="n">
        <v>1</v>
      </c>
      <c r="AJ151" t="n">
        <v>2</v>
      </c>
      <c r="AK151" t="n">
        <v>2</v>
      </c>
      <c r="AL151" t="n">
        <v>1</v>
      </c>
      <c r="AM151" t="n">
        <v>1</v>
      </c>
      <c r="AN151" t="n">
        <v>0</v>
      </c>
      <c r="AO151" t="n">
        <v>0</v>
      </c>
      <c r="AP151" t="inlineStr">
        <is>
          <t>No</t>
        </is>
      </c>
      <c r="AQ151" t="inlineStr">
        <is>
          <t>Yes</t>
        </is>
      </c>
      <c r="AR151">
        <f>HYPERLINK("http://catalog.hathitrust.org/Record/007148152","HathiTrust Record")</f>
        <v/>
      </c>
      <c r="AS151">
        <f>HYPERLINK("https://creighton-primo.hosted.exlibrisgroup.com/primo-explore/search?tab=default_tab&amp;search_scope=EVERYTHING&amp;vid=01CRU&amp;lang=en_US&amp;offset=0&amp;query=any,contains,991005116399702656","Catalog Record")</f>
        <v/>
      </c>
      <c r="AT151">
        <f>HYPERLINK("http://www.worldcat.org/oclc/77830981","WorldCat Record")</f>
        <v/>
      </c>
      <c r="AU151" t="inlineStr">
        <is>
          <t>198152893:eng</t>
        </is>
      </c>
      <c r="AV151" t="inlineStr">
        <is>
          <t>77830981</t>
        </is>
      </c>
      <c r="AW151" t="inlineStr">
        <is>
          <t>991005116399702656</t>
        </is>
      </c>
      <c r="AX151" t="inlineStr">
        <is>
          <t>991005116399702656</t>
        </is>
      </c>
      <c r="AY151" t="inlineStr">
        <is>
          <t>2262250370002656</t>
        </is>
      </c>
      <c r="AZ151" t="inlineStr">
        <is>
          <t>BOOK</t>
        </is>
      </c>
      <c r="BB151" t="inlineStr">
        <is>
          <t>9780385340847</t>
        </is>
      </c>
      <c r="BC151" t="inlineStr">
        <is>
          <t>32285005326300</t>
        </is>
      </c>
      <c r="BD151" t="inlineStr">
        <is>
          <t>893789464</t>
        </is>
      </c>
    </row>
    <row r="152">
      <c r="A152" t="inlineStr">
        <is>
          <t>No</t>
        </is>
      </c>
      <c r="B152" t="inlineStr">
        <is>
          <t>PE1141 .K68 1988</t>
        </is>
      </c>
      <c r="C152" t="inlineStr">
        <is>
          <t>0                      PE 1141000K  68          1988</t>
        </is>
      </c>
      <c r="D152" t="inlineStr">
        <is>
          <t>Except after C : the story of English spelling / William Kottmeyer.</t>
        </is>
      </c>
      <c r="F152" t="inlineStr">
        <is>
          <t>No</t>
        </is>
      </c>
      <c r="G152" t="inlineStr">
        <is>
          <t>1</t>
        </is>
      </c>
      <c r="H152" t="inlineStr">
        <is>
          <t>No</t>
        </is>
      </c>
      <c r="I152" t="inlineStr">
        <is>
          <t>No</t>
        </is>
      </c>
      <c r="J152" t="inlineStr">
        <is>
          <t>0</t>
        </is>
      </c>
      <c r="K152" t="inlineStr">
        <is>
          <t>Kottmeyer, William, 1910-1989.</t>
        </is>
      </c>
      <c r="L152" t="inlineStr">
        <is>
          <t>New York : School Division, McGraw-Hill, c1988.</t>
        </is>
      </c>
      <c r="M152" t="inlineStr">
        <is>
          <t>1988</t>
        </is>
      </c>
      <c r="O152" t="inlineStr">
        <is>
          <t>eng</t>
        </is>
      </c>
      <c r="P152" t="inlineStr">
        <is>
          <t>nyu</t>
        </is>
      </c>
      <c r="R152" t="inlineStr">
        <is>
          <t xml:space="preserve">PE </t>
        </is>
      </c>
      <c r="S152" t="n">
        <v>3</v>
      </c>
      <c r="T152" t="n">
        <v>3</v>
      </c>
      <c r="U152" t="inlineStr">
        <is>
          <t>2010-04-25</t>
        </is>
      </c>
      <c r="V152" t="inlineStr">
        <is>
          <t>2010-04-25</t>
        </is>
      </c>
      <c r="W152" t="inlineStr">
        <is>
          <t>1993-04-23</t>
        </is>
      </c>
      <c r="X152" t="inlineStr">
        <is>
          <t>1993-04-23</t>
        </is>
      </c>
      <c r="Y152" t="n">
        <v>56</v>
      </c>
      <c r="Z152" t="n">
        <v>56</v>
      </c>
      <c r="AA152" t="n">
        <v>57</v>
      </c>
      <c r="AB152" t="n">
        <v>1</v>
      </c>
      <c r="AC152" t="n">
        <v>1</v>
      </c>
      <c r="AD152" t="n">
        <v>0</v>
      </c>
      <c r="AE152" t="n">
        <v>0</v>
      </c>
      <c r="AF152" t="n">
        <v>0</v>
      </c>
      <c r="AG152" t="n">
        <v>0</v>
      </c>
      <c r="AH152" t="n">
        <v>0</v>
      </c>
      <c r="AI152" t="n">
        <v>0</v>
      </c>
      <c r="AJ152" t="n">
        <v>0</v>
      </c>
      <c r="AK152" t="n">
        <v>0</v>
      </c>
      <c r="AL152" t="n">
        <v>0</v>
      </c>
      <c r="AM152" t="n">
        <v>0</v>
      </c>
      <c r="AN152" t="n">
        <v>0</v>
      </c>
      <c r="AO152" t="n">
        <v>0</v>
      </c>
      <c r="AP152" t="inlineStr">
        <is>
          <t>No</t>
        </is>
      </c>
      <c r="AQ152" t="inlineStr">
        <is>
          <t>Yes</t>
        </is>
      </c>
      <c r="AR152">
        <f>HYPERLINK("http://catalog.hathitrust.org/Record/008324471","HathiTrust Record")</f>
        <v/>
      </c>
      <c r="AS152">
        <f>HYPERLINK("https://creighton-primo.hosted.exlibrisgroup.com/primo-explore/search?tab=default_tab&amp;search_scope=EVERYTHING&amp;vid=01CRU&amp;lang=en_US&amp;offset=0&amp;query=any,contains,991001079859702656","Catalog Record")</f>
        <v/>
      </c>
      <c r="AT152">
        <f>HYPERLINK("http://www.worldcat.org/oclc/16084961","WorldCat Record")</f>
        <v/>
      </c>
      <c r="AU152" t="inlineStr">
        <is>
          <t>11615887:eng</t>
        </is>
      </c>
      <c r="AV152" t="inlineStr">
        <is>
          <t>16084961</t>
        </is>
      </c>
      <c r="AW152" t="inlineStr">
        <is>
          <t>991001079859702656</t>
        </is>
      </c>
      <c r="AX152" t="inlineStr">
        <is>
          <t>991001079859702656</t>
        </is>
      </c>
      <c r="AY152" t="inlineStr">
        <is>
          <t>2258574690002656</t>
        </is>
      </c>
      <c r="AZ152" t="inlineStr">
        <is>
          <t>BOOK</t>
        </is>
      </c>
      <c r="BB152" t="inlineStr">
        <is>
          <t>9780070351745</t>
        </is>
      </c>
      <c r="BC152" t="inlineStr">
        <is>
          <t>32285001646693</t>
        </is>
      </c>
      <c r="BD152" t="inlineStr">
        <is>
          <t>893509363</t>
        </is>
      </c>
    </row>
    <row r="153">
      <c r="A153" t="inlineStr">
        <is>
          <t>No</t>
        </is>
      </c>
      <c r="B153" t="inlineStr">
        <is>
          <t>PE1141 .S3</t>
        </is>
      </c>
      <c r="C153" t="inlineStr">
        <is>
          <t>0                      PE 1141000S  3</t>
        </is>
      </c>
      <c r="D153" t="inlineStr">
        <is>
          <t>A history of English spelling / D. G. Scragg.</t>
        </is>
      </c>
      <c r="F153" t="inlineStr">
        <is>
          <t>No</t>
        </is>
      </c>
      <c r="G153" t="inlineStr">
        <is>
          <t>1</t>
        </is>
      </c>
      <c r="H153" t="inlineStr">
        <is>
          <t>No</t>
        </is>
      </c>
      <c r="I153" t="inlineStr">
        <is>
          <t>No</t>
        </is>
      </c>
      <c r="J153" t="inlineStr">
        <is>
          <t>0</t>
        </is>
      </c>
      <c r="K153" t="inlineStr">
        <is>
          <t>Scragg, D. G.</t>
        </is>
      </c>
      <c r="L153" t="inlineStr">
        <is>
          <t>Manchester, [Eng.] : Manchester University Press ; New York : Barnes &amp; Noble Books, 1974.</t>
        </is>
      </c>
      <c r="M153" t="inlineStr">
        <is>
          <t>1974</t>
        </is>
      </c>
      <c r="O153" t="inlineStr">
        <is>
          <t>eng</t>
        </is>
      </c>
      <c r="P153" t="inlineStr">
        <is>
          <t>enk</t>
        </is>
      </c>
      <c r="Q153" t="inlineStr">
        <is>
          <t>Mont Follick series ; v. 3</t>
        </is>
      </c>
      <c r="R153" t="inlineStr">
        <is>
          <t xml:space="preserve">PE </t>
        </is>
      </c>
      <c r="S153" t="n">
        <v>1</v>
      </c>
      <c r="T153" t="n">
        <v>1</v>
      </c>
      <c r="U153" t="inlineStr">
        <is>
          <t>2010-04-25</t>
        </is>
      </c>
      <c r="V153" t="inlineStr">
        <is>
          <t>2010-04-25</t>
        </is>
      </c>
      <c r="W153" t="inlineStr">
        <is>
          <t>1997-09-22</t>
        </is>
      </c>
      <c r="X153" t="inlineStr">
        <is>
          <t>1997-09-22</t>
        </is>
      </c>
      <c r="Y153" t="n">
        <v>449</v>
      </c>
      <c r="Z153" t="n">
        <v>299</v>
      </c>
      <c r="AA153" t="n">
        <v>331</v>
      </c>
      <c r="AB153" t="n">
        <v>3</v>
      </c>
      <c r="AC153" t="n">
        <v>3</v>
      </c>
      <c r="AD153" t="n">
        <v>17</v>
      </c>
      <c r="AE153" t="n">
        <v>17</v>
      </c>
      <c r="AF153" t="n">
        <v>4</v>
      </c>
      <c r="AG153" t="n">
        <v>4</v>
      </c>
      <c r="AH153" t="n">
        <v>4</v>
      </c>
      <c r="AI153" t="n">
        <v>4</v>
      </c>
      <c r="AJ153" t="n">
        <v>10</v>
      </c>
      <c r="AK153" t="n">
        <v>10</v>
      </c>
      <c r="AL153" t="n">
        <v>2</v>
      </c>
      <c r="AM153" t="n">
        <v>2</v>
      </c>
      <c r="AN153" t="n">
        <v>0</v>
      </c>
      <c r="AO153" t="n">
        <v>0</v>
      </c>
      <c r="AP153" t="inlineStr">
        <is>
          <t>No</t>
        </is>
      </c>
      <c r="AQ153" t="inlineStr">
        <is>
          <t>Yes</t>
        </is>
      </c>
      <c r="AR153">
        <f>HYPERLINK("http://catalog.hathitrust.org/Record/001441506","HathiTrust Record")</f>
        <v/>
      </c>
      <c r="AS153">
        <f>HYPERLINK("https://creighton-primo.hosted.exlibrisgroup.com/primo-explore/search?tab=default_tab&amp;search_scope=EVERYTHING&amp;vid=01CRU&amp;lang=en_US&amp;offset=0&amp;query=any,contains,991003628749702656","Catalog Record")</f>
        <v/>
      </c>
      <c r="AT153">
        <f>HYPERLINK("http://www.worldcat.org/oclc/1218737","WorldCat Record")</f>
        <v/>
      </c>
      <c r="AU153" t="inlineStr">
        <is>
          <t>2112450:eng</t>
        </is>
      </c>
      <c r="AV153" t="inlineStr">
        <is>
          <t>1218737</t>
        </is>
      </c>
      <c r="AW153" t="inlineStr">
        <is>
          <t>991003628749702656</t>
        </is>
      </c>
      <c r="AX153" t="inlineStr">
        <is>
          <t>991003628749702656</t>
        </is>
      </c>
      <c r="AY153" t="inlineStr">
        <is>
          <t>2271730490002656</t>
        </is>
      </c>
      <c r="AZ153" t="inlineStr">
        <is>
          <t>BOOK</t>
        </is>
      </c>
      <c r="BB153" t="inlineStr">
        <is>
          <t>9780064961387</t>
        </is>
      </c>
      <c r="BC153" t="inlineStr">
        <is>
          <t>32285003245429</t>
        </is>
      </c>
      <c r="BD153" t="inlineStr">
        <is>
          <t>893422772</t>
        </is>
      </c>
    </row>
    <row r="154">
      <c r="A154" t="inlineStr">
        <is>
          <t>No</t>
        </is>
      </c>
      <c r="B154" t="inlineStr">
        <is>
          <t>PE1143 .S59 1976</t>
        </is>
      </c>
      <c r="C154" t="inlineStr">
        <is>
          <t>0                      PE 1143000S  59          1976</t>
        </is>
      </c>
      <c r="D154" t="inlineStr">
        <is>
          <t>Speak, spell and read English / Elsie D. Smelt. --</t>
        </is>
      </c>
      <c r="F154" t="inlineStr">
        <is>
          <t>No</t>
        </is>
      </c>
      <c r="G154" t="inlineStr">
        <is>
          <t>1</t>
        </is>
      </c>
      <c r="H154" t="inlineStr">
        <is>
          <t>No</t>
        </is>
      </c>
      <c r="I154" t="inlineStr">
        <is>
          <t>No</t>
        </is>
      </c>
      <c r="J154" t="inlineStr">
        <is>
          <t>0</t>
        </is>
      </c>
      <c r="K154" t="inlineStr">
        <is>
          <t>Smelt, Elsie D.</t>
        </is>
      </c>
      <c r="L154" t="inlineStr">
        <is>
          <t>Hawthorn, Victoria : Longman, 1976.</t>
        </is>
      </c>
      <c r="M154" t="inlineStr">
        <is>
          <t>1976</t>
        </is>
      </c>
      <c r="N154" t="inlineStr">
        <is>
          <t>[2d ed.].</t>
        </is>
      </c>
      <c r="O154" t="inlineStr">
        <is>
          <t>eng</t>
        </is>
      </c>
      <c r="P154" t="inlineStr">
        <is>
          <t xml:space="preserve">at </t>
        </is>
      </c>
      <c r="R154" t="inlineStr">
        <is>
          <t xml:space="preserve">PE </t>
        </is>
      </c>
      <c r="S154" t="n">
        <v>4</v>
      </c>
      <c r="T154" t="n">
        <v>4</v>
      </c>
      <c r="U154" t="inlineStr">
        <is>
          <t>1999-09-22</t>
        </is>
      </c>
      <c r="V154" t="inlineStr">
        <is>
          <t>1999-09-22</t>
        </is>
      </c>
      <c r="W154" t="inlineStr">
        <is>
          <t>1993-04-23</t>
        </is>
      </c>
      <c r="X154" t="inlineStr">
        <is>
          <t>1993-04-23</t>
        </is>
      </c>
      <c r="Y154" t="n">
        <v>111</v>
      </c>
      <c r="Z154" t="n">
        <v>74</v>
      </c>
      <c r="AA154" t="n">
        <v>77</v>
      </c>
      <c r="AB154" t="n">
        <v>1</v>
      </c>
      <c r="AC154" t="n">
        <v>1</v>
      </c>
      <c r="AD154" t="n">
        <v>2</v>
      </c>
      <c r="AE154" t="n">
        <v>3</v>
      </c>
      <c r="AF154" t="n">
        <v>0</v>
      </c>
      <c r="AG154" t="n">
        <v>1</v>
      </c>
      <c r="AH154" t="n">
        <v>0</v>
      </c>
      <c r="AI154" t="n">
        <v>0</v>
      </c>
      <c r="AJ154" t="n">
        <v>2</v>
      </c>
      <c r="AK154" t="n">
        <v>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HYPERLINK("https://creighton-primo.hosted.exlibrisgroup.com/primo-explore/search?tab=default_tab&amp;search_scope=EVERYTHING&amp;vid=01CRU&amp;lang=en_US&amp;offset=0&amp;query=any,contains,991004458989702656","Catalog Record")</f>
        <v/>
      </c>
      <c r="AT154">
        <f>HYPERLINK("http://www.worldcat.org/oclc/3541537","WorldCat Record")</f>
        <v/>
      </c>
      <c r="AU154" t="inlineStr">
        <is>
          <t>3956530316:eng</t>
        </is>
      </c>
      <c r="AV154" t="inlineStr">
        <is>
          <t>3541537</t>
        </is>
      </c>
      <c r="AW154" t="inlineStr">
        <is>
          <t>991004458989702656</t>
        </is>
      </c>
      <c r="AX154" t="inlineStr">
        <is>
          <t>991004458989702656</t>
        </is>
      </c>
      <c r="AY154" t="inlineStr">
        <is>
          <t>2266407670002656</t>
        </is>
      </c>
      <c r="AZ154" t="inlineStr">
        <is>
          <t>BOOK</t>
        </is>
      </c>
      <c r="BB154" t="inlineStr">
        <is>
          <t>9780582661325</t>
        </is>
      </c>
      <c r="BC154" t="inlineStr">
        <is>
          <t>32285001646701</t>
        </is>
      </c>
      <c r="BD154" t="inlineStr">
        <is>
          <t>893593705</t>
        </is>
      </c>
    </row>
    <row r="155">
      <c r="A155" t="inlineStr">
        <is>
          <t>No</t>
        </is>
      </c>
      <c r="B155" t="inlineStr">
        <is>
          <t>PE1155 .W35 1994</t>
        </is>
      </c>
      <c r="C155" t="inlineStr">
        <is>
          <t>0                      PE 1155000W  35          1994</t>
        </is>
      </c>
      <c r="D155" t="inlineStr">
        <is>
          <t>A B C / William Wegman.</t>
        </is>
      </c>
      <c r="F155" t="inlineStr">
        <is>
          <t>No</t>
        </is>
      </c>
      <c r="G155" t="inlineStr">
        <is>
          <t>1</t>
        </is>
      </c>
      <c r="H155" t="inlineStr">
        <is>
          <t>No</t>
        </is>
      </c>
      <c r="I155" t="inlineStr">
        <is>
          <t>No</t>
        </is>
      </c>
      <c r="J155" t="inlineStr">
        <is>
          <t>0</t>
        </is>
      </c>
      <c r="K155" t="inlineStr">
        <is>
          <t>Wegman, William.</t>
        </is>
      </c>
      <c r="L155" t="inlineStr">
        <is>
          <t>New York : Hyperion Books for Children, 1994.</t>
        </is>
      </c>
      <c r="M155" t="inlineStr">
        <is>
          <t>1994</t>
        </is>
      </c>
      <c r="O155" t="inlineStr">
        <is>
          <t>eng</t>
        </is>
      </c>
      <c r="P155" t="inlineStr">
        <is>
          <t>nyu</t>
        </is>
      </c>
      <c r="R155" t="inlineStr">
        <is>
          <t xml:space="preserve">PE </t>
        </is>
      </c>
      <c r="S155" t="n">
        <v>15</v>
      </c>
      <c r="T155" t="n">
        <v>15</v>
      </c>
      <c r="U155" t="inlineStr">
        <is>
          <t>2010-02-09</t>
        </is>
      </c>
      <c r="V155" t="inlineStr">
        <is>
          <t>2010-02-09</t>
        </is>
      </c>
      <c r="W155" t="inlineStr">
        <is>
          <t>1994-05-11</t>
        </is>
      </c>
      <c r="X155" t="inlineStr">
        <is>
          <t>1994-05-11</t>
        </is>
      </c>
      <c r="Y155" t="n">
        <v>482</v>
      </c>
      <c r="Z155" t="n">
        <v>465</v>
      </c>
      <c r="AA155" t="n">
        <v>471</v>
      </c>
      <c r="AB155" t="n">
        <v>6</v>
      </c>
      <c r="AC155" t="n">
        <v>6</v>
      </c>
      <c r="AD155" t="n">
        <v>3</v>
      </c>
      <c r="AE155" t="n">
        <v>3</v>
      </c>
      <c r="AF155" t="n">
        <v>1</v>
      </c>
      <c r="AG155" t="n">
        <v>1</v>
      </c>
      <c r="AH155" t="n">
        <v>0</v>
      </c>
      <c r="AI155" t="n">
        <v>0</v>
      </c>
      <c r="AJ155" t="n">
        <v>1</v>
      </c>
      <c r="AK155" t="n">
        <v>1</v>
      </c>
      <c r="AL155" t="n">
        <v>2</v>
      </c>
      <c r="AM155" t="n">
        <v>2</v>
      </c>
      <c r="AN155" t="n">
        <v>0</v>
      </c>
      <c r="AO155" t="n">
        <v>0</v>
      </c>
      <c r="AP155" t="inlineStr">
        <is>
          <t>No</t>
        </is>
      </c>
      <c r="AQ155" t="inlineStr">
        <is>
          <t>Yes</t>
        </is>
      </c>
      <c r="AR155">
        <f>HYPERLINK("http://catalog.hathitrust.org/Record/007149055","HathiTrust Record")</f>
        <v/>
      </c>
      <c r="AS155">
        <f>HYPERLINK("https://creighton-primo.hosted.exlibrisgroup.com/primo-explore/search?tab=default_tab&amp;search_scope=EVERYTHING&amp;vid=01CRU&amp;lang=en_US&amp;offset=0&amp;query=any,contains,991004574059702656","Catalog Record")</f>
        <v/>
      </c>
      <c r="AT155">
        <f>HYPERLINK("http://www.worldcat.org/oclc/29521936","WorldCat Record")</f>
        <v/>
      </c>
      <c r="AU155" t="inlineStr">
        <is>
          <t>8908389128:eng</t>
        </is>
      </c>
      <c r="AV155" t="inlineStr">
        <is>
          <t>29521936</t>
        </is>
      </c>
      <c r="AW155" t="inlineStr">
        <is>
          <t>991004574059702656</t>
        </is>
      </c>
      <c r="AX155" t="inlineStr">
        <is>
          <t>991004574059702656</t>
        </is>
      </c>
      <c r="AY155" t="inlineStr">
        <is>
          <t>2267997020002656</t>
        </is>
      </c>
      <c r="AZ155" t="inlineStr">
        <is>
          <t>BOOK</t>
        </is>
      </c>
      <c r="BB155" t="inlineStr">
        <is>
          <t>9781562826963</t>
        </is>
      </c>
      <c r="BC155" t="inlineStr">
        <is>
          <t>32285001895712</t>
        </is>
      </c>
      <c r="BD155" t="inlineStr">
        <is>
          <t>893767942</t>
        </is>
      </c>
    </row>
    <row r="156">
      <c r="A156" t="inlineStr">
        <is>
          <t>No</t>
        </is>
      </c>
      <c r="B156" t="inlineStr">
        <is>
          <t>PE1175 .B76 1978</t>
        </is>
      </c>
      <c r="C156" t="inlineStr">
        <is>
          <t>0                      PE 1175000B  76          1978</t>
        </is>
      </c>
      <c r="D156" t="inlineStr">
        <is>
          <t>Composition of scientific words : a manual of methods and a lexicon of materials for the practice of logotechnics / Roland Wilbur Brown.</t>
        </is>
      </c>
      <c r="F156" t="inlineStr">
        <is>
          <t>No</t>
        </is>
      </c>
      <c r="G156" t="inlineStr">
        <is>
          <t>1</t>
        </is>
      </c>
      <c r="H156" t="inlineStr">
        <is>
          <t>No</t>
        </is>
      </c>
      <c r="I156" t="inlineStr">
        <is>
          <t>No</t>
        </is>
      </c>
      <c r="J156" t="inlineStr">
        <is>
          <t>0</t>
        </is>
      </c>
      <c r="K156" t="inlineStr">
        <is>
          <t>Brown, Roland W. (Roland Wilbur), 1893-1961.</t>
        </is>
      </c>
      <c r="L156" t="inlineStr">
        <is>
          <t>Washington : Smithsonian Institution Press, 1978.</t>
        </is>
      </c>
      <c r="M156" t="inlineStr">
        <is>
          <t>1978</t>
        </is>
      </c>
      <c r="N156" t="inlineStr">
        <is>
          <t>Rev. ed.</t>
        </is>
      </c>
      <c r="O156" t="inlineStr">
        <is>
          <t>eng</t>
        </is>
      </c>
      <c r="P156" t="inlineStr">
        <is>
          <t>dcu</t>
        </is>
      </c>
      <c r="R156" t="inlineStr">
        <is>
          <t xml:space="preserve">PE </t>
        </is>
      </c>
      <c r="S156" t="n">
        <v>5</v>
      </c>
      <c r="T156" t="n">
        <v>5</v>
      </c>
      <c r="U156" t="inlineStr">
        <is>
          <t>1995-11-25</t>
        </is>
      </c>
      <c r="V156" t="inlineStr">
        <is>
          <t>1995-11-25</t>
        </is>
      </c>
      <c r="W156" t="inlineStr">
        <is>
          <t>1993-04-23</t>
        </is>
      </c>
      <c r="X156" t="inlineStr">
        <is>
          <t>1993-04-23</t>
        </is>
      </c>
      <c r="Y156" t="n">
        <v>348</v>
      </c>
      <c r="Z156" t="n">
        <v>283</v>
      </c>
      <c r="AA156" t="n">
        <v>700</v>
      </c>
      <c r="AB156" t="n">
        <v>2</v>
      </c>
      <c r="AC156" t="n">
        <v>4</v>
      </c>
      <c r="AD156" t="n">
        <v>8</v>
      </c>
      <c r="AE156" t="n">
        <v>20</v>
      </c>
      <c r="AF156" t="n">
        <v>3</v>
      </c>
      <c r="AG156" t="n">
        <v>8</v>
      </c>
      <c r="AH156" t="n">
        <v>3</v>
      </c>
      <c r="AI156" t="n">
        <v>4</v>
      </c>
      <c r="AJ156" t="n">
        <v>3</v>
      </c>
      <c r="AK156" t="n">
        <v>11</v>
      </c>
      <c r="AL156" t="n">
        <v>1</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HYPERLINK("https://creighton-primo.hosted.exlibrisgroup.com/primo-explore/search?tab=default_tab&amp;search_scope=EVERYTHING&amp;vid=01CRU&amp;lang=en_US&amp;offset=0&amp;query=any,contains,991004657699702656","Catalog Record")</f>
        <v/>
      </c>
      <c r="AT156">
        <f>HYPERLINK("http://www.worldcat.org/oclc/4495758","WorldCat Record")</f>
        <v/>
      </c>
      <c r="AU156" t="inlineStr">
        <is>
          <t>54819:eng</t>
        </is>
      </c>
      <c r="AV156" t="inlineStr">
        <is>
          <t>4495758</t>
        </is>
      </c>
      <c r="AW156" t="inlineStr">
        <is>
          <t>991004657699702656</t>
        </is>
      </c>
      <c r="AX156" t="inlineStr">
        <is>
          <t>991004657699702656</t>
        </is>
      </c>
      <c r="AY156" t="inlineStr">
        <is>
          <t>2268106520002656</t>
        </is>
      </c>
      <c r="AZ156" t="inlineStr">
        <is>
          <t>BOOK</t>
        </is>
      </c>
      <c r="BB156" t="inlineStr">
        <is>
          <t>9780874742862</t>
        </is>
      </c>
      <c r="BC156" t="inlineStr">
        <is>
          <t>32285001646719</t>
        </is>
      </c>
      <c r="BD156" t="inlineStr">
        <is>
          <t>893624934</t>
        </is>
      </c>
    </row>
    <row r="157">
      <c r="A157" t="inlineStr">
        <is>
          <t>No</t>
        </is>
      </c>
      <c r="B157" t="inlineStr">
        <is>
          <t>PE1175 .H43 2006</t>
        </is>
      </c>
      <c r="C157" t="inlineStr">
        <is>
          <t>0                      PE 1175000H  43          2006</t>
        </is>
      </c>
      <c r="D157" t="inlineStr">
        <is>
          <t>English words : a linguistic introduction / Heidi Harley.</t>
        </is>
      </c>
      <c r="F157" t="inlineStr">
        <is>
          <t>No</t>
        </is>
      </c>
      <c r="G157" t="inlineStr">
        <is>
          <t>1</t>
        </is>
      </c>
      <c r="H157" t="inlineStr">
        <is>
          <t>No</t>
        </is>
      </c>
      <c r="I157" t="inlineStr">
        <is>
          <t>No</t>
        </is>
      </c>
      <c r="J157" t="inlineStr">
        <is>
          <t>0</t>
        </is>
      </c>
      <c r="K157" t="inlineStr">
        <is>
          <t>Harley, Heidi.</t>
        </is>
      </c>
      <c r="L157" t="inlineStr">
        <is>
          <t>Malden, MA : Blackwell Pub., 2006.</t>
        </is>
      </c>
      <c r="M157" t="inlineStr">
        <is>
          <t>2006</t>
        </is>
      </c>
      <c r="O157" t="inlineStr">
        <is>
          <t>eng</t>
        </is>
      </c>
      <c r="P157" t="inlineStr">
        <is>
          <t>mau</t>
        </is>
      </c>
      <c r="Q157" t="inlineStr">
        <is>
          <t>The language library</t>
        </is>
      </c>
      <c r="R157" t="inlineStr">
        <is>
          <t xml:space="preserve">PE </t>
        </is>
      </c>
      <c r="S157" t="n">
        <v>3</v>
      </c>
      <c r="T157" t="n">
        <v>3</v>
      </c>
      <c r="U157" t="inlineStr">
        <is>
          <t>2010-07-26</t>
        </is>
      </c>
      <c r="V157" t="inlineStr">
        <is>
          <t>2010-07-26</t>
        </is>
      </c>
      <c r="W157" t="inlineStr">
        <is>
          <t>2007-04-19</t>
        </is>
      </c>
      <c r="X157" t="inlineStr">
        <is>
          <t>2007-04-19</t>
        </is>
      </c>
      <c r="Y157" t="n">
        <v>206</v>
      </c>
      <c r="Z157" t="n">
        <v>83</v>
      </c>
      <c r="AA157" t="n">
        <v>455</v>
      </c>
      <c r="AB157" t="n">
        <v>1</v>
      </c>
      <c r="AC157" t="n">
        <v>5</v>
      </c>
      <c r="AD157" t="n">
        <v>3</v>
      </c>
      <c r="AE157" t="n">
        <v>23</v>
      </c>
      <c r="AF157" t="n">
        <v>1</v>
      </c>
      <c r="AG157" t="n">
        <v>8</v>
      </c>
      <c r="AH157" t="n">
        <v>2</v>
      </c>
      <c r="AI157" t="n">
        <v>7</v>
      </c>
      <c r="AJ157" t="n">
        <v>2</v>
      </c>
      <c r="AK157" t="n">
        <v>7</v>
      </c>
      <c r="AL157" t="n">
        <v>0</v>
      </c>
      <c r="AM157" t="n">
        <v>4</v>
      </c>
      <c r="AN157" t="n">
        <v>0</v>
      </c>
      <c r="AO157" t="n">
        <v>1</v>
      </c>
      <c r="AP157" t="inlineStr">
        <is>
          <t>No</t>
        </is>
      </c>
      <c r="AQ157" t="inlineStr">
        <is>
          <t>Yes</t>
        </is>
      </c>
      <c r="AR157">
        <f>HYPERLINK("http://catalog.hathitrust.org/Record/005261612","HathiTrust Record")</f>
        <v/>
      </c>
      <c r="AS157">
        <f>HYPERLINK("https://creighton-primo.hosted.exlibrisgroup.com/primo-explore/search?tab=default_tab&amp;search_scope=EVERYTHING&amp;vid=01CRU&amp;lang=en_US&amp;offset=0&amp;query=any,contains,991005057669702656","Catalog Record")</f>
        <v/>
      </c>
      <c r="AT157">
        <f>HYPERLINK("http://www.worldcat.org/oclc/61879643","WorldCat Record")</f>
        <v/>
      </c>
      <c r="AU157" t="inlineStr">
        <is>
          <t>796356305:eng</t>
        </is>
      </c>
      <c r="AV157" t="inlineStr">
        <is>
          <t>61879643</t>
        </is>
      </c>
      <c r="AW157" t="inlineStr">
        <is>
          <t>991005057669702656</t>
        </is>
      </c>
      <c r="AX157" t="inlineStr">
        <is>
          <t>991005057669702656</t>
        </is>
      </c>
      <c r="AY157" t="inlineStr">
        <is>
          <t>2256619150002656</t>
        </is>
      </c>
      <c r="AZ157" t="inlineStr">
        <is>
          <t>BOOK</t>
        </is>
      </c>
      <c r="BB157" t="inlineStr">
        <is>
          <t>9780631230311</t>
        </is>
      </c>
      <c r="BC157" t="inlineStr">
        <is>
          <t>32285005288542</t>
        </is>
      </c>
      <c r="BD157" t="inlineStr">
        <is>
          <t>893719704</t>
        </is>
      </c>
    </row>
    <row r="158">
      <c r="A158" t="inlineStr">
        <is>
          <t>No</t>
        </is>
      </c>
      <c r="B158" t="inlineStr">
        <is>
          <t>PE1290 .H3</t>
        </is>
      </c>
      <c r="C158" t="inlineStr">
        <is>
          <t>0                      PE 1290000H  3</t>
        </is>
      </c>
      <c r="D158" t="inlineStr">
        <is>
          <t>The subjunctive in English.</t>
        </is>
      </c>
      <c r="F158" t="inlineStr">
        <is>
          <t>No</t>
        </is>
      </c>
      <c r="G158" t="inlineStr">
        <is>
          <t>1</t>
        </is>
      </c>
      <c r="H158" t="inlineStr">
        <is>
          <t>No</t>
        </is>
      </c>
      <c r="I158" t="inlineStr">
        <is>
          <t>No</t>
        </is>
      </c>
      <c r="J158" t="inlineStr">
        <is>
          <t>0</t>
        </is>
      </c>
      <c r="K158" t="inlineStr">
        <is>
          <t>Harsh, Wayne.</t>
        </is>
      </c>
      <c r="L158" t="inlineStr">
        <is>
          <t>University, Ala. University of Alabama Press [1968]</t>
        </is>
      </c>
      <c r="M158" t="inlineStr">
        <is>
          <t>1968</t>
        </is>
      </c>
      <c r="O158" t="inlineStr">
        <is>
          <t>eng</t>
        </is>
      </c>
      <c r="P158" t="inlineStr">
        <is>
          <t xml:space="preserve">xx </t>
        </is>
      </c>
      <c r="Q158" t="inlineStr">
        <is>
          <t>Alabama linguistic and philological series, 14</t>
        </is>
      </c>
      <c r="R158" t="inlineStr">
        <is>
          <t xml:space="preserve">PE </t>
        </is>
      </c>
      <c r="S158" t="n">
        <v>1</v>
      </c>
      <c r="T158" t="n">
        <v>1</v>
      </c>
      <c r="U158" t="inlineStr">
        <is>
          <t>2007-04-28</t>
        </is>
      </c>
      <c r="V158" t="inlineStr">
        <is>
          <t>2007-04-28</t>
        </is>
      </c>
      <c r="W158" t="inlineStr">
        <is>
          <t>1997-09-22</t>
        </is>
      </c>
      <c r="X158" t="inlineStr">
        <is>
          <t>1997-09-22</t>
        </is>
      </c>
      <c r="Y158" t="n">
        <v>421</v>
      </c>
      <c r="Z158" t="n">
        <v>339</v>
      </c>
      <c r="AA158" t="n">
        <v>341</v>
      </c>
      <c r="AB158" t="n">
        <v>3</v>
      </c>
      <c r="AC158" t="n">
        <v>3</v>
      </c>
      <c r="AD158" t="n">
        <v>18</v>
      </c>
      <c r="AE158" t="n">
        <v>18</v>
      </c>
      <c r="AF158" t="n">
        <v>4</v>
      </c>
      <c r="AG158" t="n">
        <v>4</v>
      </c>
      <c r="AH158" t="n">
        <v>5</v>
      </c>
      <c r="AI158" t="n">
        <v>5</v>
      </c>
      <c r="AJ158" t="n">
        <v>11</v>
      </c>
      <c r="AK158" t="n">
        <v>11</v>
      </c>
      <c r="AL158" t="n">
        <v>2</v>
      </c>
      <c r="AM158" t="n">
        <v>2</v>
      </c>
      <c r="AN158" t="n">
        <v>0</v>
      </c>
      <c r="AO158" t="n">
        <v>0</v>
      </c>
      <c r="AP158" t="inlineStr">
        <is>
          <t>No</t>
        </is>
      </c>
      <c r="AQ158" t="inlineStr">
        <is>
          <t>Yes</t>
        </is>
      </c>
      <c r="AR158">
        <f>HYPERLINK("http://catalog.hathitrust.org/Record/001630157","HathiTrust Record")</f>
        <v/>
      </c>
      <c r="AS158">
        <f>HYPERLINK("https://creighton-primo.hosted.exlibrisgroup.com/primo-explore/search?tab=default_tab&amp;search_scope=EVERYTHING&amp;vid=01CRU&amp;lang=en_US&amp;offset=0&amp;query=any,contains,991002225119702656","Catalog Record")</f>
        <v/>
      </c>
      <c r="AT158">
        <f>HYPERLINK("http://www.worldcat.org/oclc/291313","WorldCat Record")</f>
        <v/>
      </c>
      <c r="AU158" t="inlineStr">
        <is>
          <t>1474285:eng</t>
        </is>
      </c>
      <c r="AV158" t="inlineStr">
        <is>
          <t>291313</t>
        </is>
      </c>
      <c r="AW158" t="inlineStr">
        <is>
          <t>991002225119702656</t>
        </is>
      </c>
      <c r="AX158" t="inlineStr">
        <is>
          <t>991002225119702656</t>
        </is>
      </c>
      <c r="AY158" t="inlineStr">
        <is>
          <t>2268014730002656</t>
        </is>
      </c>
      <c r="AZ158" t="inlineStr">
        <is>
          <t>BOOK</t>
        </is>
      </c>
      <c r="BC158" t="inlineStr">
        <is>
          <t>32285003245619</t>
        </is>
      </c>
      <c r="BD158" t="inlineStr">
        <is>
          <t>893710026</t>
        </is>
      </c>
    </row>
    <row r="159">
      <c r="A159" t="inlineStr">
        <is>
          <t>No</t>
        </is>
      </c>
      <c r="B159" t="inlineStr">
        <is>
          <t>PE1290 .J34 1986</t>
        </is>
      </c>
      <c r="C159" t="inlineStr">
        <is>
          <t>0                      PE 1290000J  34          1986</t>
        </is>
      </c>
      <c r="D159" t="inlineStr">
        <is>
          <t>Semantics of the English subjunctive / Francis James.</t>
        </is>
      </c>
      <c r="F159" t="inlineStr">
        <is>
          <t>No</t>
        </is>
      </c>
      <c r="G159" t="inlineStr">
        <is>
          <t>1</t>
        </is>
      </c>
      <c r="H159" t="inlineStr">
        <is>
          <t>No</t>
        </is>
      </c>
      <c r="I159" t="inlineStr">
        <is>
          <t>No</t>
        </is>
      </c>
      <c r="J159" t="inlineStr">
        <is>
          <t>0</t>
        </is>
      </c>
      <c r="K159" t="inlineStr">
        <is>
          <t>James, Francis.</t>
        </is>
      </c>
      <c r="L159" t="inlineStr">
        <is>
          <t>Vancouver : University of British Columbia Press, 1986.</t>
        </is>
      </c>
      <c r="M159" t="inlineStr">
        <is>
          <t>1986</t>
        </is>
      </c>
      <c r="O159" t="inlineStr">
        <is>
          <t>eng</t>
        </is>
      </c>
      <c r="P159" t="inlineStr">
        <is>
          <t>bcc</t>
        </is>
      </c>
      <c r="R159" t="inlineStr">
        <is>
          <t xml:space="preserve">PE </t>
        </is>
      </c>
      <c r="S159" t="n">
        <v>1</v>
      </c>
      <c r="T159" t="n">
        <v>1</v>
      </c>
      <c r="U159" t="inlineStr">
        <is>
          <t>2007-04-28</t>
        </is>
      </c>
      <c r="V159" t="inlineStr">
        <is>
          <t>2007-04-28</t>
        </is>
      </c>
      <c r="W159" t="inlineStr">
        <is>
          <t>1993-04-23</t>
        </is>
      </c>
      <c r="X159" t="inlineStr">
        <is>
          <t>1993-04-23</t>
        </is>
      </c>
      <c r="Y159" t="n">
        <v>272</v>
      </c>
      <c r="Z159" t="n">
        <v>191</v>
      </c>
      <c r="AA159" t="n">
        <v>193</v>
      </c>
      <c r="AB159" t="n">
        <v>2</v>
      </c>
      <c r="AC159" t="n">
        <v>2</v>
      </c>
      <c r="AD159" t="n">
        <v>9</v>
      </c>
      <c r="AE159" t="n">
        <v>9</v>
      </c>
      <c r="AF159" t="n">
        <v>2</v>
      </c>
      <c r="AG159" t="n">
        <v>2</v>
      </c>
      <c r="AH159" t="n">
        <v>4</v>
      </c>
      <c r="AI159" t="n">
        <v>4</v>
      </c>
      <c r="AJ159" t="n">
        <v>6</v>
      </c>
      <c r="AK159" t="n">
        <v>6</v>
      </c>
      <c r="AL159" t="n">
        <v>1</v>
      </c>
      <c r="AM159" t="n">
        <v>1</v>
      </c>
      <c r="AN159" t="n">
        <v>0</v>
      </c>
      <c r="AO159" t="n">
        <v>0</v>
      </c>
      <c r="AP159" t="inlineStr">
        <is>
          <t>No</t>
        </is>
      </c>
      <c r="AQ159" t="inlineStr">
        <is>
          <t>Yes</t>
        </is>
      </c>
      <c r="AR159">
        <f>HYPERLINK("http://catalog.hathitrust.org/Record/000554929","HathiTrust Record")</f>
        <v/>
      </c>
      <c r="AS159">
        <f>HYPERLINK("https://creighton-primo.hosted.exlibrisgroup.com/primo-explore/search?tab=default_tab&amp;search_scope=EVERYTHING&amp;vid=01CRU&amp;lang=en_US&amp;offset=0&amp;query=any,contains,991000943909702656","Catalog Record")</f>
        <v/>
      </c>
      <c r="AT159">
        <f>HYPERLINK("http://www.worldcat.org/oclc/14509115","WorldCat Record")</f>
        <v/>
      </c>
      <c r="AU159" t="inlineStr">
        <is>
          <t>138568198:eng</t>
        </is>
      </c>
      <c r="AV159" t="inlineStr">
        <is>
          <t>14509115</t>
        </is>
      </c>
      <c r="AW159" t="inlineStr">
        <is>
          <t>991000943909702656</t>
        </is>
      </c>
      <c r="AX159" t="inlineStr">
        <is>
          <t>991000943909702656</t>
        </is>
      </c>
      <c r="AY159" t="inlineStr">
        <is>
          <t>2264463030002656</t>
        </is>
      </c>
      <c r="AZ159" t="inlineStr">
        <is>
          <t>BOOK</t>
        </is>
      </c>
      <c r="BB159" t="inlineStr">
        <is>
          <t>9780774802550</t>
        </is>
      </c>
      <c r="BC159" t="inlineStr">
        <is>
          <t>32285001646727</t>
        </is>
      </c>
      <c r="BD159" t="inlineStr">
        <is>
          <t>893903220</t>
        </is>
      </c>
    </row>
    <row r="160">
      <c r="A160" t="inlineStr">
        <is>
          <t>No</t>
        </is>
      </c>
      <c r="B160" t="inlineStr">
        <is>
          <t>PE131 .C3</t>
        </is>
      </c>
      <c r="C160" t="inlineStr">
        <is>
          <t>0                      PE 0131000C  3</t>
        </is>
      </c>
      <c r="D160" t="inlineStr">
        <is>
          <t>Old English grammar.</t>
        </is>
      </c>
      <c r="F160" t="inlineStr">
        <is>
          <t>No</t>
        </is>
      </c>
      <c r="G160" t="inlineStr">
        <is>
          <t>1</t>
        </is>
      </c>
      <c r="H160" t="inlineStr">
        <is>
          <t>No</t>
        </is>
      </c>
      <c r="I160" t="inlineStr">
        <is>
          <t>No</t>
        </is>
      </c>
      <c r="J160" t="inlineStr">
        <is>
          <t>0</t>
        </is>
      </c>
      <c r="K160" t="inlineStr">
        <is>
          <t>Campbell, A. (Alistair), 1907-1974.</t>
        </is>
      </c>
      <c r="L160" t="inlineStr">
        <is>
          <t>Oxford, Clarendon Press, 1959.</t>
        </is>
      </c>
      <c r="M160" t="inlineStr">
        <is>
          <t>1959</t>
        </is>
      </c>
      <c r="O160" t="inlineStr">
        <is>
          <t>ang</t>
        </is>
      </c>
      <c r="P160" t="inlineStr">
        <is>
          <t>enk</t>
        </is>
      </c>
      <c r="R160" t="inlineStr">
        <is>
          <t xml:space="preserve">PE </t>
        </is>
      </c>
      <c r="S160" t="n">
        <v>5</v>
      </c>
      <c r="T160" t="n">
        <v>5</v>
      </c>
      <c r="U160" t="inlineStr">
        <is>
          <t>2000-01-17</t>
        </is>
      </c>
      <c r="V160" t="inlineStr">
        <is>
          <t>2000-01-17</t>
        </is>
      </c>
      <c r="W160" t="inlineStr">
        <is>
          <t>1997-09-15</t>
        </is>
      </c>
      <c r="X160" t="inlineStr">
        <is>
          <t>1997-09-15</t>
        </is>
      </c>
      <c r="Y160" t="n">
        <v>608</v>
      </c>
      <c r="Z160" t="n">
        <v>439</v>
      </c>
      <c r="AA160" t="n">
        <v>456</v>
      </c>
      <c r="AB160" t="n">
        <v>4</v>
      </c>
      <c r="AC160" t="n">
        <v>4</v>
      </c>
      <c r="AD160" t="n">
        <v>24</v>
      </c>
      <c r="AE160" t="n">
        <v>26</v>
      </c>
      <c r="AF160" t="n">
        <v>10</v>
      </c>
      <c r="AG160" t="n">
        <v>11</v>
      </c>
      <c r="AH160" t="n">
        <v>5</v>
      </c>
      <c r="AI160" t="n">
        <v>6</v>
      </c>
      <c r="AJ160" t="n">
        <v>13</v>
      </c>
      <c r="AK160" t="n">
        <v>13</v>
      </c>
      <c r="AL160" t="n">
        <v>3</v>
      </c>
      <c r="AM160" t="n">
        <v>3</v>
      </c>
      <c r="AN160" t="n">
        <v>0</v>
      </c>
      <c r="AO160" t="n">
        <v>0</v>
      </c>
      <c r="AP160" t="inlineStr">
        <is>
          <t>No</t>
        </is>
      </c>
      <c r="AQ160" t="inlineStr">
        <is>
          <t>Yes</t>
        </is>
      </c>
      <c r="AR160">
        <f>HYPERLINK("http://catalog.hathitrust.org/Record/001182873","HathiTrust Record")</f>
        <v/>
      </c>
      <c r="AS160">
        <f>HYPERLINK("https://creighton-primo.hosted.exlibrisgroup.com/primo-explore/search?tab=default_tab&amp;search_scope=EVERYTHING&amp;vid=01CRU&amp;lang=en_US&amp;offset=0&amp;query=any,contains,991002297589702656","Catalog Record")</f>
        <v/>
      </c>
      <c r="AT160">
        <f>HYPERLINK("http://www.worldcat.org/oclc/316368","WorldCat Record")</f>
        <v/>
      </c>
      <c r="AU160" t="inlineStr">
        <is>
          <t>1387157:ang</t>
        </is>
      </c>
      <c r="AV160" t="inlineStr">
        <is>
          <t>316368</t>
        </is>
      </c>
      <c r="AW160" t="inlineStr">
        <is>
          <t>991002297589702656</t>
        </is>
      </c>
      <c r="AX160" t="inlineStr">
        <is>
          <t>991002297589702656</t>
        </is>
      </c>
      <c r="AY160" t="inlineStr">
        <is>
          <t>2269351810002656</t>
        </is>
      </c>
      <c r="AZ160" t="inlineStr">
        <is>
          <t>BOOK</t>
        </is>
      </c>
      <c r="BC160" t="inlineStr">
        <is>
          <t>32285003227153</t>
        </is>
      </c>
      <c r="BD160" t="inlineStr">
        <is>
          <t>893609700</t>
        </is>
      </c>
    </row>
    <row r="161">
      <c r="A161" t="inlineStr">
        <is>
          <t>No</t>
        </is>
      </c>
      <c r="B161" t="inlineStr">
        <is>
          <t>PE131 .M5 2001</t>
        </is>
      </c>
      <c r="C161" t="inlineStr">
        <is>
          <t>0                      PE 0131000M  5           2001</t>
        </is>
      </c>
      <c r="D161" t="inlineStr">
        <is>
          <t>A guide to Old English / Bruce Mitchell, Fred C. Robinson.</t>
        </is>
      </c>
      <c r="F161" t="inlineStr">
        <is>
          <t>No</t>
        </is>
      </c>
      <c r="G161" t="inlineStr">
        <is>
          <t>1</t>
        </is>
      </c>
      <c r="H161" t="inlineStr">
        <is>
          <t>No</t>
        </is>
      </c>
      <c r="I161" t="inlineStr">
        <is>
          <t>No</t>
        </is>
      </c>
      <c r="J161" t="inlineStr">
        <is>
          <t>0</t>
        </is>
      </c>
      <c r="K161" t="inlineStr">
        <is>
          <t>Mitchell, Bruce, 1920-2010.</t>
        </is>
      </c>
      <c r="L161" t="inlineStr">
        <is>
          <t>Malden, Mass. : Blackwell Publishers, 2001.</t>
        </is>
      </c>
      <c r="M161" t="inlineStr">
        <is>
          <t>2001</t>
        </is>
      </c>
      <c r="N161" t="inlineStr">
        <is>
          <t>6th ed.</t>
        </is>
      </c>
      <c r="O161" t="inlineStr">
        <is>
          <t>eng</t>
        </is>
      </c>
      <c r="P161" t="inlineStr">
        <is>
          <t>mau</t>
        </is>
      </c>
      <c r="R161" t="inlineStr">
        <is>
          <t xml:space="preserve">PE </t>
        </is>
      </c>
      <c r="S161" t="n">
        <v>2</v>
      </c>
      <c r="T161" t="n">
        <v>2</v>
      </c>
      <c r="U161" t="inlineStr">
        <is>
          <t>2008-01-15</t>
        </is>
      </c>
      <c r="V161" t="inlineStr">
        <is>
          <t>2008-01-15</t>
        </is>
      </c>
      <c r="W161" t="inlineStr">
        <is>
          <t>2006-09-14</t>
        </is>
      </c>
      <c r="X161" t="inlineStr">
        <is>
          <t>2006-09-14</t>
        </is>
      </c>
      <c r="Y161" t="n">
        <v>174</v>
      </c>
      <c r="Z161" t="n">
        <v>143</v>
      </c>
      <c r="AA161" t="n">
        <v>143</v>
      </c>
      <c r="AB161" t="n">
        <v>3</v>
      </c>
      <c r="AC161" t="n">
        <v>3</v>
      </c>
      <c r="AD161" t="n">
        <v>10</v>
      </c>
      <c r="AE161" t="n">
        <v>10</v>
      </c>
      <c r="AF161" t="n">
        <v>2</v>
      </c>
      <c r="AG161" t="n">
        <v>2</v>
      </c>
      <c r="AH161" t="n">
        <v>3</v>
      </c>
      <c r="AI161" t="n">
        <v>3</v>
      </c>
      <c r="AJ161" t="n">
        <v>5</v>
      </c>
      <c r="AK161" t="n">
        <v>5</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HYPERLINK("https://creighton-primo.hosted.exlibrisgroup.com/primo-explore/search?tab=default_tab&amp;search_scope=EVERYTHING&amp;vid=01CRU&amp;lang=en_US&amp;offset=0&amp;query=any,contains,991004919749702656","Catalog Record")</f>
        <v/>
      </c>
      <c r="AT161">
        <f>HYPERLINK("http://www.worldcat.org/oclc/45023126","WorldCat Record")</f>
        <v/>
      </c>
      <c r="AU161" t="inlineStr">
        <is>
          <t>8909043863:eng</t>
        </is>
      </c>
      <c r="AV161" t="inlineStr">
        <is>
          <t>45023126</t>
        </is>
      </c>
      <c r="AW161" t="inlineStr">
        <is>
          <t>991004919749702656</t>
        </is>
      </c>
      <c r="AX161" t="inlineStr">
        <is>
          <t>991004919749702656</t>
        </is>
      </c>
      <c r="AY161" t="inlineStr">
        <is>
          <t>2260931770002656</t>
        </is>
      </c>
      <c r="AZ161" t="inlineStr">
        <is>
          <t>BOOK</t>
        </is>
      </c>
      <c r="BB161" t="inlineStr">
        <is>
          <t>9780631226369</t>
        </is>
      </c>
      <c r="BC161" t="inlineStr">
        <is>
          <t>32285005223697</t>
        </is>
      </c>
      <c r="BD161" t="inlineStr">
        <is>
          <t>893536266</t>
        </is>
      </c>
    </row>
    <row r="162">
      <c r="A162" t="inlineStr">
        <is>
          <t>No</t>
        </is>
      </c>
      <c r="B162" t="inlineStr">
        <is>
          <t>PE131 .Q5 1994</t>
        </is>
      </c>
      <c r="C162" t="inlineStr">
        <is>
          <t>0                      PE 0131000Q  5           1994</t>
        </is>
      </c>
      <c r="D162" t="inlineStr">
        <is>
          <t>An old English Grammar / Randolph Quirk and C.L. Wrenn ; with a supplemental bibliography by Susan E. Deskis.</t>
        </is>
      </c>
      <c r="F162" t="inlineStr">
        <is>
          <t>No</t>
        </is>
      </c>
      <c r="G162" t="inlineStr">
        <is>
          <t>1</t>
        </is>
      </c>
      <c r="H162" t="inlineStr">
        <is>
          <t>No</t>
        </is>
      </c>
      <c r="I162" t="inlineStr">
        <is>
          <t>Yes</t>
        </is>
      </c>
      <c r="J162" t="inlineStr">
        <is>
          <t>0</t>
        </is>
      </c>
      <c r="K162" t="inlineStr">
        <is>
          <t>Quirk, Randolph.</t>
        </is>
      </c>
      <c r="L162" t="inlineStr">
        <is>
          <t>DeKalb : Northern Illinois University Press, 1994.</t>
        </is>
      </c>
      <c r="M162" t="inlineStr">
        <is>
          <t>1994</t>
        </is>
      </c>
      <c r="O162" t="inlineStr">
        <is>
          <t>eng</t>
        </is>
      </c>
      <c r="P162" t="inlineStr">
        <is>
          <t>ilu</t>
        </is>
      </c>
      <c r="R162" t="inlineStr">
        <is>
          <t xml:space="preserve">PE </t>
        </is>
      </c>
      <c r="S162" t="n">
        <v>1</v>
      </c>
      <c r="T162" t="n">
        <v>1</v>
      </c>
      <c r="U162" t="inlineStr">
        <is>
          <t>2006-09-14</t>
        </is>
      </c>
      <c r="V162" t="inlineStr">
        <is>
          <t>2006-09-14</t>
        </is>
      </c>
      <c r="W162" t="inlineStr">
        <is>
          <t>2006-09-14</t>
        </is>
      </c>
      <c r="X162" t="inlineStr">
        <is>
          <t>2006-09-14</t>
        </is>
      </c>
      <c r="Y162" t="n">
        <v>153</v>
      </c>
      <c r="Z162" t="n">
        <v>138</v>
      </c>
      <c r="AA162" t="n">
        <v>674</v>
      </c>
      <c r="AB162" t="n">
        <v>3</v>
      </c>
      <c r="AC162" t="n">
        <v>6</v>
      </c>
      <c r="AD162" t="n">
        <v>6</v>
      </c>
      <c r="AE162" t="n">
        <v>28</v>
      </c>
      <c r="AF162" t="n">
        <v>0</v>
      </c>
      <c r="AG162" t="n">
        <v>10</v>
      </c>
      <c r="AH162" t="n">
        <v>1</v>
      </c>
      <c r="AI162" t="n">
        <v>7</v>
      </c>
      <c r="AJ162" t="n">
        <v>4</v>
      </c>
      <c r="AK162" t="n">
        <v>16</v>
      </c>
      <c r="AL162" t="n">
        <v>2</v>
      </c>
      <c r="AM162" t="n">
        <v>4</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HYPERLINK("https://creighton-primo.hosted.exlibrisgroup.com/primo-explore/search?tab=default_tab&amp;search_scope=EVERYTHING&amp;vid=01CRU&amp;lang=en_US&amp;offset=0&amp;query=any,contains,991004920519702656","Catalog Record")</f>
        <v/>
      </c>
      <c r="AT162">
        <f>HYPERLINK("http://www.worldcat.org/oclc/29024551","WorldCat Record")</f>
        <v/>
      </c>
      <c r="AU162" t="inlineStr">
        <is>
          <t>478765:eng</t>
        </is>
      </c>
      <c r="AV162" t="inlineStr">
        <is>
          <t>29024551</t>
        </is>
      </c>
      <c r="AW162" t="inlineStr">
        <is>
          <t>991004920519702656</t>
        </is>
      </c>
      <c r="AX162" t="inlineStr">
        <is>
          <t>991004920519702656</t>
        </is>
      </c>
      <c r="AY162" t="inlineStr">
        <is>
          <t>2258313580002656</t>
        </is>
      </c>
      <c r="AZ162" t="inlineStr">
        <is>
          <t>BOOK</t>
        </is>
      </c>
      <c r="BB162" t="inlineStr">
        <is>
          <t>9780875805603</t>
        </is>
      </c>
      <c r="BC162" t="inlineStr">
        <is>
          <t>32285005223713</t>
        </is>
      </c>
      <c r="BD162" t="inlineStr">
        <is>
          <t>893241973</t>
        </is>
      </c>
    </row>
    <row r="163">
      <c r="A163" t="inlineStr">
        <is>
          <t>No</t>
        </is>
      </c>
      <c r="B163" t="inlineStr">
        <is>
          <t>PE1319 .A57 2005</t>
        </is>
      </c>
      <c r="C163" t="inlineStr">
        <is>
          <t>0                      PE 1319000A  57          2005</t>
        </is>
      </c>
      <c r="D163" t="inlineStr">
        <is>
          <t>The American heritage dictionary of phrasal verbs.</t>
        </is>
      </c>
      <c r="F163" t="inlineStr">
        <is>
          <t>No</t>
        </is>
      </c>
      <c r="G163" t="inlineStr">
        <is>
          <t>1</t>
        </is>
      </c>
      <c r="H163" t="inlineStr">
        <is>
          <t>No</t>
        </is>
      </c>
      <c r="I163" t="inlineStr">
        <is>
          <t>No</t>
        </is>
      </c>
      <c r="J163" t="inlineStr">
        <is>
          <t>0</t>
        </is>
      </c>
      <c r="L163" t="inlineStr">
        <is>
          <t>Boston : Houghton Mifflin Co., c2005.</t>
        </is>
      </c>
      <c r="M163" t="inlineStr">
        <is>
          <t>2005</t>
        </is>
      </c>
      <c r="O163" t="inlineStr">
        <is>
          <t>eng</t>
        </is>
      </c>
      <c r="P163" t="inlineStr">
        <is>
          <t>mau</t>
        </is>
      </c>
      <c r="R163" t="inlineStr">
        <is>
          <t xml:space="preserve">PE </t>
        </is>
      </c>
      <c r="S163" t="n">
        <v>1</v>
      </c>
      <c r="T163" t="n">
        <v>1</v>
      </c>
      <c r="U163" t="inlineStr">
        <is>
          <t>2008-12-15</t>
        </is>
      </c>
      <c r="V163" t="inlineStr">
        <is>
          <t>2008-12-15</t>
        </is>
      </c>
      <c r="W163" t="inlineStr">
        <is>
          <t>2008-12-15</t>
        </is>
      </c>
      <c r="X163" t="inlineStr">
        <is>
          <t>2008-12-15</t>
        </is>
      </c>
      <c r="Y163" t="n">
        <v>383</v>
      </c>
      <c r="Z163" t="n">
        <v>352</v>
      </c>
      <c r="AA163" t="n">
        <v>353</v>
      </c>
      <c r="AB163" t="n">
        <v>3</v>
      </c>
      <c r="AC163" t="n">
        <v>3</v>
      </c>
      <c r="AD163" t="n">
        <v>7</v>
      </c>
      <c r="AE163" t="n">
        <v>7</v>
      </c>
      <c r="AF163" t="n">
        <v>2</v>
      </c>
      <c r="AG163" t="n">
        <v>2</v>
      </c>
      <c r="AH163" t="n">
        <v>3</v>
      </c>
      <c r="AI163" t="n">
        <v>3</v>
      </c>
      <c r="AJ163" t="n">
        <v>3</v>
      </c>
      <c r="AK163" t="n">
        <v>3</v>
      </c>
      <c r="AL163" t="n">
        <v>2</v>
      </c>
      <c r="AM163" t="n">
        <v>2</v>
      </c>
      <c r="AN163" t="n">
        <v>0</v>
      </c>
      <c r="AO163" t="n">
        <v>0</v>
      </c>
      <c r="AP163" t="inlineStr">
        <is>
          <t>No</t>
        </is>
      </c>
      <c r="AQ163" t="inlineStr">
        <is>
          <t>Yes</t>
        </is>
      </c>
      <c r="AR163">
        <f>HYPERLINK("http://catalog.hathitrust.org/Record/005079686","HathiTrust Record")</f>
        <v/>
      </c>
      <c r="AS163">
        <f>HYPERLINK("https://creighton-primo.hosted.exlibrisgroup.com/primo-explore/search?tab=default_tab&amp;search_scope=EVERYTHING&amp;vid=01CRU&amp;lang=en_US&amp;offset=0&amp;query=any,contains,991005284209702656","Catalog Record")</f>
        <v/>
      </c>
      <c r="AT163">
        <f>HYPERLINK("http://www.worldcat.org/oclc/60323490","WorldCat Record")</f>
        <v/>
      </c>
      <c r="AU163" t="inlineStr">
        <is>
          <t>2973830828:eng</t>
        </is>
      </c>
      <c r="AV163" t="inlineStr">
        <is>
          <t>60323490</t>
        </is>
      </c>
      <c r="AW163" t="inlineStr">
        <is>
          <t>991005284209702656</t>
        </is>
      </c>
      <c r="AX163" t="inlineStr">
        <is>
          <t>991005284209702656</t>
        </is>
      </c>
      <c r="AY163" t="inlineStr">
        <is>
          <t>2258921430002656</t>
        </is>
      </c>
      <c r="AZ163" t="inlineStr">
        <is>
          <t>BOOK</t>
        </is>
      </c>
      <c r="BB163" t="inlineStr">
        <is>
          <t>9780618592609</t>
        </is>
      </c>
      <c r="BC163" t="inlineStr">
        <is>
          <t>32285005473326</t>
        </is>
      </c>
      <c r="BD163" t="inlineStr">
        <is>
          <t>893695070</t>
        </is>
      </c>
    </row>
    <row r="164">
      <c r="A164" t="inlineStr">
        <is>
          <t>No</t>
        </is>
      </c>
      <c r="B164" t="inlineStr">
        <is>
          <t>PE1319 .R83 1998</t>
        </is>
      </c>
      <c r="C164" t="inlineStr">
        <is>
          <t>0                      PE 1319000R  83          1998</t>
        </is>
      </c>
      <c r="D164" t="inlineStr">
        <is>
          <t>Change and continuity in the English language : studies on complementation over the past three hundred years / Juhani Rudanko.</t>
        </is>
      </c>
      <c r="F164" t="inlineStr">
        <is>
          <t>No</t>
        </is>
      </c>
      <c r="G164" t="inlineStr">
        <is>
          <t>1</t>
        </is>
      </c>
      <c r="H164" t="inlineStr">
        <is>
          <t>No</t>
        </is>
      </c>
      <c r="I164" t="inlineStr">
        <is>
          <t>No</t>
        </is>
      </c>
      <c r="J164" t="inlineStr">
        <is>
          <t>0</t>
        </is>
      </c>
      <c r="K164" t="inlineStr">
        <is>
          <t>Rudanko, Martti Juhani.</t>
        </is>
      </c>
      <c r="L164" t="inlineStr">
        <is>
          <t>Lanham, Md. : University Press of America, c1998.</t>
        </is>
      </c>
      <c r="M164" t="inlineStr">
        <is>
          <t>1998</t>
        </is>
      </c>
      <c r="O164" t="inlineStr">
        <is>
          <t>eng</t>
        </is>
      </c>
      <c r="P164" t="inlineStr">
        <is>
          <t>mdu</t>
        </is>
      </c>
      <c r="R164" t="inlineStr">
        <is>
          <t xml:space="preserve">PE </t>
        </is>
      </c>
      <c r="S164" t="n">
        <v>1</v>
      </c>
      <c r="T164" t="n">
        <v>1</v>
      </c>
      <c r="U164" t="inlineStr">
        <is>
          <t>2002-11-06</t>
        </is>
      </c>
      <c r="V164" t="inlineStr">
        <is>
          <t>2002-11-06</t>
        </is>
      </c>
      <c r="W164" t="inlineStr">
        <is>
          <t>2002-11-06</t>
        </is>
      </c>
      <c r="X164" t="inlineStr">
        <is>
          <t>2002-11-06</t>
        </is>
      </c>
      <c r="Y164" t="n">
        <v>135</v>
      </c>
      <c r="Z164" t="n">
        <v>108</v>
      </c>
      <c r="AA164" t="n">
        <v>110</v>
      </c>
      <c r="AB164" t="n">
        <v>2</v>
      </c>
      <c r="AC164" t="n">
        <v>2</v>
      </c>
      <c r="AD164" t="n">
        <v>5</v>
      </c>
      <c r="AE164" t="n">
        <v>5</v>
      </c>
      <c r="AF164" t="n">
        <v>1</v>
      </c>
      <c r="AG164" t="n">
        <v>1</v>
      </c>
      <c r="AH164" t="n">
        <v>2</v>
      </c>
      <c r="AI164" t="n">
        <v>2</v>
      </c>
      <c r="AJ164" t="n">
        <v>3</v>
      </c>
      <c r="AK164" t="n">
        <v>3</v>
      </c>
      <c r="AL164" t="n">
        <v>1</v>
      </c>
      <c r="AM164" t="n">
        <v>1</v>
      </c>
      <c r="AN164" t="n">
        <v>0</v>
      </c>
      <c r="AO164" t="n">
        <v>0</v>
      </c>
      <c r="AP164" t="inlineStr">
        <is>
          <t>No</t>
        </is>
      </c>
      <c r="AQ164" t="inlineStr">
        <is>
          <t>Yes</t>
        </is>
      </c>
      <c r="AR164">
        <f>HYPERLINK("http://catalog.hathitrust.org/Record/003982189","HathiTrust Record")</f>
        <v/>
      </c>
      <c r="AS164">
        <f>HYPERLINK("https://creighton-primo.hosted.exlibrisgroup.com/primo-explore/search?tab=default_tab&amp;search_scope=EVERYTHING&amp;vid=01CRU&amp;lang=en_US&amp;offset=0&amp;query=any,contains,991003936589702656","Catalog Record")</f>
        <v/>
      </c>
      <c r="AT164">
        <f>HYPERLINK("http://www.worldcat.org/oclc/38147873","WorldCat Record")</f>
        <v/>
      </c>
      <c r="AU164" t="inlineStr">
        <is>
          <t>312582152:eng</t>
        </is>
      </c>
      <c r="AV164" t="inlineStr">
        <is>
          <t>38147873</t>
        </is>
      </c>
      <c r="AW164" t="inlineStr">
        <is>
          <t>991003936589702656</t>
        </is>
      </c>
      <c r="AX164" t="inlineStr">
        <is>
          <t>991003936589702656</t>
        </is>
      </c>
      <c r="AY164" t="inlineStr">
        <is>
          <t>2265968280002656</t>
        </is>
      </c>
      <c r="AZ164" t="inlineStr">
        <is>
          <t>BOOK</t>
        </is>
      </c>
      <c r="BB164" t="inlineStr">
        <is>
          <t>9780761810391</t>
        </is>
      </c>
      <c r="BC164" t="inlineStr">
        <is>
          <t>32285004661434</t>
        </is>
      </c>
      <c r="BD164" t="inlineStr">
        <is>
          <t>893246953</t>
        </is>
      </c>
    </row>
    <row r="165">
      <c r="A165" t="inlineStr">
        <is>
          <t>No</t>
        </is>
      </c>
      <c r="B165" t="inlineStr">
        <is>
          <t>PE135 .A45</t>
        </is>
      </c>
      <c r="C165" t="inlineStr">
        <is>
          <t>0                      PE 0135000A  45</t>
        </is>
      </c>
      <c r="D165" t="inlineStr">
        <is>
          <t>An introduction to Old English.</t>
        </is>
      </c>
      <c r="F165" t="inlineStr">
        <is>
          <t>No</t>
        </is>
      </c>
      <c r="G165" t="inlineStr">
        <is>
          <t>1</t>
        </is>
      </c>
      <c r="H165" t="inlineStr">
        <is>
          <t>No</t>
        </is>
      </c>
      <c r="I165" t="inlineStr">
        <is>
          <t>No</t>
        </is>
      </c>
      <c r="J165" t="inlineStr">
        <is>
          <t>0</t>
        </is>
      </c>
      <c r="K165" t="inlineStr">
        <is>
          <t>Alston, Robin, 1933-2011.</t>
        </is>
      </c>
      <c r="L165" t="inlineStr">
        <is>
          <t>Evanston, Ill. : Row, Peterson [1962?]</t>
        </is>
      </c>
      <c r="M165" t="inlineStr">
        <is>
          <t>1962</t>
        </is>
      </c>
      <c r="O165" t="inlineStr">
        <is>
          <t>eng</t>
        </is>
      </c>
      <c r="P165" t="inlineStr">
        <is>
          <t>ilu</t>
        </is>
      </c>
      <c r="R165" t="inlineStr">
        <is>
          <t xml:space="preserve">PE </t>
        </is>
      </c>
      <c r="S165" t="n">
        <v>2</v>
      </c>
      <c r="T165" t="n">
        <v>2</v>
      </c>
      <c r="U165" t="inlineStr">
        <is>
          <t>1999-02-11</t>
        </is>
      </c>
      <c r="V165" t="inlineStr">
        <is>
          <t>1999-02-11</t>
        </is>
      </c>
      <c r="W165" t="inlineStr">
        <is>
          <t>1997-09-15</t>
        </is>
      </c>
      <c r="X165" t="inlineStr">
        <is>
          <t>1997-09-15</t>
        </is>
      </c>
      <c r="Y165" t="n">
        <v>248</v>
      </c>
      <c r="Z165" t="n">
        <v>227</v>
      </c>
      <c r="AA165" t="n">
        <v>258</v>
      </c>
      <c r="AB165" t="n">
        <v>5</v>
      </c>
      <c r="AC165" t="n">
        <v>5</v>
      </c>
      <c r="AD165" t="n">
        <v>17</v>
      </c>
      <c r="AE165" t="n">
        <v>17</v>
      </c>
      <c r="AF165" t="n">
        <v>5</v>
      </c>
      <c r="AG165" t="n">
        <v>5</v>
      </c>
      <c r="AH165" t="n">
        <v>4</v>
      </c>
      <c r="AI165" t="n">
        <v>4</v>
      </c>
      <c r="AJ165" t="n">
        <v>8</v>
      </c>
      <c r="AK165" t="n">
        <v>8</v>
      </c>
      <c r="AL165" t="n">
        <v>4</v>
      </c>
      <c r="AM165" t="n">
        <v>4</v>
      </c>
      <c r="AN165" t="n">
        <v>0</v>
      </c>
      <c r="AO165" t="n">
        <v>0</v>
      </c>
      <c r="AP165" t="inlineStr">
        <is>
          <t>No</t>
        </is>
      </c>
      <c r="AQ165" t="inlineStr">
        <is>
          <t>Yes</t>
        </is>
      </c>
      <c r="AR165">
        <f>HYPERLINK("http://catalog.hathitrust.org/Record/102330155","HathiTrust Record")</f>
        <v/>
      </c>
      <c r="AS165">
        <f>HYPERLINK("https://creighton-primo.hosted.exlibrisgroup.com/primo-explore/search?tab=default_tab&amp;search_scope=EVERYTHING&amp;vid=01CRU&amp;lang=en_US&amp;offset=0&amp;query=any,contains,991003241739702656","Catalog Record")</f>
        <v/>
      </c>
      <c r="AT165">
        <f>HYPERLINK("http://www.worldcat.org/oclc/764661","WorldCat Record")</f>
        <v/>
      </c>
      <c r="AU165" t="inlineStr">
        <is>
          <t>1654561:eng</t>
        </is>
      </c>
      <c r="AV165" t="inlineStr">
        <is>
          <t>764661</t>
        </is>
      </c>
      <c r="AW165" t="inlineStr">
        <is>
          <t>991003241739702656</t>
        </is>
      </c>
      <c r="AX165" t="inlineStr">
        <is>
          <t>991003241739702656</t>
        </is>
      </c>
      <c r="AY165" t="inlineStr">
        <is>
          <t>2268489710002656</t>
        </is>
      </c>
      <c r="AZ165" t="inlineStr">
        <is>
          <t>BOOK</t>
        </is>
      </c>
      <c r="BC165" t="inlineStr">
        <is>
          <t>32285003227211</t>
        </is>
      </c>
      <c r="BD165" t="inlineStr">
        <is>
          <t>893809888</t>
        </is>
      </c>
    </row>
    <row r="166">
      <c r="A166" t="inlineStr">
        <is>
          <t>No</t>
        </is>
      </c>
      <c r="B166" t="inlineStr">
        <is>
          <t>PE135 .B34 2003</t>
        </is>
      </c>
      <c r="C166" t="inlineStr">
        <is>
          <t>0                      PE 0135000B  34          2003</t>
        </is>
      </c>
      <c r="D166" t="inlineStr">
        <is>
          <t>Introduction to Old English / Peter S. Baker.</t>
        </is>
      </c>
      <c r="F166" t="inlineStr">
        <is>
          <t>No</t>
        </is>
      </c>
      <c r="G166" t="inlineStr">
        <is>
          <t>1</t>
        </is>
      </c>
      <c r="H166" t="inlineStr">
        <is>
          <t>No</t>
        </is>
      </c>
      <c r="I166" t="inlineStr">
        <is>
          <t>No</t>
        </is>
      </c>
      <c r="J166" t="inlineStr">
        <is>
          <t>0</t>
        </is>
      </c>
      <c r="K166" t="inlineStr">
        <is>
          <t>Baker, Peter S. (Peter Stuart), 1952-</t>
        </is>
      </c>
      <c r="L166" t="inlineStr">
        <is>
          <t>Malden, MA : Blackwell Pub., 2003.</t>
        </is>
      </c>
      <c r="M166" t="inlineStr">
        <is>
          <t>2003</t>
        </is>
      </c>
      <c r="O166" t="inlineStr">
        <is>
          <t>eng</t>
        </is>
      </c>
      <c r="P166" t="inlineStr">
        <is>
          <t>mau</t>
        </is>
      </c>
      <c r="R166" t="inlineStr">
        <is>
          <t xml:space="preserve">PE </t>
        </is>
      </c>
      <c r="S166" t="n">
        <v>4</v>
      </c>
      <c r="T166" t="n">
        <v>4</v>
      </c>
      <c r="U166" t="inlineStr">
        <is>
          <t>2004-12-16</t>
        </is>
      </c>
      <c r="V166" t="inlineStr">
        <is>
          <t>2004-12-16</t>
        </is>
      </c>
      <c r="W166" t="inlineStr">
        <is>
          <t>2004-03-04</t>
        </is>
      </c>
      <c r="X166" t="inlineStr">
        <is>
          <t>2004-03-04</t>
        </is>
      </c>
      <c r="Y166" t="n">
        <v>417</v>
      </c>
      <c r="Z166" t="n">
        <v>336</v>
      </c>
      <c r="AA166" t="n">
        <v>336</v>
      </c>
      <c r="AB166" t="n">
        <v>4</v>
      </c>
      <c r="AC166" t="n">
        <v>4</v>
      </c>
      <c r="AD166" t="n">
        <v>12</v>
      </c>
      <c r="AE166" t="n">
        <v>12</v>
      </c>
      <c r="AF166" t="n">
        <v>2</v>
      </c>
      <c r="AG166" t="n">
        <v>2</v>
      </c>
      <c r="AH166" t="n">
        <v>3</v>
      </c>
      <c r="AI166" t="n">
        <v>3</v>
      </c>
      <c r="AJ166" t="n">
        <v>7</v>
      </c>
      <c r="AK166" t="n">
        <v>7</v>
      </c>
      <c r="AL166" t="n">
        <v>3</v>
      </c>
      <c r="AM166" t="n">
        <v>3</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HYPERLINK("https://creighton-primo.hosted.exlibrisgroup.com/primo-explore/search?tab=default_tab&amp;search_scope=EVERYTHING&amp;vid=01CRU&amp;lang=en_US&amp;offset=0&amp;query=any,contains,991004225209702656","Catalog Record")</f>
        <v/>
      </c>
      <c r="AT166">
        <f>HYPERLINK("http://www.worldcat.org/oclc/50919770","WorldCat Record")</f>
        <v/>
      </c>
      <c r="AU166" t="inlineStr">
        <is>
          <t>5615356441:eng</t>
        </is>
      </c>
      <c r="AV166" t="inlineStr">
        <is>
          <t>50919770</t>
        </is>
      </c>
      <c r="AW166" t="inlineStr">
        <is>
          <t>991004225209702656</t>
        </is>
      </c>
      <c r="AX166" t="inlineStr">
        <is>
          <t>991004225209702656</t>
        </is>
      </c>
      <c r="AY166" t="inlineStr">
        <is>
          <t>2266839150002656</t>
        </is>
      </c>
      <c r="AZ166" t="inlineStr">
        <is>
          <t>BOOK</t>
        </is>
      </c>
      <c r="BB166" t="inlineStr">
        <is>
          <t>9780631234531</t>
        </is>
      </c>
      <c r="BC166" t="inlineStr">
        <is>
          <t>32285004891908</t>
        </is>
      </c>
      <c r="BD166" t="inlineStr">
        <is>
          <t>893519396</t>
        </is>
      </c>
    </row>
    <row r="167">
      <c r="A167" t="inlineStr">
        <is>
          <t>No</t>
        </is>
      </c>
      <c r="B167" t="inlineStr">
        <is>
          <t>PE135 .D5 1970</t>
        </is>
      </c>
      <c r="C167" t="inlineStr">
        <is>
          <t>0                      PE 0135000D  5           1970</t>
        </is>
      </c>
      <c r="D167" t="inlineStr">
        <is>
          <t>Old English grammar &amp; reader / by Robert E. Diamond.</t>
        </is>
      </c>
      <c r="F167" t="inlineStr">
        <is>
          <t>No</t>
        </is>
      </c>
      <c r="G167" t="inlineStr">
        <is>
          <t>1</t>
        </is>
      </c>
      <c r="H167" t="inlineStr">
        <is>
          <t>No</t>
        </is>
      </c>
      <c r="I167" t="inlineStr">
        <is>
          <t>No</t>
        </is>
      </c>
      <c r="J167" t="inlineStr">
        <is>
          <t>0</t>
        </is>
      </c>
      <c r="K167" t="inlineStr">
        <is>
          <t>Diamond, Robert E.</t>
        </is>
      </c>
      <c r="L167" t="inlineStr">
        <is>
          <t>Detroit : Wayne State University Press, 1970?</t>
        </is>
      </c>
      <c r="M167" t="inlineStr">
        <is>
          <t>1970</t>
        </is>
      </c>
      <c r="O167" t="inlineStr">
        <is>
          <t>eng</t>
        </is>
      </c>
      <c r="P167" t="inlineStr">
        <is>
          <t>miu</t>
        </is>
      </c>
      <c r="Q167" t="inlineStr">
        <is>
          <t>A Savoyard book</t>
        </is>
      </c>
      <c r="R167" t="inlineStr">
        <is>
          <t xml:space="preserve">PE </t>
        </is>
      </c>
      <c r="S167" t="n">
        <v>4</v>
      </c>
      <c r="T167" t="n">
        <v>4</v>
      </c>
      <c r="U167" t="inlineStr">
        <is>
          <t>1997-03-25</t>
        </is>
      </c>
      <c r="V167" t="inlineStr">
        <is>
          <t>1997-03-25</t>
        </is>
      </c>
      <c r="W167" t="inlineStr">
        <is>
          <t>1990-04-04</t>
        </is>
      </c>
      <c r="X167" t="inlineStr">
        <is>
          <t>1990-04-04</t>
        </is>
      </c>
      <c r="Y167" t="n">
        <v>673</v>
      </c>
      <c r="Z167" t="n">
        <v>588</v>
      </c>
      <c r="AA167" t="n">
        <v>673</v>
      </c>
      <c r="AB167" t="n">
        <v>7</v>
      </c>
      <c r="AC167" t="n">
        <v>7</v>
      </c>
      <c r="AD167" t="n">
        <v>34</v>
      </c>
      <c r="AE167" t="n">
        <v>36</v>
      </c>
      <c r="AF167" t="n">
        <v>11</v>
      </c>
      <c r="AG167" t="n">
        <v>13</v>
      </c>
      <c r="AH167" t="n">
        <v>6</v>
      </c>
      <c r="AI167" t="n">
        <v>6</v>
      </c>
      <c r="AJ167" t="n">
        <v>20</v>
      </c>
      <c r="AK167" t="n">
        <v>20</v>
      </c>
      <c r="AL167" t="n">
        <v>6</v>
      </c>
      <c r="AM167" t="n">
        <v>6</v>
      </c>
      <c r="AN167" t="n">
        <v>0</v>
      </c>
      <c r="AO167" t="n">
        <v>0</v>
      </c>
      <c r="AP167" t="inlineStr">
        <is>
          <t>No</t>
        </is>
      </c>
      <c r="AQ167" t="inlineStr">
        <is>
          <t>Yes</t>
        </is>
      </c>
      <c r="AR167">
        <f>HYPERLINK("http://catalog.hathitrust.org/Record/001182875","HathiTrust Record")</f>
        <v/>
      </c>
      <c r="AS167">
        <f>HYPERLINK("https://creighton-primo.hosted.exlibrisgroup.com/primo-explore/search?tab=default_tab&amp;search_scope=EVERYTHING&amp;vid=01CRU&amp;lang=en_US&amp;offset=0&amp;query=any,contains,991000168159702656","Catalog Record")</f>
        <v/>
      </c>
      <c r="AT167">
        <f>HYPERLINK("http://www.worldcat.org/oclc/61761","WorldCat Record")</f>
        <v/>
      </c>
      <c r="AU167" t="inlineStr">
        <is>
          <t>476063:eng</t>
        </is>
      </c>
      <c r="AV167" t="inlineStr">
        <is>
          <t>61761</t>
        </is>
      </c>
      <c r="AW167" t="inlineStr">
        <is>
          <t>991000168159702656</t>
        </is>
      </c>
      <c r="AX167" t="inlineStr">
        <is>
          <t>991000168159702656</t>
        </is>
      </c>
      <c r="AY167" t="inlineStr">
        <is>
          <t>2255147800002656</t>
        </is>
      </c>
      <c r="AZ167" t="inlineStr">
        <is>
          <t>BOOK</t>
        </is>
      </c>
      <c r="BB167" t="inlineStr">
        <is>
          <t>9780814313909</t>
        </is>
      </c>
      <c r="BC167" t="inlineStr">
        <is>
          <t>32285000101740</t>
        </is>
      </c>
      <c r="BD167" t="inlineStr">
        <is>
          <t>893515070</t>
        </is>
      </c>
    </row>
    <row r="168">
      <c r="A168" t="inlineStr">
        <is>
          <t>No</t>
        </is>
      </c>
      <c r="B168" t="inlineStr">
        <is>
          <t>PE135 .M6 1955</t>
        </is>
      </c>
      <c r="C168" t="inlineStr">
        <is>
          <t>0                      PE 0135000M  6           1955</t>
        </is>
      </c>
      <c r="D168" t="inlineStr">
        <is>
          <t>The elements of Old English : elementary grammar, reference grammar and reading selections / by Samuel Moore and Thomas A. Knott ; rev. by James R. Hulbert.</t>
        </is>
      </c>
      <c r="F168" t="inlineStr">
        <is>
          <t>No</t>
        </is>
      </c>
      <c r="G168" t="inlineStr">
        <is>
          <t>1</t>
        </is>
      </c>
      <c r="H168" t="inlineStr">
        <is>
          <t>No</t>
        </is>
      </c>
      <c r="I168" t="inlineStr">
        <is>
          <t>No</t>
        </is>
      </c>
      <c r="J168" t="inlineStr">
        <is>
          <t>0</t>
        </is>
      </c>
      <c r="K168" t="inlineStr">
        <is>
          <t>Moore, Samuel, 1877-1934.</t>
        </is>
      </c>
      <c r="L168" t="inlineStr">
        <is>
          <t>Ann Arbor, Mich. : G. Wahr, 1965 [c1955]</t>
        </is>
      </c>
      <c r="M168" t="inlineStr">
        <is>
          <t>1965</t>
        </is>
      </c>
      <c r="N168" t="inlineStr">
        <is>
          <t>10th ed. rev., enl., and corrected.</t>
        </is>
      </c>
      <c r="O168" t="inlineStr">
        <is>
          <t>eng</t>
        </is>
      </c>
      <c r="P168" t="inlineStr">
        <is>
          <t xml:space="preserve">xx </t>
        </is>
      </c>
      <c r="R168" t="inlineStr">
        <is>
          <t xml:space="preserve">PE </t>
        </is>
      </c>
      <c r="S168" t="n">
        <v>4</v>
      </c>
      <c r="T168" t="n">
        <v>4</v>
      </c>
      <c r="U168" t="inlineStr">
        <is>
          <t>1999-02-11</t>
        </is>
      </c>
      <c r="V168" t="inlineStr">
        <is>
          <t>1999-02-11</t>
        </is>
      </c>
      <c r="W168" t="inlineStr">
        <is>
          <t>1997-09-15</t>
        </is>
      </c>
      <c r="X168" t="inlineStr">
        <is>
          <t>1997-09-15</t>
        </is>
      </c>
      <c r="Y168" t="n">
        <v>85</v>
      </c>
      <c r="Z168" t="n">
        <v>82</v>
      </c>
      <c r="AA168" t="n">
        <v>581</v>
      </c>
      <c r="AB168" t="n">
        <v>2</v>
      </c>
      <c r="AC168" t="n">
        <v>6</v>
      </c>
      <c r="AD168" t="n">
        <v>4</v>
      </c>
      <c r="AE168" t="n">
        <v>35</v>
      </c>
      <c r="AF168" t="n">
        <v>2</v>
      </c>
      <c r="AG168" t="n">
        <v>14</v>
      </c>
      <c r="AH168" t="n">
        <v>0</v>
      </c>
      <c r="AI168" t="n">
        <v>8</v>
      </c>
      <c r="AJ168" t="n">
        <v>2</v>
      </c>
      <c r="AK168" t="n">
        <v>16</v>
      </c>
      <c r="AL168" t="n">
        <v>1</v>
      </c>
      <c r="AM168" t="n">
        <v>5</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HYPERLINK("https://creighton-primo.hosted.exlibrisgroup.com/primo-explore/search?tab=default_tab&amp;search_scope=EVERYTHING&amp;vid=01CRU&amp;lang=en_US&amp;offset=0&amp;query=any,contains,991004569279702656","Catalog Record")</f>
        <v/>
      </c>
      <c r="AT168">
        <f>HYPERLINK("http://www.worldcat.org/oclc/4011828","WorldCat Record")</f>
        <v/>
      </c>
      <c r="AU168" t="inlineStr">
        <is>
          <t>205556083:eng</t>
        </is>
      </c>
      <c r="AV168" t="inlineStr">
        <is>
          <t>4011828</t>
        </is>
      </c>
      <c r="AW168" t="inlineStr">
        <is>
          <t>991004569279702656</t>
        </is>
      </c>
      <c r="AX168" t="inlineStr">
        <is>
          <t>991004569279702656</t>
        </is>
      </c>
      <c r="AY168" t="inlineStr">
        <is>
          <t>2269975810002656</t>
        </is>
      </c>
      <c r="AZ168" t="inlineStr">
        <is>
          <t>BOOK</t>
        </is>
      </c>
      <c r="BC168" t="inlineStr">
        <is>
          <t>32285003227278</t>
        </is>
      </c>
      <c r="BD168" t="inlineStr">
        <is>
          <t>893788874</t>
        </is>
      </c>
    </row>
    <row r="169">
      <c r="A169" t="inlineStr">
        <is>
          <t>No</t>
        </is>
      </c>
      <c r="B169" t="inlineStr">
        <is>
          <t>PE135 .W8</t>
        </is>
      </c>
      <c r="C169" t="inlineStr">
        <is>
          <t>0                      PE 0135000W  8</t>
        </is>
      </c>
      <c r="D169" t="inlineStr">
        <is>
          <t>An elementary Old English grammar (early West Saxon) by A. J. Wyatt.</t>
        </is>
      </c>
      <c r="F169" t="inlineStr">
        <is>
          <t>No</t>
        </is>
      </c>
      <c r="G169" t="inlineStr">
        <is>
          <t>1</t>
        </is>
      </c>
      <c r="H169" t="inlineStr">
        <is>
          <t>No</t>
        </is>
      </c>
      <c r="I169" t="inlineStr">
        <is>
          <t>No</t>
        </is>
      </c>
      <c r="J169" t="inlineStr">
        <is>
          <t>0</t>
        </is>
      </c>
      <c r="K169" t="inlineStr">
        <is>
          <t>Wyatt, A. J. (Alfred John), 1858-1935.</t>
        </is>
      </c>
      <c r="L169" t="inlineStr">
        <is>
          <t>Cambridge, University Press, 1897.</t>
        </is>
      </c>
      <c r="M169" t="inlineStr">
        <is>
          <t>1897</t>
        </is>
      </c>
      <c r="O169" t="inlineStr">
        <is>
          <t>eng</t>
        </is>
      </c>
      <c r="P169" t="inlineStr">
        <is>
          <t xml:space="preserve">xx </t>
        </is>
      </c>
      <c r="R169" t="inlineStr">
        <is>
          <t xml:space="preserve">PE </t>
        </is>
      </c>
      <c r="S169" t="n">
        <v>0</v>
      </c>
      <c r="T169" t="n">
        <v>0</v>
      </c>
      <c r="U169" t="inlineStr">
        <is>
          <t>2001-07-12</t>
        </is>
      </c>
      <c r="V169" t="inlineStr">
        <is>
          <t>2001-07-12</t>
        </is>
      </c>
      <c r="W169" t="inlineStr">
        <is>
          <t>1997-09-15</t>
        </is>
      </c>
      <c r="X169" t="inlineStr">
        <is>
          <t>1997-09-15</t>
        </is>
      </c>
      <c r="Y169" t="n">
        <v>59</v>
      </c>
      <c r="Z169" t="n">
        <v>40</v>
      </c>
      <c r="AA169" t="n">
        <v>88</v>
      </c>
      <c r="AB169" t="n">
        <v>1</v>
      </c>
      <c r="AC169" t="n">
        <v>1</v>
      </c>
      <c r="AD169" t="n">
        <v>1</v>
      </c>
      <c r="AE169" t="n">
        <v>3</v>
      </c>
      <c r="AF169" t="n">
        <v>0</v>
      </c>
      <c r="AG169" t="n">
        <v>0</v>
      </c>
      <c r="AH169" t="n">
        <v>0</v>
      </c>
      <c r="AI169" t="n">
        <v>1</v>
      </c>
      <c r="AJ169" t="n">
        <v>1</v>
      </c>
      <c r="AK169" t="n">
        <v>2</v>
      </c>
      <c r="AL169" t="n">
        <v>0</v>
      </c>
      <c r="AM169" t="n">
        <v>0</v>
      </c>
      <c r="AN169" t="n">
        <v>0</v>
      </c>
      <c r="AO169" t="n">
        <v>0</v>
      </c>
      <c r="AP169" t="inlineStr">
        <is>
          <t>Yes</t>
        </is>
      </c>
      <c r="AQ169" t="inlineStr">
        <is>
          <t>No</t>
        </is>
      </c>
      <c r="AR169">
        <f>HYPERLINK("http://catalog.hathitrust.org/Record/100769269","HathiTrust Record")</f>
        <v/>
      </c>
      <c r="AS169">
        <f>HYPERLINK("https://creighton-primo.hosted.exlibrisgroup.com/primo-explore/search?tab=default_tab&amp;search_scope=EVERYTHING&amp;vid=01CRU&amp;lang=en_US&amp;offset=0&amp;query=any,contains,991004623149702656","Catalog Record")</f>
        <v/>
      </c>
      <c r="AT169">
        <f>HYPERLINK("http://www.worldcat.org/oclc/4315432","WorldCat Record")</f>
        <v/>
      </c>
      <c r="AU169" t="inlineStr">
        <is>
          <t>4034096:eng</t>
        </is>
      </c>
      <c r="AV169" t="inlineStr">
        <is>
          <t>4315432</t>
        </is>
      </c>
      <c r="AW169" t="inlineStr">
        <is>
          <t>991004623149702656</t>
        </is>
      </c>
      <c r="AX169" t="inlineStr">
        <is>
          <t>991004623149702656</t>
        </is>
      </c>
      <c r="AY169" t="inlineStr">
        <is>
          <t>2264377410002656</t>
        </is>
      </c>
      <c r="AZ169" t="inlineStr">
        <is>
          <t>BOOK</t>
        </is>
      </c>
      <c r="BC169" t="inlineStr">
        <is>
          <t>32285003227286</t>
        </is>
      </c>
      <c r="BD169" t="inlineStr">
        <is>
          <t>893788926</t>
        </is>
      </c>
    </row>
    <row r="170">
      <c r="A170" t="inlineStr">
        <is>
          <t>No</t>
        </is>
      </c>
      <c r="B170" t="inlineStr">
        <is>
          <t>PE137 .A7 1951</t>
        </is>
      </c>
      <c r="C170" t="inlineStr">
        <is>
          <t>0                      PE 0137000A  7           1951</t>
        </is>
      </c>
      <c r="D170" t="inlineStr">
        <is>
          <t>First readings in Old English. Selected and edited with introduction, notes &amp; glossary by P. S. Ardern.</t>
        </is>
      </c>
      <c r="F170" t="inlineStr">
        <is>
          <t>No</t>
        </is>
      </c>
      <c r="G170" t="inlineStr">
        <is>
          <t>1</t>
        </is>
      </c>
      <c r="H170" t="inlineStr">
        <is>
          <t>No</t>
        </is>
      </c>
      <c r="I170" t="inlineStr">
        <is>
          <t>No</t>
        </is>
      </c>
      <c r="J170" t="inlineStr">
        <is>
          <t>0</t>
        </is>
      </c>
      <c r="K170" t="inlineStr">
        <is>
          <t>Ardern, Philip Sydney, editor.</t>
        </is>
      </c>
      <c r="L170" t="inlineStr">
        <is>
          <t>Wellington : New Zealand University Press, 1951.</t>
        </is>
      </c>
      <c r="M170" t="inlineStr">
        <is>
          <t>1951</t>
        </is>
      </c>
      <c r="N170" t="inlineStr">
        <is>
          <t>2d ed.</t>
        </is>
      </c>
      <c r="O170" t="inlineStr">
        <is>
          <t>eng</t>
        </is>
      </c>
      <c r="P170" t="inlineStr">
        <is>
          <t xml:space="preserve">nz </t>
        </is>
      </c>
      <c r="R170" t="inlineStr">
        <is>
          <t xml:space="preserve">PE </t>
        </is>
      </c>
      <c r="S170" t="n">
        <v>1</v>
      </c>
      <c r="T170" t="n">
        <v>1</v>
      </c>
      <c r="U170" t="inlineStr">
        <is>
          <t>2004-10-31</t>
        </is>
      </c>
      <c r="V170" t="inlineStr">
        <is>
          <t>2004-10-31</t>
        </is>
      </c>
      <c r="W170" t="inlineStr">
        <is>
          <t>1997-09-15</t>
        </is>
      </c>
      <c r="X170" t="inlineStr">
        <is>
          <t>1997-09-15</t>
        </is>
      </c>
      <c r="Y170" t="n">
        <v>80</v>
      </c>
      <c r="Z170" t="n">
        <v>38</v>
      </c>
      <c r="AA170" t="n">
        <v>41</v>
      </c>
      <c r="AB170" t="n">
        <v>1</v>
      </c>
      <c r="AC170" t="n">
        <v>1</v>
      </c>
      <c r="AD170" t="n">
        <v>4</v>
      </c>
      <c r="AE170" t="n">
        <v>4</v>
      </c>
      <c r="AF170" t="n">
        <v>0</v>
      </c>
      <c r="AG170" t="n">
        <v>0</v>
      </c>
      <c r="AH170" t="n">
        <v>1</v>
      </c>
      <c r="AI170" t="n">
        <v>1</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HYPERLINK("https://creighton-primo.hosted.exlibrisgroup.com/primo-explore/search?tab=default_tab&amp;search_scope=EVERYTHING&amp;vid=01CRU&amp;lang=en_US&amp;offset=0&amp;query=any,contains,991004636759702656","Catalog Record")</f>
        <v/>
      </c>
      <c r="AT170">
        <f>HYPERLINK("http://www.worldcat.org/oclc/22586199","WorldCat Record")</f>
        <v/>
      </c>
      <c r="AU170" t="inlineStr">
        <is>
          <t>14684198:eng</t>
        </is>
      </c>
      <c r="AV170" t="inlineStr">
        <is>
          <t>22586199</t>
        </is>
      </c>
      <c r="AW170" t="inlineStr">
        <is>
          <t>991004636759702656</t>
        </is>
      </c>
      <c r="AX170" t="inlineStr">
        <is>
          <t>991004636759702656</t>
        </is>
      </c>
      <c r="AY170" t="inlineStr">
        <is>
          <t>2257647590002656</t>
        </is>
      </c>
      <c r="AZ170" t="inlineStr">
        <is>
          <t>BOOK</t>
        </is>
      </c>
      <c r="BC170" t="inlineStr">
        <is>
          <t>32285003227302</t>
        </is>
      </c>
      <c r="BD170" t="inlineStr">
        <is>
          <t>893507077</t>
        </is>
      </c>
    </row>
    <row r="171">
      <c r="A171" t="inlineStr">
        <is>
          <t>No</t>
        </is>
      </c>
      <c r="B171" t="inlineStr">
        <is>
          <t>PE137 .K7</t>
        </is>
      </c>
      <c r="C171" t="inlineStr">
        <is>
          <t>0                      PE 0137000K  7</t>
        </is>
      </c>
      <c r="D171" t="inlineStr">
        <is>
          <t>An Anglo-Saxon reader / by George Philip Krapp and Arthur Garfield Kennedy.</t>
        </is>
      </c>
      <c r="F171" t="inlineStr">
        <is>
          <t>No</t>
        </is>
      </c>
      <c r="G171" t="inlineStr">
        <is>
          <t>1</t>
        </is>
      </c>
      <c r="H171" t="inlineStr">
        <is>
          <t>No</t>
        </is>
      </c>
      <c r="I171" t="inlineStr">
        <is>
          <t>No</t>
        </is>
      </c>
      <c r="J171" t="inlineStr">
        <is>
          <t>0</t>
        </is>
      </c>
      <c r="K171" t="inlineStr">
        <is>
          <t>Krapp, George Philip, 1872-1934.</t>
        </is>
      </c>
      <c r="L171" t="inlineStr">
        <is>
          <t>New York : H. Holt, c1929.</t>
        </is>
      </c>
      <c r="M171" t="inlineStr">
        <is>
          <t>1929</t>
        </is>
      </c>
      <c r="O171" t="inlineStr">
        <is>
          <t>eng</t>
        </is>
      </c>
      <c r="P171" t="inlineStr">
        <is>
          <t>nyu</t>
        </is>
      </c>
      <c r="R171" t="inlineStr">
        <is>
          <t xml:space="preserve">PE </t>
        </is>
      </c>
      <c r="S171" t="n">
        <v>3</v>
      </c>
      <c r="T171" t="n">
        <v>3</v>
      </c>
      <c r="U171" t="inlineStr">
        <is>
          <t>2000-01-17</t>
        </is>
      </c>
      <c r="V171" t="inlineStr">
        <is>
          <t>2000-01-17</t>
        </is>
      </c>
      <c r="W171" t="inlineStr">
        <is>
          <t>1997-09-15</t>
        </is>
      </c>
      <c r="X171" t="inlineStr">
        <is>
          <t>1997-09-15</t>
        </is>
      </c>
      <c r="Y171" t="n">
        <v>188</v>
      </c>
      <c r="Z171" t="n">
        <v>167</v>
      </c>
      <c r="AA171" t="n">
        <v>173</v>
      </c>
      <c r="AB171" t="n">
        <v>3</v>
      </c>
      <c r="AC171" t="n">
        <v>3</v>
      </c>
      <c r="AD171" t="n">
        <v>10</v>
      </c>
      <c r="AE171" t="n">
        <v>10</v>
      </c>
      <c r="AF171" t="n">
        <v>1</v>
      </c>
      <c r="AG171" t="n">
        <v>1</v>
      </c>
      <c r="AH171" t="n">
        <v>2</v>
      </c>
      <c r="AI171" t="n">
        <v>2</v>
      </c>
      <c r="AJ171" t="n">
        <v>6</v>
      </c>
      <c r="AK171" t="n">
        <v>6</v>
      </c>
      <c r="AL171" t="n">
        <v>2</v>
      </c>
      <c r="AM171" t="n">
        <v>2</v>
      </c>
      <c r="AN171" t="n">
        <v>0</v>
      </c>
      <c r="AO171" t="n">
        <v>0</v>
      </c>
      <c r="AP171" t="inlineStr">
        <is>
          <t>No</t>
        </is>
      </c>
      <c r="AQ171" t="inlineStr">
        <is>
          <t>Yes</t>
        </is>
      </c>
      <c r="AR171">
        <f>HYPERLINK("http://catalog.hathitrust.org/Record/001441564","HathiTrust Record")</f>
        <v/>
      </c>
      <c r="AS171">
        <f>HYPERLINK("https://creighton-primo.hosted.exlibrisgroup.com/primo-explore/search?tab=default_tab&amp;search_scope=EVERYTHING&amp;vid=01CRU&amp;lang=en_US&amp;offset=0&amp;query=any,contains,991002430389702656","Catalog Record")</f>
        <v/>
      </c>
      <c r="AT171">
        <f>HYPERLINK("http://www.worldcat.org/oclc/346697","WorldCat Record")</f>
        <v/>
      </c>
      <c r="AU171" t="inlineStr">
        <is>
          <t>1497103:eng</t>
        </is>
      </c>
      <c r="AV171" t="inlineStr">
        <is>
          <t>346697</t>
        </is>
      </c>
      <c r="AW171" t="inlineStr">
        <is>
          <t>991002430389702656</t>
        </is>
      </c>
      <c r="AX171" t="inlineStr">
        <is>
          <t>991002430389702656</t>
        </is>
      </c>
      <c r="AY171" t="inlineStr">
        <is>
          <t>2272125940002656</t>
        </is>
      </c>
      <c r="AZ171" t="inlineStr">
        <is>
          <t>BOOK</t>
        </is>
      </c>
      <c r="BC171" t="inlineStr">
        <is>
          <t>32285003227351</t>
        </is>
      </c>
      <c r="BD171" t="inlineStr">
        <is>
          <t>893603596</t>
        </is>
      </c>
    </row>
    <row r="172">
      <c r="A172" t="inlineStr">
        <is>
          <t>No</t>
        </is>
      </c>
      <c r="B172" t="inlineStr">
        <is>
          <t>PE137 .M355 1990</t>
        </is>
      </c>
      <c r="C172" t="inlineStr">
        <is>
          <t>0                      PE 0137000M  355         1990</t>
        </is>
      </c>
      <c r="D172" t="inlineStr">
        <is>
          <t>Discovering Old English : guided readings / [compiled with commentary by] Hugh Magennis and Ivan Herbison.</t>
        </is>
      </c>
      <c r="F172" t="inlineStr">
        <is>
          <t>No</t>
        </is>
      </c>
      <c r="G172" t="inlineStr">
        <is>
          <t>1</t>
        </is>
      </c>
      <c r="H172" t="inlineStr">
        <is>
          <t>No</t>
        </is>
      </c>
      <c r="I172" t="inlineStr">
        <is>
          <t>No</t>
        </is>
      </c>
      <c r="J172" t="inlineStr">
        <is>
          <t>0</t>
        </is>
      </c>
      <c r="K172" t="inlineStr">
        <is>
          <t>Magennis, Hugh.</t>
        </is>
      </c>
      <c r="L172" t="inlineStr">
        <is>
          <t>Belfast : Ultonian Press, 1990.</t>
        </is>
      </c>
      <c r="M172" t="inlineStr">
        <is>
          <t>1990</t>
        </is>
      </c>
      <c r="O172" t="inlineStr">
        <is>
          <t>eng</t>
        </is>
      </c>
      <c r="P172" t="inlineStr">
        <is>
          <t>nik</t>
        </is>
      </c>
      <c r="R172" t="inlineStr">
        <is>
          <t xml:space="preserve">PE </t>
        </is>
      </c>
      <c r="S172" t="n">
        <v>7</v>
      </c>
      <c r="T172" t="n">
        <v>7</v>
      </c>
      <c r="U172" t="inlineStr">
        <is>
          <t>2000-01-17</t>
        </is>
      </c>
      <c r="V172" t="inlineStr">
        <is>
          <t>2000-01-17</t>
        </is>
      </c>
      <c r="W172" t="inlineStr">
        <is>
          <t>1993-12-06</t>
        </is>
      </c>
      <c r="X172" t="inlineStr">
        <is>
          <t>1993-12-06</t>
        </is>
      </c>
      <c r="Y172" t="n">
        <v>45</v>
      </c>
      <c r="Z172" t="n">
        <v>18</v>
      </c>
      <c r="AA172" t="n">
        <v>20</v>
      </c>
      <c r="AB172" t="n">
        <v>1</v>
      </c>
      <c r="AC172" t="n">
        <v>1</v>
      </c>
      <c r="AD172" t="n">
        <v>0</v>
      </c>
      <c r="AE172" t="n">
        <v>0</v>
      </c>
      <c r="AF172" t="n">
        <v>0</v>
      </c>
      <c r="AG172" t="n">
        <v>0</v>
      </c>
      <c r="AH172" t="n">
        <v>0</v>
      </c>
      <c r="AI172" t="n">
        <v>0</v>
      </c>
      <c r="AJ172" t="n">
        <v>0</v>
      </c>
      <c r="AK172" t="n">
        <v>0</v>
      </c>
      <c r="AL172" t="n">
        <v>0</v>
      </c>
      <c r="AM172" t="n">
        <v>0</v>
      </c>
      <c r="AN172" t="n">
        <v>0</v>
      </c>
      <c r="AO172" t="n">
        <v>0</v>
      </c>
      <c r="AP172" t="inlineStr">
        <is>
          <t>No</t>
        </is>
      </c>
      <c r="AQ172" t="inlineStr">
        <is>
          <t>Yes</t>
        </is>
      </c>
      <c r="AR172">
        <f>HYPERLINK("http://catalog.hathitrust.org/Record/010560164","HathiTrust Record")</f>
        <v/>
      </c>
      <c r="AS172">
        <f>HYPERLINK("https://creighton-primo.hosted.exlibrisgroup.com/primo-explore/search?tab=default_tab&amp;search_scope=EVERYTHING&amp;vid=01CRU&amp;lang=en_US&amp;offset=0&amp;query=any,contains,991001925239702656","Catalog Record")</f>
        <v/>
      </c>
      <c r="AT172">
        <f>HYPERLINK("http://www.worldcat.org/oclc/24318642","WorldCat Record")</f>
        <v/>
      </c>
      <c r="AU172" t="inlineStr">
        <is>
          <t>836900523:eng</t>
        </is>
      </c>
      <c r="AV172" t="inlineStr">
        <is>
          <t>24318642</t>
        </is>
      </c>
      <c r="AW172" t="inlineStr">
        <is>
          <t>991001925239702656</t>
        </is>
      </c>
      <c r="AX172" t="inlineStr">
        <is>
          <t>991001925239702656</t>
        </is>
      </c>
      <c r="AY172" t="inlineStr">
        <is>
          <t>2272620920002656</t>
        </is>
      </c>
      <c r="AZ172" t="inlineStr">
        <is>
          <t>BOOK</t>
        </is>
      </c>
      <c r="BB172" t="inlineStr">
        <is>
          <t>9780951659700</t>
        </is>
      </c>
      <c r="BC172" t="inlineStr">
        <is>
          <t>32285001814168</t>
        </is>
      </c>
      <c r="BD172" t="inlineStr">
        <is>
          <t>893684766</t>
        </is>
      </c>
    </row>
    <row r="173">
      <c r="A173" t="inlineStr">
        <is>
          <t>No</t>
        </is>
      </c>
      <c r="B173" t="inlineStr">
        <is>
          <t>PE137 .M46 2004</t>
        </is>
      </c>
      <c r="C173" t="inlineStr">
        <is>
          <t>0                      PE 0137000M  46          2004</t>
        </is>
      </c>
      <c r="D173" t="inlineStr">
        <is>
          <t>The Cambridge Old English reader / Richard Marsden.</t>
        </is>
      </c>
      <c r="F173" t="inlineStr">
        <is>
          <t>No</t>
        </is>
      </c>
      <c r="G173" t="inlineStr">
        <is>
          <t>1</t>
        </is>
      </c>
      <c r="H173" t="inlineStr">
        <is>
          <t>No</t>
        </is>
      </c>
      <c r="I173" t="inlineStr">
        <is>
          <t>No</t>
        </is>
      </c>
      <c r="J173" t="inlineStr">
        <is>
          <t>0</t>
        </is>
      </c>
      <c r="K173" t="inlineStr">
        <is>
          <t>Marsden, Richard.</t>
        </is>
      </c>
      <c r="L173" t="inlineStr">
        <is>
          <t>Cambridge, UK ; New York, NY : Cambridge University Press, 2004.</t>
        </is>
      </c>
      <c r="M173" t="inlineStr">
        <is>
          <t>2004</t>
        </is>
      </c>
      <c r="O173" t="inlineStr">
        <is>
          <t>eng</t>
        </is>
      </c>
      <c r="P173" t="inlineStr">
        <is>
          <t>enk</t>
        </is>
      </c>
      <c r="R173" t="inlineStr">
        <is>
          <t xml:space="preserve">PE </t>
        </is>
      </c>
      <c r="S173" t="n">
        <v>1</v>
      </c>
      <c r="T173" t="n">
        <v>1</v>
      </c>
      <c r="U173" t="inlineStr">
        <is>
          <t>2006-06-08</t>
        </is>
      </c>
      <c r="V173" t="inlineStr">
        <is>
          <t>2006-06-08</t>
        </is>
      </c>
      <c r="W173" t="inlineStr">
        <is>
          <t>2005-03-01</t>
        </is>
      </c>
      <c r="X173" t="inlineStr">
        <is>
          <t>2005-03-01</t>
        </is>
      </c>
      <c r="Y173" t="n">
        <v>527</v>
      </c>
      <c r="Z173" t="n">
        <v>403</v>
      </c>
      <c r="AA173" t="n">
        <v>503</v>
      </c>
      <c r="AB173" t="n">
        <v>3</v>
      </c>
      <c r="AC173" t="n">
        <v>4</v>
      </c>
      <c r="AD173" t="n">
        <v>24</v>
      </c>
      <c r="AE173" t="n">
        <v>29</v>
      </c>
      <c r="AF173" t="n">
        <v>12</v>
      </c>
      <c r="AG173" t="n">
        <v>14</v>
      </c>
      <c r="AH173" t="n">
        <v>5</v>
      </c>
      <c r="AI173" t="n">
        <v>6</v>
      </c>
      <c r="AJ173" t="n">
        <v>12</v>
      </c>
      <c r="AK173" t="n">
        <v>13</v>
      </c>
      <c r="AL173" t="n">
        <v>2</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HYPERLINK("https://creighton-primo.hosted.exlibrisgroup.com/primo-explore/search?tab=default_tab&amp;search_scope=EVERYTHING&amp;vid=01CRU&amp;lang=en_US&amp;offset=0&amp;query=any,contains,991004462869702656","Catalog Record")</f>
        <v/>
      </c>
      <c r="AT173">
        <f>HYPERLINK("http://www.worldcat.org/oclc/51653109","WorldCat Record")</f>
        <v/>
      </c>
      <c r="AU173" t="inlineStr">
        <is>
          <t>708156:eng</t>
        </is>
      </c>
      <c r="AV173" t="inlineStr">
        <is>
          <t>51653109</t>
        </is>
      </c>
      <c r="AW173" t="inlineStr">
        <is>
          <t>991004462869702656</t>
        </is>
      </c>
      <c r="AX173" t="inlineStr">
        <is>
          <t>991004462869702656</t>
        </is>
      </c>
      <c r="AY173" t="inlineStr">
        <is>
          <t>2269156930002656</t>
        </is>
      </c>
      <c r="AZ173" t="inlineStr">
        <is>
          <t>BOOK</t>
        </is>
      </c>
      <c r="BB173" t="inlineStr">
        <is>
          <t>9780521454261</t>
        </is>
      </c>
      <c r="BC173" t="inlineStr">
        <is>
          <t>32285005028229</t>
        </is>
      </c>
      <c r="BD173" t="inlineStr">
        <is>
          <t>893599862</t>
        </is>
      </c>
    </row>
    <row r="174">
      <c r="A174" t="inlineStr">
        <is>
          <t>No</t>
        </is>
      </c>
      <c r="B174" t="inlineStr">
        <is>
          <t>PE137 .P6 1966</t>
        </is>
      </c>
      <c r="C174" t="inlineStr">
        <is>
          <t>0                      PE 0137000P  6           1966</t>
        </is>
      </c>
      <c r="D174" t="inlineStr">
        <is>
          <t>Seven old English poems, edited, with commentary and glossary, by John C. Pope.</t>
        </is>
      </c>
      <c r="F174" t="inlineStr">
        <is>
          <t>No</t>
        </is>
      </c>
      <c r="G174" t="inlineStr">
        <is>
          <t>1</t>
        </is>
      </c>
      <c r="H174" t="inlineStr">
        <is>
          <t>No</t>
        </is>
      </c>
      <c r="I174" t="inlineStr">
        <is>
          <t>No</t>
        </is>
      </c>
      <c r="J174" t="inlineStr">
        <is>
          <t>0</t>
        </is>
      </c>
      <c r="K174" t="inlineStr">
        <is>
          <t>Pope, John Collins, 1904- editor.</t>
        </is>
      </c>
      <c r="L174" t="inlineStr">
        <is>
          <t>Indianapolis, Bobbs-Merrill [c1966]</t>
        </is>
      </c>
      <c r="M174" t="inlineStr">
        <is>
          <t>1966</t>
        </is>
      </c>
      <c r="O174" t="inlineStr">
        <is>
          <t>eng</t>
        </is>
      </c>
      <c r="P174" t="inlineStr">
        <is>
          <t>inu</t>
        </is>
      </c>
      <c r="Q174" t="inlineStr">
        <is>
          <t>The Library of literature, 8</t>
        </is>
      </c>
      <c r="R174" t="inlineStr">
        <is>
          <t xml:space="preserve">PE </t>
        </is>
      </c>
      <c r="S174" t="n">
        <v>1</v>
      </c>
      <c r="T174" t="n">
        <v>1</v>
      </c>
      <c r="U174" t="inlineStr">
        <is>
          <t>1998-01-18</t>
        </is>
      </c>
      <c r="V174" t="inlineStr">
        <is>
          <t>1998-01-18</t>
        </is>
      </c>
      <c r="W174" t="inlineStr">
        <is>
          <t>1997-09-15</t>
        </is>
      </c>
      <c r="X174" t="inlineStr">
        <is>
          <t>1997-09-15</t>
        </is>
      </c>
      <c r="Y174" t="n">
        <v>573</v>
      </c>
      <c r="Z174" t="n">
        <v>493</v>
      </c>
      <c r="AA174" t="n">
        <v>569</v>
      </c>
      <c r="AB174" t="n">
        <v>5</v>
      </c>
      <c r="AC174" t="n">
        <v>5</v>
      </c>
      <c r="AD174" t="n">
        <v>22</v>
      </c>
      <c r="AE174" t="n">
        <v>25</v>
      </c>
      <c r="AF174" t="n">
        <v>10</v>
      </c>
      <c r="AG174" t="n">
        <v>12</v>
      </c>
      <c r="AH174" t="n">
        <v>5</v>
      </c>
      <c r="AI174" t="n">
        <v>6</v>
      </c>
      <c r="AJ174" t="n">
        <v>11</v>
      </c>
      <c r="AK174" t="n">
        <v>13</v>
      </c>
      <c r="AL174" t="n">
        <v>3</v>
      </c>
      <c r="AM174" t="n">
        <v>3</v>
      </c>
      <c r="AN174" t="n">
        <v>0</v>
      </c>
      <c r="AO174" t="n">
        <v>0</v>
      </c>
      <c r="AP174" t="inlineStr">
        <is>
          <t>No</t>
        </is>
      </c>
      <c r="AQ174" t="inlineStr">
        <is>
          <t>Yes</t>
        </is>
      </c>
      <c r="AR174">
        <f>HYPERLINK("http://catalog.hathitrust.org/Record/009496208","HathiTrust Record")</f>
        <v/>
      </c>
      <c r="AS174">
        <f>HYPERLINK("https://creighton-primo.hosted.exlibrisgroup.com/primo-explore/search?tab=default_tab&amp;search_scope=EVERYTHING&amp;vid=01CRU&amp;lang=en_US&amp;offset=0&amp;query=any,contains,991002304499702656","Catalog Record")</f>
        <v/>
      </c>
      <c r="AT174">
        <f>HYPERLINK("http://www.worldcat.org/oclc/317910","WorldCat Record")</f>
        <v/>
      </c>
      <c r="AU174" t="inlineStr">
        <is>
          <t>53650780:eng</t>
        </is>
      </c>
      <c r="AV174" t="inlineStr">
        <is>
          <t>317910</t>
        </is>
      </c>
      <c r="AW174" t="inlineStr">
        <is>
          <t>991002304499702656</t>
        </is>
      </c>
      <c r="AX174" t="inlineStr">
        <is>
          <t>991002304499702656</t>
        </is>
      </c>
      <c r="AY174" t="inlineStr">
        <is>
          <t>2267425040002656</t>
        </is>
      </c>
      <c r="AZ174" t="inlineStr">
        <is>
          <t>BOOK</t>
        </is>
      </c>
      <c r="BC174" t="inlineStr">
        <is>
          <t>32285003227377</t>
        </is>
      </c>
      <c r="BD174" t="inlineStr">
        <is>
          <t>893591199</t>
        </is>
      </c>
    </row>
    <row r="175">
      <c r="A175" t="inlineStr">
        <is>
          <t>No</t>
        </is>
      </c>
      <c r="B175" t="inlineStr">
        <is>
          <t>PE1375 .B87 1986</t>
        </is>
      </c>
      <c r="C175" t="inlineStr">
        <is>
          <t>0                      PE 1375000B  87          1986</t>
        </is>
      </c>
      <c r="D175" t="inlineStr">
        <is>
          <t>Analysing sentences : an introduction to English syntax / Noel Burton-Roberts.</t>
        </is>
      </c>
      <c r="F175" t="inlineStr">
        <is>
          <t>No</t>
        </is>
      </c>
      <c r="G175" t="inlineStr">
        <is>
          <t>1</t>
        </is>
      </c>
      <c r="H175" t="inlineStr">
        <is>
          <t>No</t>
        </is>
      </c>
      <c r="I175" t="inlineStr">
        <is>
          <t>Yes</t>
        </is>
      </c>
      <c r="J175" t="inlineStr">
        <is>
          <t>0</t>
        </is>
      </c>
      <c r="K175" t="inlineStr">
        <is>
          <t>Burton-Roberts, Noel, 1948-</t>
        </is>
      </c>
      <c r="L175" t="inlineStr">
        <is>
          <t>London ; New York : Longman, 1986.</t>
        </is>
      </c>
      <c r="M175" t="inlineStr">
        <is>
          <t>1986</t>
        </is>
      </c>
      <c r="O175" t="inlineStr">
        <is>
          <t>eng</t>
        </is>
      </c>
      <c r="P175" t="inlineStr">
        <is>
          <t>enk</t>
        </is>
      </c>
      <c r="Q175" t="inlineStr">
        <is>
          <t>Learning about language</t>
        </is>
      </c>
      <c r="R175" t="inlineStr">
        <is>
          <t xml:space="preserve">PE </t>
        </is>
      </c>
      <c r="S175" t="n">
        <v>5</v>
      </c>
      <c r="T175" t="n">
        <v>5</v>
      </c>
      <c r="U175" t="inlineStr">
        <is>
          <t>1995-01-19</t>
        </is>
      </c>
      <c r="V175" t="inlineStr">
        <is>
          <t>1995-01-19</t>
        </is>
      </c>
      <c r="W175" t="inlineStr">
        <is>
          <t>1993-04-23</t>
        </is>
      </c>
      <c r="X175" t="inlineStr">
        <is>
          <t>1993-04-23</t>
        </is>
      </c>
      <c r="Y175" t="n">
        <v>388</v>
      </c>
      <c r="Z175" t="n">
        <v>188</v>
      </c>
      <c r="AA175" t="n">
        <v>287</v>
      </c>
      <c r="AB175" t="n">
        <v>1</v>
      </c>
      <c r="AC175" t="n">
        <v>2</v>
      </c>
      <c r="AD175" t="n">
        <v>9</v>
      </c>
      <c r="AE175" t="n">
        <v>12</v>
      </c>
      <c r="AF175" t="n">
        <v>4</v>
      </c>
      <c r="AG175" t="n">
        <v>4</v>
      </c>
      <c r="AH175" t="n">
        <v>2</v>
      </c>
      <c r="AI175" t="n">
        <v>3</v>
      </c>
      <c r="AJ175" t="n">
        <v>7</v>
      </c>
      <c r="AK175" t="n">
        <v>9</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HYPERLINK("https://creighton-primo.hosted.exlibrisgroup.com/primo-explore/search?tab=default_tab&amp;search_scope=EVERYTHING&amp;vid=01CRU&amp;lang=en_US&amp;offset=0&amp;query=any,contains,991000558009702656","Catalog Record")</f>
        <v/>
      </c>
      <c r="AT175">
        <f>HYPERLINK("http://www.worldcat.org/oclc/11573450","WorldCat Record")</f>
        <v/>
      </c>
      <c r="AU175" t="inlineStr">
        <is>
          <t>793850041:eng</t>
        </is>
      </c>
      <c r="AV175" t="inlineStr">
        <is>
          <t>11573450</t>
        </is>
      </c>
      <c r="AW175" t="inlineStr">
        <is>
          <t>991000558009702656</t>
        </is>
      </c>
      <c r="AX175" t="inlineStr">
        <is>
          <t>991000558009702656</t>
        </is>
      </c>
      <c r="AY175" t="inlineStr">
        <is>
          <t>2263028960002656</t>
        </is>
      </c>
      <c r="AZ175" t="inlineStr">
        <is>
          <t>BOOK</t>
        </is>
      </c>
      <c r="BB175" t="inlineStr">
        <is>
          <t>9780582291362</t>
        </is>
      </c>
      <c r="BC175" t="inlineStr">
        <is>
          <t>32285001646735</t>
        </is>
      </c>
      <c r="BD175" t="inlineStr">
        <is>
          <t>893407309</t>
        </is>
      </c>
    </row>
    <row r="176">
      <c r="A176" t="inlineStr">
        <is>
          <t>No</t>
        </is>
      </c>
      <c r="B176" t="inlineStr">
        <is>
          <t>PE1402 .B6</t>
        </is>
      </c>
      <c r="C176" t="inlineStr">
        <is>
          <t>0                      PE 1402000B  6</t>
        </is>
      </c>
      <c r="D176" t="inlineStr">
        <is>
          <t>Lectures on rhetoric and belles lettres. With a memoir of the author's life. To which are added, copious questions; and an analysis of each lecture, by Abraham Mills.</t>
        </is>
      </c>
      <c r="F176" t="inlineStr">
        <is>
          <t>No</t>
        </is>
      </c>
      <c r="G176" t="inlineStr">
        <is>
          <t>1</t>
        </is>
      </c>
      <c r="H176" t="inlineStr">
        <is>
          <t>Yes</t>
        </is>
      </c>
      <c r="I176" t="inlineStr">
        <is>
          <t>No</t>
        </is>
      </c>
      <c r="J176" t="inlineStr">
        <is>
          <t>0</t>
        </is>
      </c>
      <c r="K176" t="inlineStr">
        <is>
          <t>Blair, Hugh, 1718-1800.</t>
        </is>
      </c>
      <c r="L176" t="inlineStr">
        <is>
          <t>Philadelphia, Hayes, 1858.</t>
        </is>
      </c>
      <c r="M176" t="inlineStr">
        <is>
          <t>1858</t>
        </is>
      </c>
      <c r="N176" t="inlineStr">
        <is>
          <t>Stereotype university, college and school ed.</t>
        </is>
      </c>
      <c r="O176" t="inlineStr">
        <is>
          <t>eng</t>
        </is>
      </c>
      <c r="P176" t="inlineStr">
        <is>
          <t>peu</t>
        </is>
      </c>
      <c r="R176" t="inlineStr">
        <is>
          <t xml:space="preserve">PE </t>
        </is>
      </c>
      <c r="S176" t="n">
        <v>3</v>
      </c>
      <c r="T176" t="n">
        <v>6</v>
      </c>
      <c r="U176" t="inlineStr">
        <is>
          <t>2007-11-13</t>
        </is>
      </c>
      <c r="V176" t="inlineStr">
        <is>
          <t>2007-11-13</t>
        </is>
      </c>
      <c r="W176" t="inlineStr">
        <is>
          <t>1997-09-24</t>
        </is>
      </c>
      <c r="X176" t="inlineStr">
        <is>
          <t>1997-09-24</t>
        </is>
      </c>
      <c r="Y176" t="n">
        <v>11</v>
      </c>
      <c r="Z176" t="n">
        <v>11</v>
      </c>
      <c r="AA176" t="n">
        <v>56</v>
      </c>
      <c r="AB176" t="n">
        <v>1</v>
      </c>
      <c r="AC176" t="n">
        <v>2</v>
      </c>
      <c r="AD176" t="n">
        <v>1</v>
      </c>
      <c r="AE176" t="n">
        <v>6</v>
      </c>
      <c r="AF176" t="n">
        <v>0</v>
      </c>
      <c r="AG176" t="n">
        <v>2</v>
      </c>
      <c r="AH176" t="n">
        <v>0</v>
      </c>
      <c r="AI176" t="n">
        <v>0</v>
      </c>
      <c r="AJ176" t="n">
        <v>1</v>
      </c>
      <c r="AK176" t="n">
        <v>4</v>
      </c>
      <c r="AL176" t="n">
        <v>0</v>
      </c>
      <c r="AM176" t="n">
        <v>1</v>
      </c>
      <c r="AN176" t="n">
        <v>0</v>
      </c>
      <c r="AO176" t="n">
        <v>0</v>
      </c>
      <c r="AP176" t="inlineStr">
        <is>
          <t>Yes</t>
        </is>
      </c>
      <c r="AQ176" t="inlineStr">
        <is>
          <t>No</t>
        </is>
      </c>
      <c r="AR176">
        <f>HYPERLINK("http://catalog.hathitrust.org/Record/011602528","HathiTrust Record")</f>
        <v/>
      </c>
      <c r="AS176">
        <f>HYPERLINK("https://creighton-primo.hosted.exlibrisgroup.com/primo-explore/search?tab=default_tab&amp;search_scope=EVERYTHING&amp;vid=01CRU&amp;lang=en_US&amp;offset=0&amp;query=any,contains,991003998049702656","Catalog Record")</f>
        <v/>
      </c>
      <c r="AT176">
        <f>HYPERLINK("http://www.worldcat.org/oclc/2066846","WorldCat Record")</f>
        <v/>
      </c>
      <c r="AU176" t="inlineStr">
        <is>
          <t>4915988815:eng</t>
        </is>
      </c>
      <c r="AV176" t="inlineStr">
        <is>
          <t>2066846</t>
        </is>
      </c>
      <c r="AW176" t="inlineStr">
        <is>
          <t>991003998049702656</t>
        </is>
      </c>
      <c r="AX176" t="inlineStr">
        <is>
          <t>991003998049702656</t>
        </is>
      </c>
      <c r="AY176" t="inlineStr">
        <is>
          <t>2261884960002656</t>
        </is>
      </c>
      <c r="AZ176" t="inlineStr">
        <is>
          <t>BOOK</t>
        </is>
      </c>
      <c r="BC176" t="inlineStr">
        <is>
          <t>32285003245858</t>
        </is>
      </c>
      <c r="BD176" t="inlineStr">
        <is>
          <t>893693398</t>
        </is>
      </c>
    </row>
    <row r="177">
      <c r="A177" t="inlineStr">
        <is>
          <t>No</t>
        </is>
      </c>
      <c r="B177" t="inlineStr">
        <is>
          <t>PE1402 .B6 V2</t>
        </is>
      </c>
      <c r="C177" t="inlineStr">
        <is>
          <t>0                      PE 1402000B  6                  V  2</t>
        </is>
      </c>
      <c r="D177" t="inlineStr">
        <is>
          <t>Lectures on rhetoric and belles lettres. With a memoir of the author's life. To which are added, copious questions; and an analysis of each lecture, by Abraham Mills.</t>
        </is>
      </c>
      <c r="F177" t="inlineStr">
        <is>
          <t>No</t>
        </is>
      </c>
      <c r="G177" t="inlineStr">
        <is>
          <t>1</t>
        </is>
      </c>
      <c r="H177" t="inlineStr">
        <is>
          <t>Yes</t>
        </is>
      </c>
      <c r="I177" t="inlineStr">
        <is>
          <t>No</t>
        </is>
      </c>
      <c r="J177" t="inlineStr">
        <is>
          <t>0</t>
        </is>
      </c>
      <c r="K177" t="inlineStr">
        <is>
          <t>Blair, Hugh, 1718-1800.</t>
        </is>
      </c>
      <c r="L177" t="inlineStr">
        <is>
          <t>Philadelphia, Hayes, 1858.</t>
        </is>
      </c>
      <c r="M177" t="inlineStr">
        <is>
          <t>1858</t>
        </is>
      </c>
      <c r="N177" t="inlineStr">
        <is>
          <t>Stereotype university, college and school ed.</t>
        </is>
      </c>
      <c r="O177" t="inlineStr">
        <is>
          <t>eng</t>
        </is>
      </c>
      <c r="P177" t="inlineStr">
        <is>
          <t>peu</t>
        </is>
      </c>
      <c r="R177" t="inlineStr">
        <is>
          <t xml:space="preserve">PE </t>
        </is>
      </c>
      <c r="S177" t="n">
        <v>3</v>
      </c>
      <c r="T177" t="n">
        <v>6</v>
      </c>
      <c r="U177" t="inlineStr">
        <is>
          <t>2000-02-21</t>
        </is>
      </c>
      <c r="V177" t="inlineStr">
        <is>
          <t>2007-11-13</t>
        </is>
      </c>
      <c r="W177" t="inlineStr">
        <is>
          <t>1997-09-24</t>
        </is>
      </c>
      <c r="X177" t="inlineStr">
        <is>
          <t>1997-09-24</t>
        </is>
      </c>
      <c r="Y177" t="n">
        <v>11</v>
      </c>
      <c r="Z177" t="n">
        <v>11</v>
      </c>
      <c r="AA177" t="n">
        <v>56</v>
      </c>
      <c r="AB177" t="n">
        <v>1</v>
      </c>
      <c r="AC177" t="n">
        <v>2</v>
      </c>
      <c r="AD177" t="n">
        <v>1</v>
      </c>
      <c r="AE177" t="n">
        <v>6</v>
      </c>
      <c r="AF177" t="n">
        <v>0</v>
      </c>
      <c r="AG177" t="n">
        <v>2</v>
      </c>
      <c r="AH177" t="n">
        <v>0</v>
      </c>
      <c r="AI177" t="n">
        <v>0</v>
      </c>
      <c r="AJ177" t="n">
        <v>1</v>
      </c>
      <c r="AK177" t="n">
        <v>4</v>
      </c>
      <c r="AL177" t="n">
        <v>0</v>
      </c>
      <c r="AM177" t="n">
        <v>1</v>
      </c>
      <c r="AN177" t="n">
        <v>0</v>
      </c>
      <c r="AO177" t="n">
        <v>0</v>
      </c>
      <c r="AP177" t="inlineStr">
        <is>
          <t>Yes</t>
        </is>
      </c>
      <c r="AQ177" t="inlineStr">
        <is>
          <t>No</t>
        </is>
      </c>
      <c r="AR177">
        <f>HYPERLINK("http://catalog.hathitrust.org/Record/011602528","HathiTrust Record")</f>
        <v/>
      </c>
      <c r="AS177">
        <f>HYPERLINK("https://creighton-primo.hosted.exlibrisgroup.com/primo-explore/search?tab=default_tab&amp;search_scope=EVERYTHING&amp;vid=01CRU&amp;lang=en_US&amp;offset=0&amp;query=any,contains,991003998049702656","Catalog Record")</f>
        <v/>
      </c>
      <c r="AT177">
        <f>HYPERLINK("http://www.worldcat.org/oclc/2066846","WorldCat Record")</f>
        <v/>
      </c>
      <c r="AU177" t="inlineStr">
        <is>
          <t>4915988815:eng</t>
        </is>
      </c>
      <c r="AV177" t="inlineStr">
        <is>
          <t>2066846</t>
        </is>
      </c>
      <c r="AW177" t="inlineStr">
        <is>
          <t>991003998049702656</t>
        </is>
      </c>
      <c r="AX177" t="inlineStr">
        <is>
          <t>991003998049702656</t>
        </is>
      </c>
      <c r="AY177" t="inlineStr">
        <is>
          <t>2261884960002656</t>
        </is>
      </c>
      <c r="AZ177" t="inlineStr">
        <is>
          <t>BOOK</t>
        </is>
      </c>
      <c r="BC177" t="inlineStr">
        <is>
          <t>32285003245866</t>
        </is>
      </c>
      <c r="BD177" t="inlineStr">
        <is>
          <t>893712033</t>
        </is>
      </c>
    </row>
    <row r="178">
      <c r="A178" t="inlineStr">
        <is>
          <t>No</t>
        </is>
      </c>
      <c r="B178" t="inlineStr">
        <is>
          <t>PE1402 .W6</t>
        </is>
      </c>
      <c r="C178" t="inlineStr">
        <is>
          <t>0                      PE 1402000W  6</t>
        </is>
      </c>
      <c r="D178" t="inlineStr">
        <is>
          <t>Elements of rhetoric, comprising an analysis of the laws of moral evidence and of persuasion, with rules for argumentative composition and elocution. Edited by Douglas Ehninger. Foreword by David Potter.</t>
        </is>
      </c>
      <c r="F178" t="inlineStr">
        <is>
          <t>No</t>
        </is>
      </c>
      <c r="G178" t="inlineStr">
        <is>
          <t>1</t>
        </is>
      </c>
      <c r="H178" t="inlineStr">
        <is>
          <t>No</t>
        </is>
      </c>
      <c r="I178" t="inlineStr">
        <is>
          <t>No</t>
        </is>
      </c>
      <c r="J178" t="inlineStr">
        <is>
          <t>0</t>
        </is>
      </c>
      <c r="K178" t="inlineStr">
        <is>
          <t>Whately, Richard, 1787-1863.</t>
        </is>
      </c>
      <c r="L178" t="inlineStr">
        <is>
          <t>Carbondale, Southern Illinois University Press [1963]</t>
        </is>
      </c>
      <c r="M178" t="inlineStr">
        <is>
          <t>1963</t>
        </is>
      </c>
      <c r="O178" t="inlineStr">
        <is>
          <t>eng</t>
        </is>
      </c>
      <c r="P178" t="inlineStr">
        <is>
          <t>ilu</t>
        </is>
      </c>
      <c r="Q178" t="inlineStr">
        <is>
          <t>Landmarks in rhetoric and public address</t>
        </is>
      </c>
      <c r="R178" t="inlineStr">
        <is>
          <t xml:space="preserve">PE </t>
        </is>
      </c>
      <c r="S178" t="n">
        <v>2</v>
      </c>
      <c r="T178" t="n">
        <v>2</v>
      </c>
      <c r="U178" t="inlineStr">
        <is>
          <t>2003-03-24</t>
        </is>
      </c>
      <c r="V178" t="inlineStr">
        <is>
          <t>2003-03-24</t>
        </is>
      </c>
      <c r="W178" t="inlineStr">
        <is>
          <t>1997-09-24</t>
        </is>
      </c>
      <c r="X178" t="inlineStr">
        <is>
          <t>1997-09-24</t>
        </is>
      </c>
      <c r="Y178" t="n">
        <v>533</v>
      </c>
      <c r="Z178" t="n">
        <v>501</v>
      </c>
      <c r="AA178" t="n">
        <v>534</v>
      </c>
      <c r="AB178" t="n">
        <v>8</v>
      </c>
      <c r="AC178" t="n">
        <v>8</v>
      </c>
      <c r="AD178" t="n">
        <v>34</v>
      </c>
      <c r="AE178" t="n">
        <v>36</v>
      </c>
      <c r="AF178" t="n">
        <v>13</v>
      </c>
      <c r="AG178" t="n">
        <v>15</v>
      </c>
      <c r="AH178" t="n">
        <v>6</v>
      </c>
      <c r="AI178" t="n">
        <v>6</v>
      </c>
      <c r="AJ178" t="n">
        <v>13</v>
      </c>
      <c r="AK178" t="n">
        <v>13</v>
      </c>
      <c r="AL178" t="n">
        <v>7</v>
      </c>
      <c r="AM178" t="n">
        <v>7</v>
      </c>
      <c r="AN178" t="n">
        <v>0</v>
      </c>
      <c r="AO178" t="n">
        <v>0</v>
      </c>
      <c r="AP178" t="inlineStr">
        <is>
          <t>No</t>
        </is>
      </c>
      <c r="AQ178" t="inlineStr">
        <is>
          <t>No</t>
        </is>
      </c>
      <c r="AR178">
        <f>HYPERLINK("http://catalog.hathitrust.org/Record/001436337","HathiTrust Record")</f>
        <v/>
      </c>
      <c r="AS178">
        <f>HYPERLINK("https://creighton-primo.hosted.exlibrisgroup.com/primo-explore/search?tab=default_tab&amp;search_scope=EVERYTHING&amp;vid=01CRU&amp;lang=en_US&amp;offset=0&amp;query=any,contains,991003476159702656","Catalog Record")</f>
        <v/>
      </c>
      <c r="AT178">
        <f>HYPERLINK("http://www.worldcat.org/oclc/1020955","WorldCat Record")</f>
        <v/>
      </c>
      <c r="AU178" t="inlineStr">
        <is>
          <t>9964980682:eng</t>
        </is>
      </c>
      <c r="AV178" t="inlineStr">
        <is>
          <t>1020955</t>
        </is>
      </c>
      <c r="AW178" t="inlineStr">
        <is>
          <t>991003476159702656</t>
        </is>
      </c>
      <c r="AX178" t="inlineStr">
        <is>
          <t>991003476159702656</t>
        </is>
      </c>
      <c r="AY178" t="inlineStr">
        <is>
          <t>2267271820002656</t>
        </is>
      </c>
      <c r="AZ178" t="inlineStr">
        <is>
          <t>BOOK</t>
        </is>
      </c>
      <c r="BC178" t="inlineStr">
        <is>
          <t>32285003245890</t>
        </is>
      </c>
      <c r="BD178" t="inlineStr">
        <is>
          <t>893416408</t>
        </is>
      </c>
    </row>
    <row r="179">
      <c r="A179" t="inlineStr">
        <is>
          <t>No</t>
        </is>
      </c>
      <c r="B179" t="inlineStr">
        <is>
          <t>PE1402 .W6 1858</t>
        </is>
      </c>
      <c r="C179" t="inlineStr">
        <is>
          <t>0                      PE 1402000W  6           1858</t>
        </is>
      </c>
      <c r="D179" t="inlineStr">
        <is>
          <t>Elements of rhetoric / by Richard Whately. Reprinted from the 7th (octavo) ed.</t>
        </is>
      </c>
      <c r="F179" t="inlineStr">
        <is>
          <t>No</t>
        </is>
      </c>
      <c r="G179" t="inlineStr">
        <is>
          <t>1</t>
        </is>
      </c>
      <c r="H179" t="inlineStr">
        <is>
          <t>No</t>
        </is>
      </c>
      <c r="I179" t="inlineStr">
        <is>
          <t>No</t>
        </is>
      </c>
      <c r="J179" t="inlineStr">
        <is>
          <t>0</t>
        </is>
      </c>
      <c r="K179" t="inlineStr">
        <is>
          <t>Whately, Richard, 1787-1863.</t>
        </is>
      </c>
      <c r="L179" t="inlineStr">
        <is>
          <t>Louisville, Ky. : Morton &amp; Griswold, 1858.</t>
        </is>
      </c>
      <c r="M179" t="inlineStr">
        <is>
          <t>1858</t>
        </is>
      </c>
      <c r="O179" t="inlineStr">
        <is>
          <t>eng</t>
        </is>
      </c>
      <c r="P179" t="inlineStr">
        <is>
          <t>kyu</t>
        </is>
      </c>
      <c r="R179" t="inlineStr">
        <is>
          <t xml:space="preserve">PE </t>
        </is>
      </c>
      <c r="S179" t="n">
        <v>2</v>
      </c>
      <c r="T179" t="n">
        <v>2</v>
      </c>
      <c r="U179" t="inlineStr">
        <is>
          <t>1994-06-27</t>
        </is>
      </c>
      <c r="V179" t="inlineStr">
        <is>
          <t>1994-06-27</t>
        </is>
      </c>
      <c r="W179" t="inlineStr">
        <is>
          <t>1993-10-29</t>
        </is>
      </c>
      <c r="X179" t="inlineStr">
        <is>
          <t>1993-10-29</t>
        </is>
      </c>
      <c r="Y179" t="n">
        <v>6</v>
      </c>
      <c r="Z179" t="n">
        <v>6</v>
      </c>
      <c r="AA179" t="n">
        <v>196</v>
      </c>
      <c r="AB179" t="n">
        <v>1</v>
      </c>
      <c r="AC179" t="n">
        <v>3</v>
      </c>
      <c r="AD179" t="n">
        <v>0</v>
      </c>
      <c r="AE179" t="n">
        <v>12</v>
      </c>
      <c r="AF179" t="n">
        <v>0</v>
      </c>
      <c r="AG179" t="n">
        <v>2</v>
      </c>
      <c r="AH179" t="n">
        <v>0</v>
      </c>
      <c r="AI179" t="n">
        <v>5</v>
      </c>
      <c r="AJ179" t="n">
        <v>0</v>
      </c>
      <c r="AK179" t="n">
        <v>5</v>
      </c>
      <c r="AL179" t="n">
        <v>0</v>
      </c>
      <c r="AM179" t="n">
        <v>2</v>
      </c>
      <c r="AN179" t="n">
        <v>0</v>
      </c>
      <c r="AO179" t="n">
        <v>0</v>
      </c>
      <c r="AP179" t="inlineStr">
        <is>
          <t>Yes</t>
        </is>
      </c>
      <c r="AQ179" t="inlineStr">
        <is>
          <t>No</t>
        </is>
      </c>
      <c r="AR179">
        <f>HYPERLINK("http://catalog.hathitrust.org/Record/011603997","HathiTrust Record")</f>
        <v/>
      </c>
      <c r="AS179">
        <f>HYPERLINK("https://creighton-primo.hosted.exlibrisgroup.com/primo-explore/search?tab=default_tab&amp;search_scope=EVERYTHING&amp;vid=01CRU&amp;lang=en_US&amp;offset=0&amp;query=any,contains,991005243349702656","Catalog Record")</f>
        <v/>
      </c>
      <c r="AT179">
        <f>HYPERLINK("http://www.worldcat.org/oclc/8432639","WorldCat Record")</f>
        <v/>
      </c>
      <c r="AU179" t="inlineStr">
        <is>
          <t>4020136537:eng</t>
        </is>
      </c>
      <c r="AV179" t="inlineStr">
        <is>
          <t>8432639</t>
        </is>
      </c>
      <c r="AW179" t="inlineStr">
        <is>
          <t>991005243349702656</t>
        </is>
      </c>
      <c r="AX179" t="inlineStr">
        <is>
          <t>991005243349702656</t>
        </is>
      </c>
      <c r="AY179" t="inlineStr">
        <is>
          <t>2260804870002656</t>
        </is>
      </c>
      <c r="AZ179" t="inlineStr">
        <is>
          <t>BOOK</t>
        </is>
      </c>
      <c r="BC179" t="inlineStr">
        <is>
          <t>32285001795623</t>
        </is>
      </c>
      <c r="BD179" t="inlineStr">
        <is>
          <t>893514322</t>
        </is>
      </c>
    </row>
    <row r="180">
      <c r="A180" t="inlineStr">
        <is>
          <t>No</t>
        </is>
      </c>
      <c r="B180" t="inlineStr">
        <is>
          <t>PE1403 .M28 2006</t>
        </is>
      </c>
      <c r="C180" t="inlineStr">
        <is>
          <t>0                      PE 1403000M  28          2006</t>
        </is>
      </c>
      <c r="D180" t="inlineStr">
        <is>
          <t>Disciplinary identities : rhetorical paths of English, speech, and composition / Steven Mailloux.</t>
        </is>
      </c>
      <c r="F180" t="inlineStr">
        <is>
          <t>No</t>
        </is>
      </c>
      <c r="G180" t="inlineStr">
        <is>
          <t>1</t>
        </is>
      </c>
      <c r="H180" t="inlineStr">
        <is>
          <t>No</t>
        </is>
      </c>
      <c r="I180" t="inlineStr">
        <is>
          <t>No</t>
        </is>
      </c>
      <c r="J180" t="inlineStr">
        <is>
          <t>0</t>
        </is>
      </c>
      <c r="K180" t="inlineStr">
        <is>
          <t>Mailloux, Steven.</t>
        </is>
      </c>
      <c r="L180" t="inlineStr">
        <is>
          <t>New York : Modern Language Association of America, 2006.</t>
        </is>
      </c>
      <c r="M180" t="inlineStr">
        <is>
          <t>2006</t>
        </is>
      </c>
      <c r="O180" t="inlineStr">
        <is>
          <t>eng</t>
        </is>
      </c>
      <c r="P180" t="inlineStr">
        <is>
          <t>nyu</t>
        </is>
      </c>
      <c r="R180" t="inlineStr">
        <is>
          <t xml:space="preserve">PE </t>
        </is>
      </c>
      <c r="S180" t="n">
        <v>1</v>
      </c>
      <c r="T180" t="n">
        <v>1</v>
      </c>
      <c r="U180" t="inlineStr">
        <is>
          <t>2007-05-21</t>
        </is>
      </c>
      <c r="V180" t="inlineStr">
        <is>
          <t>2007-05-21</t>
        </is>
      </c>
      <c r="W180" t="inlineStr">
        <is>
          <t>2007-05-21</t>
        </is>
      </c>
      <c r="X180" t="inlineStr">
        <is>
          <t>2007-05-21</t>
        </is>
      </c>
      <c r="Y180" t="n">
        <v>228</v>
      </c>
      <c r="Z180" t="n">
        <v>202</v>
      </c>
      <c r="AA180" t="n">
        <v>203</v>
      </c>
      <c r="AB180" t="n">
        <v>2</v>
      </c>
      <c r="AC180" t="n">
        <v>2</v>
      </c>
      <c r="AD180" t="n">
        <v>15</v>
      </c>
      <c r="AE180" t="n">
        <v>15</v>
      </c>
      <c r="AF180" t="n">
        <v>7</v>
      </c>
      <c r="AG180" t="n">
        <v>7</v>
      </c>
      <c r="AH180" t="n">
        <v>4</v>
      </c>
      <c r="AI180" t="n">
        <v>4</v>
      </c>
      <c r="AJ180" t="n">
        <v>7</v>
      </c>
      <c r="AK180" t="n">
        <v>7</v>
      </c>
      <c r="AL180" t="n">
        <v>1</v>
      </c>
      <c r="AM180" t="n">
        <v>1</v>
      </c>
      <c r="AN180" t="n">
        <v>0</v>
      </c>
      <c r="AO180" t="n">
        <v>0</v>
      </c>
      <c r="AP180" t="inlineStr">
        <is>
          <t>No</t>
        </is>
      </c>
      <c r="AQ180" t="inlineStr">
        <is>
          <t>Yes</t>
        </is>
      </c>
      <c r="AR180">
        <f>HYPERLINK("http://catalog.hathitrust.org/Record/005416192","HathiTrust Record")</f>
        <v/>
      </c>
      <c r="AS180">
        <f>HYPERLINK("https://creighton-primo.hosted.exlibrisgroup.com/primo-explore/search?tab=default_tab&amp;search_scope=EVERYTHING&amp;vid=01CRU&amp;lang=en_US&amp;offset=0&amp;query=any,contains,991005078099702656","Catalog Record")</f>
        <v/>
      </c>
      <c r="AT180">
        <f>HYPERLINK("http://www.worldcat.org/oclc/68712218","WorldCat Record")</f>
        <v/>
      </c>
      <c r="AU180" t="inlineStr">
        <is>
          <t>1047210931:eng</t>
        </is>
      </c>
      <c r="AV180" t="inlineStr">
        <is>
          <t>68712218</t>
        </is>
      </c>
      <c r="AW180" t="inlineStr">
        <is>
          <t>991005078099702656</t>
        </is>
      </c>
      <c r="AX180" t="inlineStr">
        <is>
          <t>991005078099702656</t>
        </is>
      </c>
      <c r="AY180" t="inlineStr">
        <is>
          <t>2255990350002656</t>
        </is>
      </c>
      <c r="AZ180" t="inlineStr">
        <is>
          <t>BOOK</t>
        </is>
      </c>
      <c r="BB180" t="inlineStr">
        <is>
          <t>9780873529730</t>
        </is>
      </c>
      <c r="BC180" t="inlineStr">
        <is>
          <t>32285005313050</t>
        </is>
      </c>
      <c r="BD180" t="inlineStr">
        <is>
          <t>893713410</t>
        </is>
      </c>
    </row>
    <row r="181">
      <c r="A181" t="inlineStr">
        <is>
          <t>No</t>
        </is>
      </c>
      <c r="B181" t="inlineStr">
        <is>
          <t>PE1403 .M4</t>
        </is>
      </c>
      <c r="C181" t="inlineStr">
        <is>
          <t>0                      PE 1403000M  4</t>
        </is>
      </c>
      <c r="D181" t="inlineStr">
        <is>
          <t>Creative power, by Hughes Mearns.</t>
        </is>
      </c>
      <c r="F181" t="inlineStr">
        <is>
          <t>No</t>
        </is>
      </c>
      <c r="G181" t="inlineStr">
        <is>
          <t>1</t>
        </is>
      </c>
      <c r="H181" t="inlineStr">
        <is>
          <t>No</t>
        </is>
      </c>
      <c r="I181" t="inlineStr">
        <is>
          <t>No</t>
        </is>
      </c>
      <c r="J181" t="inlineStr">
        <is>
          <t>0</t>
        </is>
      </c>
      <c r="K181" t="inlineStr">
        <is>
          <t>Mearns, Hughes, 1875-1965.</t>
        </is>
      </c>
      <c r="L181" t="inlineStr">
        <is>
          <t>Garden City, N.Y., Doubleday, Doran &amp; co., 1929.</t>
        </is>
      </c>
      <c r="M181" t="inlineStr">
        <is>
          <t>1929</t>
        </is>
      </c>
      <c r="O181" t="inlineStr">
        <is>
          <t>eng</t>
        </is>
      </c>
      <c r="P181" t="inlineStr">
        <is>
          <t xml:space="preserve">xx </t>
        </is>
      </c>
      <c r="R181" t="inlineStr">
        <is>
          <t xml:space="preserve">PE </t>
        </is>
      </c>
      <c r="S181" t="n">
        <v>1</v>
      </c>
      <c r="T181" t="n">
        <v>1</v>
      </c>
      <c r="U181" t="inlineStr">
        <is>
          <t>2004-10-04</t>
        </is>
      </c>
      <c r="V181" t="inlineStr">
        <is>
          <t>2004-10-04</t>
        </is>
      </c>
      <c r="W181" t="inlineStr">
        <is>
          <t>1997-09-24</t>
        </is>
      </c>
      <c r="X181" t="inlineStr">
        <is>
          <t>1997-09-24</t>
        </is>
      </c>
      <c r="Y181" t="n">
        <v>245</v>
      </c>
      <c r="Z181" t="n">
        <v>233</v>
      </c>
      <c r="AA181" t="n">
        <v>733</v>
      </c>
      <c r="AB181" t="n">
        <v>4</v>
      </c>
      <c r="AC181" t="n">
        <v>8</v>
      </c>
      <c r="AD181" t="n">
        <v>8</v>
      </c>
      <c r="AE181" t="n">
        <v>28</v>
      </c>
      <c r="AF181" t="n">
        <v>2</v>
      </c>
      <c r="AG181" t="n">
        <v>8</v>
      </c>
      <c r="AH181" t="n">
        <v>3</v>
      </c>
      <c r="AI181" t="n">
        <v>5</v>
      </c>
      <c r="AJ181" t="n">
        <v>1</v>
      </c>
      <c r="AK181" t="n">
        <v>11</v>
      </c>
      <c r="AL181" t="n">
        <v>3</v>
      </c>
      <c r="AM181" t="n">
        <v>7</v>
      </c>
      <c r="AN181" t="n">
        <v>0</v>
      </c>
      <c r="AO181" t="n">
        <v>0</v>
      </c>
      <c r="AP181" t="inlineStr">
        <is>
          <t>No</t>
        </is>
      </c>
      <c r="AQ181" t="inlineStr">
        <is>
          <t>Yes</t>
        </is>
      </c>
      <c r="AR181">
        <f>HYPERLINK("http://catalog.hathitrust.org/Record/006247524","HathiTrust Record")</f>
        <v/>
      </c>
      <c r="AS181">
        <f>HYPERLINK("https://creighton-primo.hosted.exlibrisgroup.com/primo-explore/search?tab=default_tab&amp;search_scope=EVERYTHING&amp;vid=01CRU&amp;lang=en_US&amp;offset=0&amp;query=any,contains,991003323119702656","Catalog Record")</f>
        <v/>
      </c>
      <c r="AT181">
        <f>HYPERLINK("http://www.worldcat.org/oclc/851610","WorldCat Record")</f>
        <v/>
      </c>
      <c r="AU181" t="inlineStr">
        <is>
          <t>1790120:eng</t>
        </is>
      </c>
      <c r="AV181" t="inlineStr">
        <is>
          <t>851610</t>
        </is>
      </c>
      <c r="AW181" t="inlineStr">
        <is>
          <t>991003323119702656</t>
        </is>
      </c>
      <c r="AX181" t="inlineStr">
        <is>
          <t>991003323119702656</t>
        </is>
      </c>
      <c r="AY181" t="inlineStr">
        <is>
          <t>2265782830002656</t>
        </is>
      </c>
      <c r="AZ181" t="inlineStr">
        <is>
          <t>BOOK</t>
        </is>
      </c>
      <c r="BC181" t="inlineStr">
        <is>
          <t>32285003245932</t>
        </is>
      </c>
      <c r="BD181" t="inlineStr">
        <is>
          <t>893893614</t>
        </is>
      </c>
    </row>
    <row r="182">
      <c r="A182" t="inlineStr">
        <is>
          <t>No</t>
        </is>
      </c>
      <c r="B182" t="inlineStr">
        <is>
          <t>PE1404 .B59 1990</t>
        </is>
      </c>
      <c r="C182" t="inlineStr">
        <is>
          <t>0                      PE 1404000B  59          1990</t>
        </is>
      </c>
      <c r="D182" t="inlineStr">
        <is>
          <t>The passionate, accurate story : making your heart's truth into literature / Carol Bly.</t>
        </is>
      </c>
      <c r="F182" t="inlineStr">
        <is>
          <t>No</t>
        </is>
      </c>
      <c r="G182" t="inlineStr">
        <is>
          <t>1</t>
        </is>
      </c>
      <c r="H182" t="inlineStr">
        <is>
          <t>No</t>
        </is>
      </c>
      <c r="I182" t="inlineStr">
        <is>
          <t>No</t>
        </is>
      </c>
      <c r="J182" t="inlineStr">
        <is>
          <t>0</t>
        </is>
      </c>
      <c r="K182" t="inlineStr">
        <is>
          <t>Bly, Carol.</t>
        </is>
      </c>
      <c r="L182" t="inlineStr">
        <is>
          <t>Minneapolis, Minn. : Milkweed Editions, c1990.</t>
        </is>
      </c>
      <c r="M182" t="inlineStr">
        <is>
          <t>1990</t>
        </is>
      </c>
      <c r="O182" t="inlineStr">
        <is>
          <t>eng</t>
        </is>
      </c>
      <c r="P182" t="inlineStr">
        <is>
          <t>mnu</t>
        </is>
      </c>
      <c r="R182" t="inlineStr">
        <is>
          <t xml:space="preserve">PE </t>
        </is>
      </c>
      <c r="S182" t="n">
        <v>5</v>
      </c>
      <c r="T182" t="n">
        <v>5</v>
      </c>
      <c r="U182" t="inlineStr">
        <is>
          <t>2004-11-29</t>
        </is>
      </c>
      <c r="V182" t="inlineStr">
        <is>
          <t>2004-11-29</t>
        </is>
      </c>
      <c r="W182" t="inlineStr">
        <is>
          <t>1991-05-01</t>
        </is>
      </c>
      <c r="X182" t="inlineStr">
        <is>
          <t>1991-05-01</t>
        </is>
      </c>
      <c r="Y182" t="n">
        <v>475</v>
      </c>
      <c r="Z182" t="n">
        <v>453</v>
      </c>
      <c r="AA182" t="n">
        <v>513</v>
      </c>
      <c r="AB182" t="n">
        <v>5</v>
      </c>
      <c r="AC182" t="n">
        <v>5</v>
      </c>
      <c r="AD182" t="n">
        <v>22</v>
      </c>
      <c r="AE182" t="n">
        <v>22</v>
      </c>
      <c r="AF182" t="n">
        <v>10</v>
      </c>
      <c r="AG182" t="n">
        <v>10</v>
      </c>
      <c r="AH182" t="n">
        <v>5</v>
      </c>
      <c r="AI182" t="n">
        <v>5</v>
      </c>
      <c r="AJ182" t="n">
        <v>9</v>
      </c>
      <c r="AK182" t="n">
        <v>9</v>
      </c>
      <c r="AL182" t="n">
        <v>4</v>
      </c>
      <c r="AM182" t="n">
        <v>4</v>
      </c>
      <c r="AN182" t="n">
        <v>0</v>
      </c>
      <c r="AO182" t="n">
        <v>0</v>
      </c>
      <c r="AP182" t="inlineStr">
        <is>
          <t>No</t>
        </is>
      </c>
      <c r="AQ182" t="inlineStr">
        <is>
          <t>Yes</t>
        </is>
      </c>
      <c r="AR182">
        <f>HYPERLINK("http://catalog.hathitrust.org/Record/002551337","HathiTrust Record")</f>
        <v/>
      </c>
      <c r="AS182">
        <f>HYPERLINK("https://creighton-primo.hosted.exlibrisgroup.com/primo-explore/search?tab=default_tab&amp;search_scope=EVERYTHING&amp;vid=01CRU&amp;lang=en_US&amp;offset=0&amp;query=any,contains,991001792519702656","Catalog Record")</f>
        <v/>
      </c>
      <c r="AT182">
        <f>HYPERLINK("http://www.worldcat.org/oclc/22549654","WorldCat Record")</f>
        <v/>
      </c>
      <c r="AU182" t="inlineStr">
        <is>
          <t>683217:eng</t>
        </is>
      </c>
      <c r="AV182" t="inlineStr">
        <is>
          <t>22549654</t>
        </is>
      </c>
      <c r="AW182" t="inlineStr">
        <is>
          <t>991001792519702656</t>
        </is>
      </c>
      <c r="AX182" t="inlineStr">
        <is>
          <t>991001792519702656</t>
        </is>
      </c>
      <c r="AY182" t="inlineStr">
        <is>
          <t>2271901190002656</t>
        </is>
      </c>
      <c r="AZ182" t="inlineStr">
        <is>
          <t>BOOK</t>
        </is>
      </c>
      <c r="BC182" t="inlineStr">
        <is>
          <t>32285000570548</t>
        </is>
      </c>
      <c r="BD182" t="inlineStr">
        <is>
          <t>893232273</t>
        </is>
      </c>
    </row>
    <row r="183">
      <c r="A183" t="inlineStr">
        <is>
          <t>No</t>
        </is>
      </c>
      <c r="B183" t="inlineStr">
        <is>
          <t>PE1404 .C618 1983</t>
        </is>
      </c>
      <c r="C183" t="inlineStr">
        <is>
          <t>0                      PE 1404000C  618         1983</t>
        </is>
      </c>
      <c r="D183" t="inlineStr">
        <is>
          <t>Composition &amp; literature : bridging the gap / edited by Winifred Bryan Horner.</t>
        </is>
      </c>
      <c r="F183" t="inlineStr">
        <is>
          <t>No</t>
        </is>
      </c>
      <c r="G183" t="inlineStr">
        <is>
          <t>1</t>
        </is>
      </c>
      <c r="H183" t="inlineStr">
        <is>
          <t>No</t>
        </is>
      </c>
      <c r="I183" t="inlineStr">
        <is>
          <t>No</t>
        </is>
      </c>
      <c r="J183" t="inlineStr">
        <is>
          <t>0</t>
        </is>
      </c>
      <c r="L183" t="inlineStr">
        <is>
          <t>Chicago : University of Chicago Press, c1983.</t>
        </is>
      </c>
      <c r="M183" t="inlineStr">
        <is>
          <t>1983</t>
        </is>
      </c>
      <c r="O183" t="inlineStr">
        <is>
          <t>eng</t>
        </is>
      </c>
      <c r="P183" t="inlineStr">
        <is>
          <t>ilu</t>
        </is>
      </c>
      <c r="R183" t="inlineStr">
        <is>
          <t xml:space="preserve">PE </t>
        </is>
      </c>
      <c r="S183" t="n">
        <v>8</v>
      </c>
      <c r="T183" t="n">
        <v>8</v>
      </c>
      <c r="U183" t="inlineStr">
        <is>
          <t>1999-04-15</t>
        </is>
      </c>
      <c r="V183" t="inlineStr">
        <is>
          <t>1999-04-15</t>
        </is>
      </c>
      <c r="W183" t="inlineStr">
        <is>
          <t>1993-04-23</t>
        </is>
      </c>
      <c r="X183" t="inlineStr">
        <is>
          <t>1993-04-23</t>
        </is>
      </c>
      <c r="Y183" t="n">
        <v>562</v>
      </c>
      <c r="Z183" t="n">
        <v>482</v>
      </c>
      <c r="AA183" t="n">
        <v>489</v>
      </c>
      <c r="AB183" t="n">
        <v>4</v>
      </c>
      <c r="AC183" t="n">
        <v>4</v>
      </c>
      <c r="AD183" t="n">
        <v>34</v>
      </c>
      <c r="AE183" t="n">
        <v>34</v>
      </c>
      <c r="AF183" t="n">
        <v>15</v>
      </c>
      <c r="AG183" t="n">
        <v>15</v>
      </c>
      <c r="AH183" t="n">
        <v>8</v>
      </c>
      <c r="AI183" t="n">
        <v>8</v>
      </c>
      <c r="AJ183" t="n">
        <v>17</v>
      </c>
      <c r="AK183" t="n">
        <v>17</v>
      </c>
      <c r="AL183" t="n">
        <v>3</v>
      </c>
      <c r="AM183" t="n">
        <v>3</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HYPERLINK("https://creighton-primo.hosted.exlibrisgroup.com/primo-explore/search?tab=default_tab&amp;search_scope=EVERYTHING&amp;vid=01CRU&amp;lang=en_US&amp;offset=0&amp;query=any,contains,991000178959702656","Catalog Record")</f>
        <v/>
      </c>
      <c r="AT183">
        <f>HYPERLINK("http://www.worldcat.org/oclc/9370976","WorldCat Record")</f>
        <v/>
      </c>
      <c r="AU183" t="inlineStr">
        <is>
          <t>836718392:eng</t>
        </is>
      </c>
      <c r="AV183" t="inlineStr">
        <is>
          <t>9370976</t>
        </is>
      </c>
      <c r="AW183" t="inlineStr">
        <is>
          <t>991000178959702656</t>
        </is>
      </c>
      <c r="AX183" t="inlineStr">
        <is>
          <t>991000178959702656</t>
        </is>
      </c>
      <c r="AY183" t="inlineStr">
        <is>
          <t>2267582200002656</t>
        </is>
      </c>
      <c r="AZ183" t="inlineStr">
        <is>
          <t>BOOK</t>
        </is>
      </c>
      <c r="BB183" t="inlineStr">
        <is>
          <t>9780226353401</t>
        </is>
      </c>
      <c r="BC183" t="inlineStr">
        <is>
          <t>32285001646768</t>
        </is>
      </c>
      <c r="BD183" t="inlineStr">
        <is>
          <t>893865165</t>
        </is>
      </c>
    </row>
    <row r="184">
      <c r="A184" t="inlineStr">
        <is>
          <t>No</t>
        </is>
      </c>
      <c r="B184" t="inlineStr">
        <is>
          <t>PE1404 .C623 1991</t>
        </is>
      </c>
      <c r="C184" t="inlineStr">
        <is>
          <t>0                      PE 1404000C  623         1991</t>
        </is>
      </c>
      <c r="D184" t="inlineStr">
        <is>
          <t>Composition &amp; resistance / edited by C. Mark Hurlbert and Michael Blitz.</t>
        </is>
      </c>
      <c r="F184" t="inlineStr">
        <is>
          <t>No</t>
        </is>
      </c>
      <c r="G184" t="inlineStr">
        <is>
          <t>1</t>
        </is>
      </c>
      <c r="H184" t="inlineStr">
        <is>
          <t>No</t>
        </is>
      </c>
      <c r="I184" t="inlineStr">
        <is>
          <t>No</t>
        </is>
      </c>
      <c r="J184" t="inlineStr">
        <is>
          <t>0</t>
        </is>
      </c>
      <c r="L184" t="inlineStr">
        <is>
          <t>Portsmouth, NH : Boynton/Cook, c1991.</t>
        </is>
      </c>
      <c r="M184" t="inlineStr">
        <is>
          <t>1991</t>
        </is>
      </c>
      <c r="O184" t="inlineStr">
        <is>
          <t>eng</t>
        </is>
      </c>
      <c r="P184" t="inlineStr">
        <is>
          <t>nhu</t>
        </is>
      </c>
      <c r="R184" t="inlineStr">
        <is>
          <t xml:space="preserve">PE </t>
        </is>
      </c>
      <c r="S184" t="n">
        <v>17</v>
      </c>
      <c r="T184" t="n">
        <v>17</v>
      </c>
      <c r="U184" t="inlineStr">
        <is>
          <t>2005-09-20</t>
        </is>
      </c>
      <c r="V184" t="inlineStr">
        <is>
          <t>2005-09-20</t>
        </is>
      </c>
      <c r="W184" t="inlineStr">
        <is>
          <t>1992-06-12</t>
        </is>
      </c>
      <c r="X184" t="inlineStr">
        <is>
          <t>1992-06-12</t>
        </is>
      </c>
      <c r="Y184" t="n">
        <v>187</v>
      </c>
      <c r="Z184" t="n">
        <v>178</v>
      </c>
      <c r="AA184" t="n">
        <v>180</v>
      </c>
      <c r="AB184" t="n">
        <v>4</v>
      </c>
      <c r="AC184" t="n">
        <v>4</v>
      </c>
      <c r="AD184" t="n">
        <v>10</v>
      </c>
      <c r="AE184" t="n">
        <v>10</v>
      </c>
      <c r="AF184" t="n">
        <v>1</v>
      </c>
      <c r="AG184" t="n">
        <v>1</v>
      </c>
      <c r="AH184" t="n">
        <v>3</v>
      </c>
      <c r="AI184" t="n">
        <v>3</v>
      </c>
      <c r="AJ184" t="n">
        <v>4</v>
      </c>
      <c r="AK184" t="n">
        <v>4</v>
      </c>
      <c r="AL184" t="n">
        <v>3</v>
      </c>
      <c r="AM184" t="n">
        <v>3</v>
      </c>
      <c r="AN184" t="n">
        <v>0</v>
      </c>
      <c r="AO184" t="n">
        <v>0</v>
      </c>
      <c r="AP184" t="inlineStr">
        <is>
          <t>No</t>
        </is>
      </c>
      <c r="AQ184" t="inlineStr">
        <is>
          <t>Yes</t>
        </is>
      </c>
      <c r="AR184">
        <f>HYPERLINK("http://catalog.hathitrust.org/Record/002607667","HathiTrust Record")</f>
        <v/>
      </c>
      <c r="AS184">
        <f>HYPERLINK("https://creighton-primo.hosted.exlibrisgroup.com/primo-explore/search?tab=default_tab&amp;search_scope=EVERYTHING&amp;vid=01CRU&amp;lang=en_US&amp;offset=0&amp;query=any,contains,991001883949702656","Catalog Record")</f>
        <v/>
      </c>
      <c r="AT184">
        <f>HYPERLINK("http://www.worldcat.org/oclc/23766036","WorldCat Record")</f>
        <v/>
      </c>
      <c r="AU184" t="inlineStr">
        <is>
          <t>473763673:eng</t>
        </is>
      </c>
      <c r="AV184" t="inlineStr">
        <is>
          <t>23766036</t>
        </is>
      </c>
      <c r="AW184" t="inlineStr">
        <is>
          <t>991001883949702656</t>
        </is>
      </c>
      <c r="AX184" t="inlineStr">
        <is>
          <t>991001883949702656</t>
        </is>
      </c>
      <c r="AY184" t="inlineStr">
        <is>
          <t>2270633000002656</t>
        </is>
      </c>
      <c r="AZ184" t="inlineStr">
        <is>
          <t>BOOK</t>
        </is>
      </c>
      <c r="BB184" t="inlineStr">
        <is>
          <t>9780867092813</t>
        </is>
      </c>
      <c r="BC184" t="inlineStr">
        <is>
          <t>32285001128817</t>
        </is>
      </c>
      <c r="BD184" t="inlineStr">
        <is>
          <t>893510029</t>
        </is>
      </c>
    </row>
    <row r="185">
      <c r="A185" t="inlineStr">
        <is>
          <t>No</t>
        </is>
      </c>
      <c r="B185" t="inlineStr">
        <is>
          <t>PE1404 .C627 1994</t>
        </is>
      </c>
      <c r="C185" t="inlineStr">
        <is>
          <t>0                      PE 1404000C  627         1994</t>
        </is>
      </c>
      <c r="D185" t="inlineStr">
        <is>
          <t>Composition theory for the postmodern classroom / edited by Gary A. Olson, Sidney I. Dobrin ; foreword by Jacqueline Jones Royster ; afterword by Linda Brodkey.</t>
        </is>
      </c>
      <c r="F185" t="inlineStr">
        <is>
          <t>No</t>
        </is>
      </c>
      <c r="G185" t="inlineStr">
        <is>
          <t>1</t>
        </is>
      </c>
      <c r="H185" t="inlineStr">
        <is>
          <t>No</t>
        </is>
      </c>
      <c r="I185" t="inlineStr">
        <is>
          <t>No</t>
        </is>
      </c>
      <c r="J185" t="inlineStr">
        <is>
          <t>0</t>
        </is>
      </c>
      <c r="L185" t="inlineStr">
        <is>
          <t>Albany : State University of New York Press, c1994.</t>
        </is>
      </c>
      <c r="M185" t="inlineStr">
        <is>
          <t>1994</t>
        </is>
      </c>
      <c r="O185" t="inlineStr">
        <is>
          <t>eng</t>
        </is>
      </c>
      <c r="P185" t="inlineStr">
        <is>
          <t>nyu</t>
        </is>
      </c>
      <c r="R185" t="inlineStr">
        <is>
          <t xml:space="preserve">PE </t>
        </is>
      </c>
      <c r="S185" t="n">
        <v>6</v>
      </c>
      <c r="T185" t="n">
        <v>6</v>
      </c>
      <c r="U185" t="inlineStr">
        <is>
          <t>2001-03-20</t>
        </is>
      </c>
      <c r="V185" t="inlineStr">
        <is>
          <t>2001-03-20</t>
        </is>
      </c>
      <c r="W185" t="inlineStr">
        <is>
          <t>1999-01-21</t>
        </is>
      </c>
      <c r="X185" t="inlineStr">
        <is>
          <t>1999-01-21</t>
        </is>
      </c>
      <c r="Y185" t="n">
        <v>294</v>
      </c>
      <c r="Z185" t="n">
        <v>267</v>
      </c>
      <c r="AA185" t="n">
        <v>267</v>
      </c>
      <c r="AB185" t="n">
        <v>3</v>
      </c>
      <c r="AC185" t="n">
        <v>3</v>
      </c>
      <c r="AD185" t="n">
        <v>16</v>
      </c>
      <c r="AE185" t="n">
        <v>16</v>
      </c>
      <c r="AF185" t="n">
        <v>6</v>
      </c>
      <c r="AG185" t="n">
        <v>6</v>
      </c>
      <c r="AH185" t="n">
        <v>3</v>
      </c>
      <c r="AI185" t="n">
        <v>3</v>
      </c>
      <c r="AJ185" t="n">
        <v>8</v>
      </c>
      <c r="AK185" t="n">
        <v>8</v>
      </c>
      <c r="AL185" t="n">
        <v>2</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HYPERLINK("https://creighton-primo.hosted.exlibrisgroup.com/primo-explore/search?tab=default_tab&amp;search_scope=EVERYTHING&amp;vid=01CRU&amp;lang=en_US&amp;offset=0&amp;query=any,contains,991002314809702656","Catalog Record")</f>
        <v/>
      </c>
      <c r="AT185">
        <f>HYPERLINK("http://www.worldcat.org/oclc/30035471","WorldCat Record")</f>
        <v/>
      </c>
      <c r="AU185" t="inlineStr">
        <is>
          <t>354611048:eng</t>
        </is>
      </c>
      <c r="AV185" t="inlineStr">
        <is>
          <t>30035471</t>
        </is>
      </c>
      <c r="AW185" t="inlineStr">
        <is>
          <t>991002314809702656</t>
        </is>
      </c>
      <c r="AX185" t="inlineStr">
        <is>
          <t>991002314809702656</t>
        </is>
      </c>
      <c r="AY185" t="inlineStr">
        <is>
          <t>2271655270002656</t>
        </is>
      </c>
      <c r="AZ185" t="inlineStr">
        <is>
          <t>BOOK</t>
        </is>
      </c>
      <c r="BB185" t="inlineStr">
        <is>
          <t>9780791423059</t>
        </is>
      </c>
      <c r="BC185" t="inlineStr">
        <is>
          <t>32285003514766</t>
        </is>
      </c>
      <c r="BD185" t="inlineStr">
        <is>
          <t>893603447</t>
        </is>
      </c>
    </row>
    <row r="186">
      <c r="A186" t="inlineStr">
        <is>
          <t>No</t>
        </is>
      </c>
      <c r="B186" t="inlineStr">
        <is>
          <t>PE1404 .C63 1984</t>
        </is>
      </c>
      <c r="C186" t="inlineStr">
        <is>
          <t>0                      PE 1404000C  63          1984</t>
        </is>
      </c>
      <c r="D186" t="inlineStr">
        <is>
          <t>The Computer in composition instruction : a writer's tool / edited by William Wresch.</t>
        </is>
      </c>
      <c r="F186" t="inlineStr">
        <is>
          <t>No</t>
        </is>
      </c>
      <c r="G186" t="inlineStr">
        <is>
          <t>1</t>
        </is>
      </c>
      <c r="H186" t="inlineStr">
        <is>
          <t>No</t>
        </is>
      </c>
      <c r="I186" t="inlineStr">
        <is>
          <t>No</t>
        </is>
      </c>
      <c r="J186" t="inlineStr">
        <is>
          <t>0</t>
        </is>
      </c>
      <c r="L186" t="inlineStr">
        <is>
          <t>Urbana, Ill. : National Council of Teachers of English, c1984.</t>
        </is>
      </c>
      <c r="M186" t="inlineStr">
        <is>
          <t>1984</t>
        </is>
      </c>
      <c r="O186" t="inlineStr">
        <is>
          <t>eng</t>
        </is>
      </c>
      <c r="P186" t="inlineStr">
        <is>
          <t>ilu</t>
        </is>
      </c>
      <c r="R186" t="inlineStr">
        <is>
          <t xml:space="preserve">PE </t>
        </is>
      </c>
      <c r="S186" t="n">
        <v>2</v>
      </c>
      <c r="T186" t="n">
        <v>2</v>
      </c>
      <c r="U186" t="inlineStr">
        <is>
          <t>1994-10-30</t>
        </is>
      </c>
      <c r="V186" t="inlineStr">
        <is>
          <t>1994-10-30</t>
        </is>
      </c>
      <c r="W186" t="inlineStr">
        <is>
          <t>1992-01-20</t>
        </is>
      </c>
      <c r="X186" t="inlineStr">
        <is>
          <t>1992-01-20</t>
        </is>
      </c>
      <c r="Y186" t="n">
        <v>522</v>
      </c>
      <c r="Z186" t="n">
        <v>462</v>
      </c>
      <c r="AA186" t="n">
        <v>468</v>
      </c>
      <c r="AB186" t="n">
        <v>7</v>
      </c>
      <c r="AC186" t="n">
        <v>7</v>
      </c>
      <c r="AD186" t="n">
        <v>22</v>
      </c>
      <c r="AE186" t="n">
        <v>22</v>
      </c>
      <c r="AF186" t="n">
        <v>4</v>
      </c>
      <c r="AG186" t="n">
        <v>4</v>
      </c>
      <c r="AH186" t="n">
        <v>4</v>
      </c>
      <c r="AI186" t="n">
        <v>4</v>
      </c>
      <c r="AJ186" t="n">
        <v>12</v>
      </c>
      <c r="AK186" t="n">
        <v>12</v>
      </c>
      <c r="AL186" t="n">
        <v>5</v>
      </c>
      <c r="AM186" t="n">
        <v>5</v>
      </c>
      <c r="AN186" t="n">
        <v>0</v>
      </c>
      <c r="AO186" t="n">
        <v>0</v>
      </c>
      <c r="AP186" t="inlineStr">
        <is>
          <t>No</t>
        </is>
      </c>
      <c r="AQ186" t="inlineStr">
        <is>
          <t>Yes</t>
        </is>
      </c>
      <c r="AR186">
        <f>HYPERLINK("http://catalog.hathitrust.org/Record/000382309","HathiTrust Record")</f>
        <v/>
      </c>
      <c r="AS186">
        <f>HYPERLINK("https://creighton-primo.hosted.exlibrisgroup.com/primo-explore/search?tab=default_tab&amp;search_scope=EVERYTHING&amp;vid=01CRU&amp;lang=en_US&amp;offset=0&amp;query=any,contains,991000489319702656","Catalog Record")</f>
        <v/>
      </c>
      <c r="AT186">
        <f>HYPERLINK("http://www.worldcat.org/oclc/11091171","WorldCat Record")</f>
        <v/>
      </c>
      <c r="AU186" t="inlineStr">
        <is>
          <t>54662717:eng</t>
        </is>
      </c>
      <c r="AV186" t="inlineStr">
        <is>
          <t>11091171</t>
        </is>
      </c>
      <c r="AW186" t="inlineStr">
        <is>
          <t>991000489319702656</t>
        </is>
      </c>
      <c r="AX186" t="inlineStr">
        <is>
          <t>991000489319702656</t>
        </is>
      </c>
      <c r="AY186" t="inlineStr">
        <is>
          <t>2270758020002656</t>
        </is>
      </c>
      <c r="AZ186" t="inlineStr">
        <is>
          <t>BOOK</t>
        </is>
      </c>
      <c r="BB186" t="inlineStr">
        <is>
          <t>9780814108154</t>
        </is>
      </c>
      <c r="BC186" t="inlineStr">
        <is>
          <t>32285000915974</t>
        </is>
      </c>
      <c r="BD186" t="inlineStr">
        <is>
          <t>893896918</t>
        </is>
      </c>
    </row>
    <row r="187">
      <c r="A187" t="inlineStr">
        <is>
          <t>No</t>
        </is>
      </c>
      <c r="B187" t="inlineStr">
        <is>
          <t>PE1404 .C6334 1990</t>
        </is>
      </c>
      <c r="C187" t="inlineStr">
        <is>
          <t>0                      PE 1404000C  6334        1990</t>
        </is>
      </c>
      <c r="D187" t="inlineStr">
        <is>
          <t>Computers and community : teaching composition in the twenty-first century / edited by Carolyn Handa ; with a foreword by Richard A. Lanham.</t>
        </is>
      </c>
      <c r="F187" t="inlineStr">
        <is>
          <t>No</t>
        </is>
      </c>
      <c r="G187" t="inlineStr">
        <is>
          <t>1</t>
        </is>
      </c>
      <c r="H187" t="inlineStr">
        <is>
          <t>No</t>
        </is>
      </c>
      <c r="I187" t="inlineStr">
        <is>
          <t>No</t>
        </is>
      </c>
      <c r="J187" t="inlineStr">
        <is>
          <t>0</t>
        </is>
      </c>
      <c r="L187" t="inlineStr">
        <is>
          <t>Portsmouth, NH : Boynton/Cook, c1990.</t>
        </is>
      </c>
      <c r="M187" t="inlineStr">
        <is>
          <t>1990</t>
        </is>
      </c>
      <c r="O187" t="inlineStr">
        <is>
          <t>eng</t>
        </is>
      </c>
      <c r="P187" t="inlineStr">
        <is>
          <t>nhu</t>
        </is>
      </c>
      <c r="R187" t="inlineStr">
        <is>
          <t xml:space="preserve">PE </t>
        </is>
      </c>
      <c r="S187" t="n">
        <v>13</v>
      </c>
      <c r="T187" t="n">
        <v>13</v>
      </c>
      <c r="U187" t="inlineStr">
        <is>
          <t>2004-03-27</t>
        </is>
      </c>
      <c r="V187" t="inlineStr">
        <is>
          <t>2004-03-27</t>
        </is>
      </c>
      <c r="W187" t="inlineStr">
        <is>
          <t>1990-05-25</t>
        </is>
      </c>
      <c r="X187" t="inlineStr">
        <is>
          <t>1990-05-25</t>
        </is>
      </c>
      <c r="Y187" t="n">
        <v>309</v>
      </c>
      <c r="Z187" t="n">
        <v>281</v>
      </c>
      <c r="AA187" t="n">
        <v>288</v>
      </c>
      <c r="AB187" t="n">
        <v>4</v>
      </c>
      <c r="AC187" t="n">
        <v>4</v>
      </c>
      <c r="AD187" t="n">
        <v>15</v>
      </c>
      <c r="AE187" t="n">
        <v>15</v>
      </c>
      <c r="AF187" t="n">
        <v>4</v>
      </c>
      <c r="AG187" t="n">
        <v>4</v>
      </c>
      <c r="AH187" t="n">
        <v>2</v>
      </c>
      <c r="AI187" t="n">
        <v>2</v>
      </c>
      <c r="AJ187" t="n">
        <v>7</v>
      </c>
      <c r="AK187" t="n">
        <v>7</v>
      </c>
      <c r="AL187" t="n">
        <v>3</v>
      </c>
      <c r="AM187" t="n">
        <v>3</v>
      </c>
      <c r="AN187" t="n">
        <v>1</v>
      </c>
      <c r="AO187" t="n">
        <v>1</v>
      </c>
      <c r="AP187" t="inlineStr">
        <is>
          <t>No</t>
        </is>
      </c>
      <c r="AQ187" t="inlineStr">
        <is>
          <t>No</t>
        </is>
      </c>
      <c r="AS187">
        <f>HYPERLINK("https://creighton-primo.hosted.exlibrisgroup.com/primo-explore/search?tab=default_tab&amp;search_scope=EVERYTHING&amp;vid=01CRU&amp;lang=en_US&amp;offset=0&amp;query=any,contains,991001617069702656","Catalog Record")</f>
        <v/>
      </c>
      <c r="AT187">
        <f>HYPERLINK("http://www.worldcat.org/oclc/20797653","WorldCat Record")</f>
        <v/>
      </c>
      <c r="AU187" t="inlineStr">
        <is>
          <t>22801166:eng</t>
        </is>
      </c>
      <c r="AV187" t="inlineStr">
        <is>
          <t>20797653</t>
        </is>
      </c>
      <c r="AW187" t="inlineStr">
        <is>
          <t>991001617069702656</t>
        </is>
      </c>
      <c r="AX187" t="inlineStr">
        <is>
          <t>991001617069702656</t>
        </is>
      </c>
      <c r="AY187" t="inlineStr">
        <is>
          <t>2260645430002656</t>
        </is>
      </c>
      <c r="AZ187" t="inlineStr">
        <is>
          <t>BOOK</t>
        </is>
      </c>
      <c r="BB187" t="inlineStr">
        <is>
          <t>9780867092578</t>
        </is>
      </c>
      <c r="BC187" t="inlineStr">
        <is>
          <t>32285000155845</t>
        </is>
      </c>
      <c r="BD187" t="inlineStr">
        <is>
          <t>893596576</t>
        </is>
      </c>
    </row>
    <row r="188">
      <c r="A188" t="inlineStr">
        <is>
          <t>No</t>
        </is>
      </c>
      <c r="B188" t="inlineStr">
        <is>
          <t>PE1404 .C6335 1990</t>
        </is>
      </c>
      <c r="C188" t="inlineStr">
        <is>
          <t>0                      PE 1404000C  6335        1990</t>
        </is>
      </c>
      <c r="D188" t="inlineStr">
        <is>
          <t>Computers and writing : theory, research, practice / edited by Deborah H. Holdstein, Cynthia L. Selfe.</t>
        </is>
      </c>
      <c r="F188" t="inlineStr">
        <is>
          <t>No</t>
        </is>
      </c>
      <c r="G188" t="inlineStr">
        <is>
          <t>1</t>
        </is>
      </c>
      <c r="H188" t="inlineStr">
        <is>
          <t>No</t>
        </is>
      </c>
      <c r="I188" t="inlineStr">
        <is>
          <t>No</t>
        </is>
      </c>
      <c r="J188" t="inlineStr">
        <is>
          <t>0</t>
        </is>
      </c>
      <c r="L188" t="inlineStr">
        <is>
          <t>New York : Modern Language Association of America, 1990.</t>
        </is>
      </c>
      <c r="M188" t="inlineStr">
        <is>
          <t>1990</t>
        </is>
      </c>
      <c r="O188" t="inlineStr">
        <is>
          <t>eng</t>
        </is>
      </c>
      <c r="P188" t="inlineStr">
        <is>
          <t>nyu</t>
        </is>
      </c>
      <c r="R188" t="inlineStr">
        <is>
          <t xml:space="preserve">PE </t>
        </is>
      </c>
      <c r="S188" t="n">
        <v>8</v>
      </c>
      <c r="T188" t="n">
        <v>8</v>
      </c>
      <c r="U188" t="inlineStr">
        <is>
          <t>1997-03-25</t>
        </is>
      </c>
      <c r="V188" t="inlineStr">
        <is>
          <t>1997-03-25</t>
        </is>
      </c>
      <c r="W188" t="inlineStr">
        <is>
          <t>1991-03-06</t>
        </is>
      </c>
      <c r="X188" t="inlineStr">
        <is>
          <t>1991-03-06</t>
        </is>
      </c>
      <c r="Y188" t="n">
        <v>358</v>
      </c>
      <c r="Z188" t="n">
        <v>310</v>
      </c>
      <c r="AA188" t="n">
        <v>312</v>
      </c>
      <c r="AB188" t="n">
        <v>4</v>
      </c>
      <c r="AC188" t="n">
        <v>4</v>
      </c>
      <c r="AD188" t="n">
        <v>17</v>
      </c>
      <c r="AE188" t="n">
        <v>17</v>
      </c>
      <c r="AF188" t="n">
        <v>4</v>
      </c>
      <c r="AG188" t="n">
        <v>4</v>
      </c>
      <c r="AH188" t="n">
        <v>4</v>
      </c>
      <c r="AI188" t="n">
        <v>4</v>
      </c>
      <c r="AJ188" t="n">
        <v>9</v>
      </c>
      <c r="AK188" t="n">
        <v>9</v>
      </c>
      <c r="AL188" t="n">
        <v>3</v>
      </c>
      <c r="AM188" t="n">
        <v>3</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HYPERLINK("https://creighton-primo.hosted.exlibrisgroup.com/primo-explore/search?tab=default_tab&amp;search_scope=EVERYTHING&amp;vid=01CRU&amp;lang=en_US&amp;offset=0&amp;query=any,contains,991001622179702656","Catalog Record")</f>
        <v/>
      </c>
      <c r="AT188">
        <f>HYPERLINK("http://www.worldcat.org/oclc/20825962","WorldCat Record")</f>
        <v/>
      </c>
      <c r="AU188" t="inlineStr">
        <is>
          <t>22434505:eng</t>
        </is>
      </c>
      <c r="AV188" t="inlineStr">
        <is>
          <t>20825962</t>
        </is>
      </c>
      <c r="AW188" t="inlineStr">
        <is>
          <t>991001622179702656</t>
        </is>
      </c>
      <c r="AX188" t="inlineStr">
        <is>
          <t>991001622179702656</t>
        </is>
      </c>
      <c r="AY188" t="inlineStr">
        <is>
          <t>2260579850002656</t>
        </is>
      </c>
      <c r="AZ188" t="inlineStr">
        <is>
          <t>BOOK</t>
        </is>
      </c>
      <c r="BB188" t="inlineStr">
        <is>
          <t>9780873521949</t>
        </is>
      </c>
      <c r="BC188" t="inlineStr">
        <is>
          <t>32285000493048</t>
        </is>
      </c>
      <c r="BD188" t="inlineStr">
        <is>
          <t>893232097</t>
        </is>
      </c>
    </row>
    <row r="189">
      <c r="A189" t="inlineStr">
        <is>
          <t>No</t>
        </is>
      </c>
      <c r="B189" t="inlineStr">
        <is>
          <t>PE1404 .C6338 1991</t>
        </is>
      </c>
      <c r="C189" t="inlineStr">
        <is>
          <t>0                      PE 1404000C  6338        1991</t>
        </is>
      </c>
      <c r="D189" t="inlineStr">
        <is>
          <t>Contending with words : composition and rhetoric in a postmodern age / edited by Patricia Harkin and John Schilb.</t>
        </is>
      </c>
      <c r="F189" t="inlineStr">
        <is>
          <t>No</t>
        </is>
      </c>
      <c r="G189" t="inlineStr">
        <is>
          <t>1</t>
        </is>
      </c>
      <c r="H189" t="inlineStr">
        <is>
          <t>No</t>
        </is>
      </c>
      <c r="I189" t="inlineStr">
        <is>
          <t>No</t>
        </is>
      </c>
      <c r="J189" t="inlineStr">
        <is>
          <t>0</t>
        </is>
      </c>
      <c r="L189" t="inlineStr">
        <is>
          <t>New York : Modern Language Association of America, 1991.</t>
        </is>
      </c>
      <c r="M189" t="inlineStr">
        <is>
          <t>1991</t>
        </is>
      </c>
      <c r="O189" t="inlineStr">
        <is>
          <t>eng</t>
        </is>
      </c>
      <c r="P189" t="inlineStr">
        <is>
          <t>nyu</t>
        </is>
      </c>
      <c r="R189" t="inlineStr">
        <is>
          <t xml:space="preserve">PE </t>
        </is>
      </c>
      <c r="S189" t="n">
        <v>18</v>
      </c>
      <c r="T189" t="n">
        <v>18</v>
      </c>
      <c r="U189" t="inlineStr">
        <is>
          <t>2004-09-28</t>
        </is>
      </c>
      <c r="V189" t="inlineStr">
        <is>
          <t>2004-09-28</t>
        </is>
      </c>
      <c r="W189" t="inlineStr">
        <is>
          <t>1993-01-23</t>
        </is>
      </c>
      <c r="X189" t="inlineStr">
        <is>
          <t>1993-01-23</t>
        </is>
      </c>
      <c r="Y189" t="n">
        <v>474</v>
      </c>
      <c r="Z189" t="n">
        <v>414</v>
      </c>
      <c r="AA189" t="n">
        <v>416</v>
      </c>
      <c r="AB189" t="n">
        <v>4</v>
      </c>
      <c r="AC189" t="n">
        <v>4</v>
      </c>
      <c r="AD189" t="n">
        <v>22</v>
      </c>
      <c r="AE189" t="n">
        <v>22</v>
      </c>
      <c r="AF189" t="n">
        <v>9</v>
      </c>
      <c r="AG189" t="n">
        <v>9</v>
      </c>
      <c r="AH189" t="n">
        <v>6</v>
      </c>
      <c r="AI189" t="n">
        <v>6</v>
      </c>
      <c r="AJ189" t="n">
        <v>9</v>
      </c>
      <c r="AK189" t="n">
        <v>9</v>
      </c>
      <c r="AL189" t="n">
        <v>3</v>
      </c>
      <c r="AM189" t="n">
        <v>3</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HYPERLINK("https://creighton-primo.hosted.exlibrisgroup.com/primo-explore/search?tab=default_tab&amp;search_scope=EVERYTHING&amp;vid=01CRU&amp;lang=en_US&amp;offset=0&amp;query=any,contains,991001865019702656","Catalog Record")</f>
        <v/>
      </c>
      <c r="AT189">
        <f>HYPERLINK("http://www.worldcat.org/oclc/23462343","WorldCat Record")</f>
        <v/>
      </c>
      <c r="AU189" t="inlineStr">
        <is>
          <t>889696928:eng</t>
        </is>
      </c>
      <c r="AV189" t="inlineStr">
        <is>
          <t>23462343</t>
        </is>
      </c>
      <c r="AW189" t="inlineStr">
        <is>
          <t>991001865019702656</t>
        </is>
      </c>
      <c r="AX189" t="inlineStr">
        <is>
          <t>991001865019702656</t>
        </is>
      </c>
      <c r="AY189" t="inlineStr">
        <is>
          <t>2255577480002656</t>
        </is>
      </c>
      <c r="AZ189" t="inlineStr">
        <is>
          <t>BOOK</t>
        </is>
      </c>
      <c r="BB189" t="inlineStr">
        <is>
          <t>9780873523875</t>
        </is>
      </c>
      <c r="BC189" t="inlineStr">
        <is>
          <t>32285001447928</t>
        </is>
      </c>
      <c r="BD189" t="inlineStr">
        <is>
          <t>893690982</t>
        </is>
      </c>
    </row>
    <row r="190">
      <c r="A190" t="inlineStr">
        <is>
          <t>No</t>
        </is>
      </c>
      <c r="B190" t="inlineStr">
        <is>
          <t>PE1404 .C637 2004</t>
        </is>
      </c>
      <c r="C190" t="inlineStr">
        <is>
          <t>0                      PE 1404000C  637         2004</t>
        </is>
      </c>
      <c r="D190" t="inlineStr">
        <is>
          <t>In search of eloquence : cross-disciplinary conversations on the role of writing in undergraduate education / Cornelius Cosgrove, Nancy Barta-Smith.</t>
        </is>
      </c>
      <c r="F190" t="inlineStr">
        <is>
          <t>No</t>
        </is>
      </c>
      <c r="G190" t="inlineStr">
        <is>
          <t>1</t>
        </is>
      </c>
      <c r="H190" t="inlineStr">
        <is>
          <t>No</t>
        </is>
      </c>
      <c r="I190" t="inlineStr">
        <is>
          <t>No</t>
        </is>
      </c>
      <c r="J190" t="inlineStr">
        <is>
          <t>0</t>
        </is>
      </c>
      <c r="K190" t="inlineStr">
        <is>
          <t>Cosgrove, Cornelius.</t>
        </is>
      </c>
      <c r="L190" t="inlineStr">
        <is>
          <t>Cresskkil, NJ : Hampton Press, c2004.</t>
        </is>
      </c>
      <c r="M190" t="inlineStr">
        <is>
          <t>2004</t>
        </is>
      </c>
      <c r="O190" t="inlineStr">
        <is>
          <t>eng</t>
        </is>
      </c>
      <c r="P190" t="inlineStr">
        <is>
          <t>nju</t>
        </is>
      </c>
      <c r="Q190" t="inlineStr">
        <is>
          <t>Research and teaching in rhetoric and composition</t>
        </is>
      </c>
      <c r="R190" t="inlineStr">
        <is>
          <t xml:space="preserve">PE </t>
        </is>
      </c>
      <c r="S190" t="n">
        <v>1</v>
      </c>
      <c r="T190" t="n">
        <v>1</v>
      </c>
      <c r="U190" t="inlineStr">
        <is>
          <t>2006-08-15</t>
        </is>
      </c>
      <c r="V190" t="inlineStr">
        <is>
          <t>2006-08-15</t>
        </is>
      </c>
      <c r="W190" t="inlineStr">
        <is>
          <t>2006-08-15</t>
        </is>
      </c>
      <c r="X190" t="inlineStr">
        <is>
          <t>2006-08-15</t>
        </is>
      </c>
      <c r="Y190" t="n">
        <v>152</v>
      </c>
      <c r="Z190" t="n">
        <v>132</v>
      </c>
      <c r="AA190" t="n">
        <v>133</v>
      </c>
      <c r="AB190" t="n">
        <v>2</v>
      </c>
      <c r="AC190" t="n">
        <v>2</v>
      </c>
      <c r="AD190" t="n">
        <v>5</v>
      </c>
      <c r="AE190" t="n">
        <v>5</v>
      </c>
      <c r="AF190" t="n">
        <v>1</v>
      </c>
      <c r="AG190" t="n">
        <v>1</v>
      </c>
      <c r="AH190" t="n">
        <v>1</v>
      </c>
      <c r="AI190" t="n">
        <v>1</v>
      </c>
      <c r="AJ190" t="n">
        <v>3</v>
      </c>
      <c r="AK190" t="n">
        <v>3</v>
      </c>
      <c r="AL190" t="n">
        <v>1</v>
      </c>
      <c r="AM190" t="n">
        <v>1</v>
      </c>
      <c r="AN190" t="n">
        <v>0</v>
      </c>
      <c r="AO190" t="n">
        <v>0</v>
      </c>
      <c r="AP190" t="inlineStr">
        <is>
          <t>No</t>
        </is>
      </c>
      <c r="AQ190" t="inlineStr">
        <is>
          <t>Yes</t>
        </is>
      </c>
      <c r="AR190">
        <f>HYPERLINK("http://catalog.hathitrust.org/Record/004932571","HathiTrust Record")</f>
        <v/>
      </c>
      <c r="AS190">
        <f>HYPERLINK("https://creighton-primo.hosted.exlibrisgroup.com/primo-explore/search?tab=default_tab&amp;search_scope=EVERYTHING&amp;vid=01CRU&amp;lang=en_US&amp;offset=0&amp;query=any,contains,991004778249702656","Catalog Record")</f>
        <v/>
      </c>
      <c r="AT190">
        <f>HYPERLINK("http://www.worldcat.org/oclc/55729943","WorldCat Record")</f>
        <v/>
      </c>
      <c r="AU190" t="inlineStr">
        <is>
          <t>1053308:eng</t>
        </is>
      </c>
      <c r="AV190" t="inlineStr">
        <is>
          <t>55729943</t>
        </is>
      </c>
      <c r="AW190" t="inlineStr">
        <is>
          <t>991004778249702656</t>
        </is>
      </c>
      <c r="AX190" t="inlineStr">
        <is>
          <t>991004778249702656</t>
        </is>
      </c>
      <c r="AY190" t="inlineStr">
        <is>
          <t>2271881120002656</t>
        </is>
      </c>
      <c r="AZ190" t="inlineStr">
        <is>
          <t>BOOK</t>
        </is>
      </c>
      <c r="BB190" t="inlineStr">
        <is>
          <t>9781572735767</t>
        </is>
      </c>
      <c r="BC190" t="inlineStr">
        <is>
          <t>32285005220248</t>
        </is>
      </c>
      <c r="BD190" t="inlineStr">
        <is>
          <t>893776425</t>
        </is>
      </c>
    </row>
    <row r="191">
      <c r="A191" t="inlineStr">
        <is>
          <t>No</t>
        </is>
      </c>
      <c r="B191" t="inlineStr">
        <is>
          <t>PE1404 .C76 1989</t>
        </is>
      </c>
      <c r="C191" t="inlineStr">
        <is>
          <t>0                      PE 1404000C  76          1989</t>
        </is>
      </c>
      <c r="D191" t="inlineStr">
        <is>
          <t>A teacher's introduction to deconstruction / Sharon Crowley.</t>
        </is>
      </c>
      <c r="F191" t="inlineStr">
        <is>
          <t>No</t>
        </is>
      </c>
      <c r="G191" t="inlineStr">
        <is>
          <t>1</t>
        </is>
      </c>
      <c r="H191" t="inlineStr">
        <is>
          <t>No</t>
        </is>
      </c>
      <c r="I191" t="inlineStr">
        <is>
          <t>No</t>
        </is>
      </c>
      <c r="J191" t="inlineStr">
        <is>
          <t>0</t>
        </is>
      </c>
      <c r="K191" t="inlineStr">
        <is>
          <t>Crowley, Sharon, 1943-</t>
        </is>
      </c>
      <c r="L191" t="inlineStr">
        <is>
          <t>Urbana, Ill. : National Council of Teachers of English, c1989.</t>
        </is>
      </c>
      <c r="M191" t="inlineStr">
        <is>
          <t>1989</t>
        </is>
      </c>
      <c r="O191" t="inlineStr">
        <is>
          <t>eng</t>
        </is>
      </c>
      <c r="P191" t="inlineStr">
        <is>
          <t>ilu</t>
        </is>
      </c>
      <c r="Q191" t="inlineStr">
        <is>
          <t>NCTE teacher's introduction series</t>
        </is>
      </c>
      <c r="R191" t="inlineStr">
        <is>
          <t xml:space="preserve">PE </t>
        </is>
      </c>
      <c r="S191" t="n">
        <v>12</v>
      </c>
      <c r="T191" t="n">
        <v>12</v>
      </c>
      <c r="U191" t="inlineStr">
        <is>
          <t>2006-07-26</t>
        </is>
      </c>
      <c r="V191" t="inlineStr">
        <is>
          <t>2006-07-26</t>
        </is>
      </c>
      <c r="W191" t="inlineStr">
        <is>
          <t>1992-11-30</t>
        </is>
      </c>
      <c r="X191" t="inlineStr">
        <is>
          <t>1992-11-30</t>
        </is>
      </c>
      <c r="Y191" t="n">
        <v>513</v>
      </c>
      <c r="Z191" t="n">
        <v>463</v>
      </c>
      <c r="AA191" t="n">
        <v>467</v>
      </c>
      <c r="AB191" t="n">
        <v>3</v>
      </c>
      <c r="AC191" t="n">
        <v>3</v>
      </c>
      <c r="AD191" t="n">
        <v>22</v>
      </c>
      <c r="AE191" t="n">
        <v>22</v>
      </c>
      <c r="AF191" t="n">
        <v>8</v>
      </c>
      <c r="AG191" t="n">
        <v>8</v>
      </c>
      <c r="AH191" t="n">
        <v>6</v>
      </c>
      <c r="AI191" t="n">
        <v>6</v>
      </c>
      <c r="AJ191" t="n">
        <v>13</v>
      </c>
      <c r="AK191" t="n">
        <v>13</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HYPERLINK("https://creighton-primo.hosted.exlibrisgroup.com/primo-explore/search?tab=default_tab&amp;search_scope=EVERYTHING&amp;vid=01CRU&amp;lang=en_US&amp;offset=0&amp;query=any,contains,991001433419702656","Catalog Record")</f>
        <v/>
      </c>
      <c r="AT191">
        <f>HYPERLINK("http://www.worldcat.org/oclc/19125297","WorldCat Record")</f>
        <v/>
      </c>
      <c r="AU191" t="inlineStr">
        <is>
          <t>18946484:eng</t>
        </is>
      </c>
      <c r="AV191" t="inlineStr">
        <is>
          <t>19125297</t>
        </is>
      </c>
      <c r="AW191" t="inlineStr">
        <is>
          <t>991001433419702656</t>
        </is>
      </c>
      <c r="AX191" t="inlineStr">
        <is>
          <t>991001433419702656</t>
        </is>
      </c>
      <c r="AY191" t="inlineStr">
        <is>
          <t>2269592770002656</t>
        </is>
      </c>
      <c r="AZ191" t="inlineStr">
        <is>
          <t>BOOK</t>
        </is>
      </c>
      <c r="BB191" t="inlineStr">
        <is>
          <t>9780814150146</t>
        </is>
      </c>
      <c r="BC191" t="inlineStr">
        <is>
          <t>32285001400117</t>
        </is>
      </c>
      <c r="BD191" t="inlineStr">
        <is>
          <t>893321934</t>
        </is>
      </c>
    </row>
    <row r="192">
      <c r="A192" t="inlineStr">
        <is>
          <t>No</t>
        </is>
      </c>
      <c r="B192" t="inlineStr">
        <is>
          <t>PE1404 .D35 1985</t>
        </is>
      </c>
      <c r="C192" t="inlineStr">
        <is>
          <t>0                      PE 1404000D  35          1985</t>
        </is>
      </c>
      <c r="D192" t="inlineStr">
        <is>
          <t>Writing and computers / Colette Daiute.</t>
        </is>
      </c>
      <c r="F192" t="inlineStr">
        <is>
          <t>No</t>
        </is>
      </c>
      <c r="G192" t="inlineStr">
        <is>
          <t>1</t>
        </is>
      </c>
      <c r="H192" t="inlineStr">
        <is>
          <t>No</t>
        </is>
      </c>
      <c r="I192" t="inlineStr">
        <is>
          <t>No</t>
        </is>
      </c>
      <c r="J192" t="inlineStr">
        <is>
          <t>0</t>
        </is>
      </c>
      <c r="K192" t="inlineStr">
        <is>
          <t>Daiute, Colette.</t>
        </is>
      </c>
      <c r="L192" t="inlineStr">
        <is>
          <t>Reading, Mass. : Addison-Wesley Pub. Co., c1985.</t>
        </is>
      </c>
      <c r="M192" t="inlineStr">
        <is>
          <t>1985</t>
        </is>
      </c>
      <c r="O192" t="inlineStr">
        <is>
          <t>eng</t>
        </is>
      </c>
      <c r="P192" t="inlineStr">
        <is>
          <t>mau</t>
        </is>
      </c>
      <c r="R192" t="inlineStr">
        <is>
          <t xml:space="preserve">PE </t>
        </is>
      </c>
      <c r="S192" t="n">
        <v>2</v>
      </c>
      <c r="T192" t="n">
        <v>2</v>
      </c>
      <c r="U192" t="inlineStr">
        <is>
          <t>1994-10-30</t>
        </is>
      </c>
      <c r="V192" t="inlineStr">
        <is>
          <t>1994-10-30</t>
        </is>
      </c>
      <c r="W192" t="inlineStr">
        <is>
          <t>1993-04-23</t>
        </is>
      </c>
      <c r="X192" t="inlineStr">
        <is>
          <t>1993-04-23</t>
        </is>
      </c>
      <c r="Y192" t="n">
        <v>390</v>
      </c>
      <c r="Z192" t="n">
        <v>291</v>
      </c>
      <c r="AA192" t="n">
        <v>297</v>
      </c>
      <c r="AB192" t="n">
        <v>4</v>
      </c>
      <c r="AC192" t="n">
        <v>4</v>
      </c>
      <c r="AD192" t="n">
        <v>10</v>
      </c>
      <c r="AE192" t="n">
        <v>10</v>
      </c>
      <c r="AF192" t="n">
        <v>3</v>
      </c>
      <c r="AG192" t="n">
        <v>3</v>
      </c>
      <c r="AH192" t="n">
        <v>2</v>
      </c>
      <c r="AI192" t="n">
        <v>2</v>
      </c>
      <c r="AJ192" t="n">
        <v>5</v>
      </c>
      <c r="AK192" t="n">
        <v>5</v>
      </c>
      <c r="AL192" t="n">
        <v>2</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HYPERLINK("https://creighton-primo.hosted.exlibrisgroup.com/primo-explore/search?tab=default_tab&amp;search_scope=EVERYTHING&amp;vid=01CRU&amp;lang=en_US&amp;offset=0&amp;query=any,contains,991000456569702656","Catalog Record")</f>
        <v/>
      </c>
      <c r="AT192">
        <f>HYPERLINK("http://www.worldcat.org/oclc/10914161","WorldCat Record")</f>
        <v/>
      </c>
      <c r="AU192" t="inlineStr">
        <is>
          <t>3190869:eng</t>
        </is>
      </c>
      <c r="AV192" t="inlineStr">
        <is>
          <t>10914161</t>
        </is>
      </c>
      <c r="AW192" t="inlineStr">
        <is>
          <t>991000456569702656</t>
        </is>
      </c>
      <c r="AX192" t="inlineStr">
        <is>
          <t>991000456569702656</t>
        </is>
      </c>
      <c r="AY192" t="inlineStr">
        <is>
          <t>2258511670002656</t>
        </is>
      </c>
      <c r="AZ192" t="inlineStr">
        <is>
          <t>BOOK</t>
        </is>
      </c>
      <c r="BB192" t="inlineStr">
        <is>
          <t>9780201103687</t>
        </is>
      </c>
      <c r="BC192" t="inlineStr">
        <is>
          <t>32285001646776</t>
        </is>
      </c>
      <c r="BD192" t="inlineStr">
        <is>
          <t>893626310</t>
        </is>
      </c>
    </row>
    <row r="193">
      <c r="A193" t="inlineStr">
        <is>
          <t>No</t>
        </is>
      </c>
      <c r="B193" t="inlineStr">
        <is>
          <t>PE1404 .D57 2003</t>
        </is>
      </c>
      <c r="C193" t="inlineStr">
        <is>
          <t>0                      PE 1404000D  57          2003</t>
        </is>
      </c>
      <c r="D193" t="inlineStr">
        <is>
          <t>Directed self-placement : principles and practices / edited by Daniel Royer, Roger Gilles.</t>
        </is>
      </c>
      <c r="F193" t="inlineStr">
        <is>
          <t>No</t>
        </is>
      </c>
      <c r="G193" t="inlineStr">
        <is>
          <t>1</t>
        </is>
      </c>
      <c r="H193" t="inlineStr">
        <is>
          <t>No</t>
        </is>
      </c>
      <c r="I193" t="inlineStr">
        <is>
          <t>No</t>
        </is>
      </c>
      <c r="J193" t="inlineStr">
        <is>
          <t>0</t>
        </is>
      </c>
      <c r="L193" t="inlineStr">
        <is>
          <t>Cresskill, N.J. : Hampton Press, c2003.</t>
        </is>
      </c>
      <c r="M193" t="inlineStr">
        <is>
          <t>2003</t>
        </is>
      </c>
      <c r="O193" t="inlineStr">
        <is>
          <t>eng</t>
        </is>
      </c>
      <c r="P193" t="inlineStr">
        <is>
          <t>nju</t>
        </is>
      </c>
      <c r="Q193" t="inlineStr">
        <is>
          <t>Research and teaching in rhetoric and composition</t>
        </is>
      </c>
      <c r="R193" t="inlineStr">
        <is>
          <t xml:space="preserve">PE </t>
        </is>
      </c>
      <c r="S193" t="n">
        <v>2</v>
      </c>
      <c r="T193" t="n">
        <v>2</v>
      </c>
      <c r="U193" t="inlineStr">
        <is>
          <t>2008-06-19</t>
        </is>
      </c>
      <c r="V193" t="inlineStr">
        <is>
          <t>2008-06-19</t>
        </is>
      </c>
      <c r="W193" t="inlineStr">
        <is>
          <t>2006-05-30</t>
        </is>
      </c>
      <c r="X193" t="inlineStr">
        <is>
          <t>2006-05-30</t>
        </is>
      </c>
      <c r="Y193" t="n">
        <v>103</v>
      </c>
      <c r="Z193" t="n">
        <v>93</v>
      </c>
      <c r="AA193" t="n">
        <v>94</v>
      </c>
      <c r="AB193" t="n">
        <v>1</v>
      </c>
      <c r="AC193" t="n">
        <v>1</v>
      </c>
      <c r="AD193" t="n">
        <v>5</v>
      </c>
      <c r="AE193" t="n">
        <v>5</v>
      </c>
      <c r="AF193" t="n">
        <v>1</v>
      </c>
      <c r="AG193" t="n">
        <v>1</v>
      </c>
      <c r="AH193" t="n">
        <v>2</v>
      </c>
      <c r="AI193" t="n">
        <v>2</v>
      </c>
      <c r="AJ193" t="n">
        <v>4</v>
      </c>
      <c r="AK193" t="n">
        <v>4</v>
      </c>
      <c r="AL193" t="n">
        <v>0</v>
      </c>
      <c r="AM193" t="n">
        <v>0</v>
      </c>
      <c r="AN193" t="n">
        <v>0</v>
      </c>
      <c r="AO193" t="n">
        <v>0</v>
      </c>
      <c r="AP193" t="inlineStr">
        <is>
          <t>No</t>
        </is>
      </c>
      <c r="AQ193" t="inlineStr">
        <is>
          <t>Yes</t>
        </is>
      </c>
      <c r="AR193">
        <f>HYPERLINK("http://catalog.hathitrust.org/Record/007143620","HathiTrust Record")</f>
        <v/>
      </c>
      <c r="AS193">
        <f>HYPERLINK("https://creighton-primo.hosted.exlibrisgroup.com/primo-explore/search?tab=default_tab&amp;search_scope=EVERYTHING&amp;vid=01CRU&amp;lang=en_US&amp;offset=0&amp;query=any,contains,991004778339702656","Catalog Record")</f>
        <v/>
      </c>
      <c r="AT193">
        <f>HYPERLINK("http://www.worldcat.org/oclc/51728810","WorldCat Record")</f>
        <v/>
      </c>
      <c r="AU193" t="inlineStr">
        <is>
          <t>961124943:eng</t>
        </is>
      </c>
      <c r="AV193" t="inlineStr">
        <is>
          <t>51728810</t>
        </is>
      </c>
      <c r="AW193" t="inlineStr">
        <is>
          <t>991004778339702656</t>
        </is>
      </c>
      <c r="AX193" t="inlineStr">
        <is>
          <t>991004778339702656</t>
        </is>
      </c>
      <c r="AY193" t="inlineStr">
        <is>
          <t>2267532970002656</t>
        </is>
      </c>
      <c r="AZ193" t="inlineStr">
        <is>
          <t>BOOK</t>
        </is>
      </c>
      <c r="BB193" t="inlineStr">
        <is>
          <t>9781572735323</t>
        </is>
      </c>
      <c r="BC193" t="inlineStr">
        <is>
          <t>32285005189468</t>
        </is>
      </c>
      <c r="BD193" t="inlineStr">
        <is>
          <t>893606464</t>
        </is>
      </c>
    </row>
    <row r="194">
      <c r="A194" t="inlineStr">
        <is>
          <t>No</t>
        </is>
      </c>
      <c r="B194" t="inlineStr">
        <is>
          <t>PE1404 .E437 1998</t>
        </is>
      </c>
      <c r="C194" t="inlineStr">
        <is>
          <t>0                      PE 1404000E  437         1998</t>
        </is>
      </c>
      <c r="D194" t="inlineStr">
        <is>
          <t>Electronic communication across the curriculum / edited by Donna Reiss, Dickie Selfe, Art Young.</t>
        </is>
      </c>
      <c r="F194" t="inlineStr">
        <is>
          <t>No</t>
        </is>
      </c>
      <c r="G194" t="inlineStr">
        <is>
          <t>1</t>
        </is>
      </c>
      <c r="H194" t="inlineStr">
        <is>
          <t>No</t>
        </is>
      </c>
      <c r="I194" t="inlineStr">
        <is>
          <t>No</t>
        </is>
      </c>
      <c r="J194" t="inlineStr">
        <is>
          <t>0</t>
        </is>
      </c>
      <c r="L194" t="inlineStr">
        <is>
          <t>Urbana, Ill. : National Council of Teachers of English, c1998.</t>
        </is>
      </c>
      <c r="M194" t="inlineStr">
        <is>
          <t>1998</t>
        </is>
      </c>
      <c r="O194" t="inlineStr">
        <is>
          <t>eng</t>
        </is>
      </c>
      <c r="P194" t="inlineStr">
        <is>
          <t>ilu</t>
        </is>
      </c>
      <c r="R194" t="inlineStr">
        <is>
          <t xml:space="preserve">PE </t>
        </is>
      </c>
      <c r="S194" t="n">
        <v>2</v>
      </c>
      <c r="T194" t="n">
        <v>2</v>
      </c>
      <c r="U194" t="inlineStr">
        <is>
          <t>1998-12-22</t>
        </is>
      </c>
      <c r="V194" t="inlineStr">
        <is>
          <t>1998-12-22</t>
        </is>
      </c>
      <c r="W194" t="inlineStr">
        <is>
          <t>1998-08-04</t>
        </is>
      </c>
      <c r="X194" t="inlineStr">
        <is>
          <t>1998-08-04</t>
        </is>
      </c>
      <c r="Y194" t="n">
        <v>246</v>
      </c>
      <c r="Z194" t="n">
        <v>228</v>
      </c>
      <c r="AA194" t="n">
        <v>281</v>
      </c>
      <c r="AB194" t="n">
        <v>3</v>
      </c>
      <c r="AC194" t="n">
        <v>4</v>
      </c>
      <c r="AD194" t="n">
        <v>14</v>
      </c>
      <c r="AE194" t="n">
        <v>17</v>
      </c>
      <c r="AF194" t="n">
        <v>7</v>
      </c>
      <c r="AG194" t="n">
        <v>7</v>
      </c>
      <c r="AH194" t="n">
        <v>2</v>
      </c>
      <c r="AI194" t="n">
        <v>3</v>
      </c>
      <c r="AJ194" t="n">
        <v>6</v>
      </c>
      <c r="AK194" t="n">
        <v>7</v>
      </c>
      <c r="AL194" t="n">
        <v>2</v>
      </c>
      <c r="AM194" t="n">
        <v>3</v>
      </c>
      <c r="AN194" t="n">
        <v>0</v>
      </c>
      <c r="AO194" t="n">
        <v>0</v>
      </c>
      <c r="AP194" t="inlineStr">
        <is>
          <t>No</t>
        </is>
      </c>
      <c r="AQ194" t="inlineStr">
        <is>
          <t>Yes</t>
        </is>
      </c>
      <c r="AR194">
        <f>HYPERLINK("http://catalog.hathitrust.org/Record/007135905","HathiTrust Record")</f>
        <v/>
      </c>
      <c r="AS194">
        <f>HYPERLINK("https://creighton-primo.hosted.exlibrisgroup.com/primo-explore/search?tab=default_tab&amp;search_scope=EVERYTHING&amp;vid=01CRU&amp;lang=en_US&amp;offset=0&amp;query=any,contains,991002890989702656","Catalog Record")</f>
        <v/>
      </c>
      <c r="AT194">
        <f>HYPERLINK("http://www.worldcat.org/oclc/38090899","WorldCat Record")</f>
        <v/>
      </c>
      <c r="AU194" t="inlineStr">
        <is>
          <t>476723787:eng</t>
        </is>
      </c>
      <c r="AV194" t="inlineStr">
        <is>
          <t>38090899</t>
        </is>
      </c>
      <c r="AW194" t="inlineStr">
        <is>
          <t>991002890989702656</t>
        </is>
      </c>
      <c r="AX194" t="inlineStr">
        <is>
          <t>991002890989702656</t>
        </is>
      </c>
      <c r="AY194" t="inlineStr">
        <is>
          <t>2272592720002656</t>
        </is>
      </c>
      <c r="AZ194" t="inlineStr">
        <is>
          <t>BOOK</t>
        </is>
      </c>
      <c r="BB194" t="inlineStr">
        <is>
          <t>9780814113080</t>
        </is>
      </c>
      <c r="BC194" t="inlineStr">
        <is>
          <t>32285003448718</t>
        </is>
      </c>
      <c r="BD194" t="inlineStr">
        <is>
          <t>893591922</t>
        </is>
      </c>
    </row>
    <row r="195">
      <c r="A195" t="inlineStr">
        <is>
          <t>No</t>
        </is>
      </c>
      <c r="B195" t="inlineStr">
        <is>
          <t>PE1404 .E44 1997</t>
        </is>
      </c>
      <c r="C195" t="inlineStr">
        <is>
          <t>0                      PE 1404000E  44          1997</t>
        </is>
      </c>
      <c r="D195" t="inlineStr">
        <is>
          <t>Elements of alternate style : essays on writing and revision / edited by Wendy Bishop.</t>
        </is>
      </c>
      <c r="F195" t="inlineStr">
        <is>
          <t>No</t>
        </is>
      </c>
      <c r="G195" t="inlineStr">
        <is>
          <t>1</t>
        </is>
      </c>
      <c r="H195" t="inlineStr">
        <is>
          <t>No</t>
        </is>
      </c>
      <c r="I195" t="inlineStr">
        <is>
          <t>No</t>
        </is>
      </c>
      <c r="J195" t="inlineStr">
        <is>
          <t>0</t>
        </is>
      </c>
      <c r="L195" t="inlineStr">
        <is>
          <t>Portsmouth, NH : Boynton/Cook Publishers, c1997.</t>
        </is>
      </c>
      <c r="M195" t="inlineStr">
        <is>
          <t>1997</t>
        </is>
      </c>
      <c r="O195" t="inlineStr">
        <is>
          <t>eng</t>
        </is>
      </c>
      <c r="P195" t="inlineStr">
        <is>
          <t>nhu</t>
        </is>
      </c>
      <c r="R195" t="inlineStr">
        <is>
          <t xml:space="preserve">PE </t>
        </is>
      </c>
      <c r="S195" t="n">
        <v>3</v>
      </c>
      <c r="T195" t="n">
        <v>3</v>
      </c>
      <c r="U195" t="inlineStr">
        <is>
          <t>1999-12-16</t>
        </is>
      </c>
      <c r="V195" t="inlineStr">
        <is>
          <t>1999-12-16</t>
        </is>
      </c>
      <c r="W195" t="inlineStr">
        <is>
          <t>1997-04-21</t>
        </is>
      </c>
      <c r="X195" t="inlineStr">
        <is>
          <t>1997-04-21</t>
        </is>
      </c>
      <c r="Y195" t="n">
        <v>206</v>
      </c>
      <c r="Z195" t="n">
        <v>189</v>
      </c>
      <c r="AA195" t="n">
        <v>191</v>
      </c>
      <c r="AB195" t="n">
        <v>3</v>
      </c>
      <c r="AC195" t="n">
        <v>3</v>
      </c>
      <c r="AD195" t="n">
        <v>10</v>
      </c>
      <c r="AE195" t="n">
        <v>10</v>
      </c>
      <c r="AF195" t="n">
        <v>3</v>
      </c>
      <c r="AG195" t="n">
        <v>3</v>
      </c>
      <c r="AH195" t="n">
        <v>4</v>
      </c>
      <c r="AI195" t="n">
        <v>4</v>
      </c>
      <c r="AJ195" t="n">
        <v>4</v>
      </c>
      <c r="AK195" t="n">
        <v>4</v>
      </c>
      <c r="AL195" t="n">
        <v>2</v>
      </c>
      <c r="AM195" t="n">
        <v>2</v>
      </c>
      <c r="AN195" t="n">
        <v>0</v>
      </c>
      <c r="AO195" t="n">
        <v>0</v>
      </c>
      <c r="AP195" t="inlineStr">
        <is>
          <t>No</t>
        </is>
      </c>
      <c r="AQ195" t="inlineStr">
        <is>
          <t>Yes</t>
        </is>
      </c>
      <c r="AR195">
        <f>HYPERLINK("http://catalog.hathitrust.org/Record/003980414","HathiTrust Record")</f>
        <v/>
      </c>
      <c r="AS195">
        <f>HYPERLINK("https://creighton-primo.hosted.exlibrisgroup.com/primo-explore/search?tab=default_tab&amp;search_scope=EVERYTHING&amp;vid=01CRU&amp;lang=en_US&amp;offset=0&amp;query=any,contains,991002763109702656","Catalog Record")</f>
        <v/>
      </c>
      <c r="AT195">
        <f>HYPERLINK("http://www.worldcat.org/oclc/36246027","WorldCat Record")</f>
        <v/>
      </c>
      <c r="AU195" t="inlineStr">
        <is>
          <t>639016:eng</t>
        </is>
      </c>
      <c r="AV195" t="inlineStr">
        <is>
          <t>36246027</t>
        </is>
      </c>
      <c r="AW195" t="inlineStr">
        <is>
          <t>991002763109702656</t>
        </is>
      </c>
      <c r="AX195" t="inlineStr">
        <is>
          <t>991002763109702656</t>
        </is>
      </c>
      <c r="AY195" t="inlineStr">
        <is>
          <t>2264684340002656</t>
        </is>
      </c>
      <c r="AZ195" t="inlineStr">
        <is>
          <t>BOOK</t>
        </is>
      </c>
      <c r="BB195" t="inlineStr">
        <is>
          <t>9780867094237</t>
        </is>
      </c>
      <c r="BC195" t="inlineStr">
        <is>
          <t>32285002499134</t>
        </is>
      </c>
      <c r="BD195" t="inlineStr">
        <is>
          <t>893704482</t>
        </is>
      </c>
    </row>
    <row r="196">
      <c r="A196" t="inlineStr">
        <is>
          <t>No</t>
        </is>
      </c>
      <c r="B196" t="inlineStr">
        <is>
          <t>PE1404 .E9</t>
        </is>
      </c>
      <c r="C196" t="inlineStr">
        <is>
          <t>0                      PE 1404000E  9</t>
        </is>
      </c>
      <c r="D196" t="inlineStr">
        <is>
          <t>Evaluating writing : describing, measuring, judging / [edited by] Charles R. Cooper and Lee Odell.</t>
        </is>
      </c>
      <c r="F196" t="inlineStr">
        <is>
          <t>No</t>
        </is>
      </c>
      <c r="G196" t="inlineStr">
        <is>
          <t>1</t>
        </is>
      </c>
      <c r="H196" t="inlineStr">
        <is>
          <t>No</t>
        </is>
      </c>
      <c r="I196" t="inlineStr">
        <is>
          <t>No</t>
        </is>
      </c>
      <c r="J196" t="inlineStr">
        <is>
          <t>0</t>
        </is>
      </c>
      <c r="L196" t="inlineStr">
        <is>
          <t>Urbana : National Council of Teachers of English, c1977.</t>
        </is>
      </c>
      <c r="M196" t="inlineStr">
        <is>
          <t>1977</t>
        </is>
      </c>
      <c r="O196" t="inlineStr">
        <is>
          <t>eng</t>
        </is>
      </c>
      <c r="P196" t="inlineStr">
        <is>
          <t>ilu</t>
        </is>
      </c>
      <c r="R196" t="inlineStr">
        <is>
          <t xml:space="preserve">PE </t>
        </is>
      </c>
      <c r="S196" t="n">
        <v>1</v>
      </c>
      <c r="T196" t="n">
        <v>1</v>
      </c>
      <c r="U196" t="inlineStr">
        <is>
          <t>1993-01-28</t>
        </is>
      </c>
      <c r="V196" t="inlineStr">
        <is>
          <t>1993-01-28</t>
        </is>
      </c>
      <c r="W196" t="inlineStr">
        <is>
          <t>1991-08-09</t>
        </is>
      </c>
      <c r="X196" t="inlineStr">
        <is>
          <t>1991-08-09</t>
        </is>
      </c>
      <c r="Y196" t="n">
        <v>784</v>
      </c>
      <c r="Z196" t="n">
        <v>692</v>
      </c>
      <c r="AA196" t="n">
        <v>717</v>
      </c>
      <c r="AB196" t="n">
        <v>7</v>
      </c>
      <c r="AC196" t="n">
        <v>7</v>
      </c>
      <c r="AD196" t="n">
        <v>30</v>
      </c>
      <c r="AE196" t="n">
        <v>33</v>
      </c>
      <c r="AF196" t="n">
        <v>10</v>
      </c>
      <c r="AG196" t="n">
        <v>13</v>
      </c>
      <c r="AH196" t="n">
        <v>6</v>
      </c>
      <c r="AI196" t="n">
        <v>6</v>
      </c>
      <c r="AJ196" t="n">
        <v>13</v>
      </c>
      <c r="AK196" t="n">
        <v>14</v>
      </c>
      <c r="AL196" t="n">
        <v>6</v>
      </c>
      <c r="AM196" t="n">
        <v>6</v>
      </c>
      <c r="AN196" t="n">
        <v>0</v>
      </c>
      <c r="AO196" t="n">
        <v>0</v>
      </c>
      <c r="AP196" t="inlineStr">
        <is>
          <t>No</t>
        </is>
      </c>
      <c r="AQ196" t="inlineStr">
        <is>
          <t>Yes</t>
        </is>
      </c>
      <c r="AR196">
        <f>HYPERLINK("http://catalog.hathitrust.org/Record/000295575","HathiTrust Record")</f>
        <v/>
      </c>
      <c r="AS196">
        <f>HYPERLINK("https://creighton-primo.hosted.exlibrisgroup.com/primo-explore/search?tab=default_tab&amp;search_scope=EVERYTHING&amp;vid=01CRU&amp;lang=en_US&amp;offset=0&amp;query=any,contains,991004381809702656","Catalog Record")</f>
        <v/>
      </c>
      <c r="AT196">
        <f>HYPERLINK("http://www.worldcat.org/oclc/3223738","WorldCat Record")</f>
        <v/>
      </c>
      <c r="AU196" t="inlineStr">
        <is>
          <t>864497060:eng</t>
        </is>
      </c>
      <c r="AV196" t="inlineStr">
        <is>
          <t>3223738</t>
        </is>
      </c>
      <c r="AW196" t="inlineStr">
        <is>
          <t>991004381809702656</t>
        </is>
      </c>
      <c r="AX196" t="inlineStr">
        <is>
          <t>991004381809702656</t>
        </is>
      </c>
      <c r="AY196" t="inlineStr">
        <is>
          <t>2259019310002656</t>
        </is>
      </c>
      <c r="AZ196" t="inlineStr">
        <is>
          <t>BOOK</t>
        </is>
      </c>
      <c r="BB196" t="inlineStr">
        <is>
          <t>9780814116227</t>
        </is>
      </c>
      <c r="BC196" t="inlineStr">
        <is>
          <t>32285000681139</t>
        </is>
      </c>
      <c r="BD196" t="inlineStr">
        <is>
          <t>893319153</t>
        </is>
      </c>
    </row>
    <row r="197">
      <c r="A197" t="inlineStr">
        <is>
          <t>No</t>
        </is>
      </c>
      <c r="B197" t="inlineStr">
        <is>
          <t>PE1404 .G355 2002</t>
        </is>
      </c>
      <c r="C197" t="inlineStr">
        <is>
          <t>0                      PE 1404000G  355         2002</t>
        </is>
      </c>
      <c r="D197" t="inlineStr">
        <is>
          <t>Radical departures : composition and progressive pedagogy / Chris W. Gallagher.</t>
        </is>
      </c>
      <c r="F197" t="inlineStr">
        <is>
          <t>No</t>
        </is>
      </c>
      <c r="G197" t="inlineStr">
        <is>
          <t>1</t>
        </is>
      </c>
      <c r="H197" t="inlineStr">
        <is>
          <t>No</t>
        </is>
      </c>
      <c r="I197" t="inlineStr">
        <is>
          <t>No</t>
        </is>
      </c>
      <c r="J197" t="inlineStr">
        <is>
          <t>0</t>
        </is>
      </c>
      <c r="K197" t="inlineStr">
        <is>
          <t>Gallagher, Chris W.</t>
        </is>
      </c>
      <c r="L197" t="inlineStr">
        <is>
          <t>Urbana, Ill. : National Council of Teachers of English, c2002.</t>
        </is>
      </c>
      <c r="M197" t="inlineStr">
        <is>
          <t>2002</t>
        </is>
      </c>
      <c r="O197" t="inlineStr">
        <is>
          <t>eng</t>
        </is>
      </c>
      <c r="P197" t="inlineStr">
        <is>
          <t>ilu</t>
        </is>
      </c>
      <c r="Q197" t="inlineStr">
        <is>
          <t>Refiguring English studies, 1073-9637</t>
        </is>
      </c>
      <c r="R197" t="inlineStr">
        <is>
          <t xml:space="preserve">PE </t>
        </is>
      </c>
      <c r="S197" t="n">
        <v>5</v>
      </c>
      <c r="T197" t="n">
        <v>5</v>
      </c>
      <c r="U197" t="inlineStr">
        <is>
          <t>2006-02-25</t>
        </is>
      </c>
      <c r="V197" t="inlineStr">
        <is>
          <t>2006-02-25</t>
        </is>
      </c>
      <c r="W197" t="inlineStr">
        <is>
          <t>2003-05-12</t>
        </is>
      </c>
      <c r="X197" t="inlineStr">
        <is>
          <t>2003-05-12</t>
        </is>
      </c>
      <c r="Y197" t="n">
        <v>154</v>
      </c>
      <c r="Z197" t="n">
        <v>141</v>
      </c>
      <c r="AA197" t="n">
        <v>145</v>
      </c>
      <c r="AB197" t="n">
        <v>3</v>
      </c>
      <c r="AC197" t="n">
        <v>3</v>
      </c>
      <c r="AD197" t="n">
        <v>9</v>
      </c>
      <c r="AE197" t="n">
        <v>9</v>
      </c>
      <c r="AF197" t="n">
        <v>4</v>
      </c>
      <c r="AG197" t="n">
        <v>4</v>
      </c>
      <c r="AH197" t="n">
        <v>1</v>
      </c>
      <c r="AI197" t="n">
        <v>1</v>
      </c>
      <c r="AJ197" t="n">
        <v>3</v>
      </c>
      <c r="AK197" t="n">
        <v>3</v>
      </c>
      <c r="AL197" t="n">
        <v>2</v>
      </c>
      <c r="AM197" t="n">
        <v>2</v>
      </c>
      <c r="AN197" t="n">
        <v>0</v>
      </c>
      <c r="AO197" t="n">
        <v>0</v>
      </c>
      <c r="AP197" t="inlineStr">
        <is>
          <t>No</t>
        </is>
      </c>
      <c r="AQ197" t="inlineStr">
        <is>
          <t>Yes</t>
        </is>
      </c>
      <c r="AR197">
        <f>HYPERLINK("http://catalog.hathitrust.org/Record/007141462","HathiTrust Record")</f>
        <v/>
      </c>
      <c r="AS197">
        <f>HYPERLINK("https://creighton-primo.hosted.exlibrisgroup.com/primo-explore/search?tab=default_tab&amp;search_scope=EVERYTHING&amp;vid=01CRU&amp;lang=en_US&amp;offset=0&amp;query=any,contains,991004031229702656","Catalog Record")</f>
        <v/>
      </c>
      <c r="AT197">
        <f>HYPERLINK("http://www.worldcat.org/oclc/48399135","WorldCat Record")</f>
        <v/>
      </c>
      <c r="AU197" t="inlineStr">
        <is>
          <t>333924663:eng</t>
        </is>
      </c>
      <c r="AV197" t="inlineStr">
        <is>
          <t>48399135</t>
        </is>
      </c>
      <c r="AW197" t="inlineStr">
        <is>
          <t>991004031229702656</t>
        </is>
      </c>
      <c r="AX197" t="inlineStr">
        <is>
          <t>991004031229702656</t>
        </is>
      </c>
      <c r="AY197" t="inlineStr">
        <is>
          <t>2272124600002656</t>
        </is>
      </c>
      <c r="AZ197" t="inlineStr">
        <is>
          <t>BOOK</t>
        </is>
      </c>
      <c r="BB197" t="inlineStr">
        <is>
          <t>9780814138168</t>
        </is>
      </c>
      <c r="BC197" t="inlineStr">
        <is>
          <t>32285004745443</t>
        </is>
      </c>
      <c r="BD197" t="inlineStr">
        <is>
          <t>893781775</t>
        </is>
      </c>
    </row>
    <row r="198">
      <c r="A198" t="inlineStr">
        <is>
          <t>No</t>
        </is>
      </c>
      <c r="B198" t="inlineStr">
        <is>
          <t>PE1404 .G65 1996</t>
        </is>
      </c>
      <c r="C198" t="inlineStr">
        <is>
          <t>0                      PE 1404000G  65          1996</t>
        </is>
      </c>
      <c r="D198" t="inlineStr">
        <is>
          <t>Theory and practice of writing : an applied linguistic perspective / William Grabe and Robert B. Kaplan.</t>
        </is>
      </c>
      <c r="F198" t="inlineStr">
        <is>
          <t>No</t>
        </is>
      </c>
      <c r="G198" t="inlineStr">
        <is>
          <t>1</t>
        </is>
      </c>
      <c r="H198" t="inlineStr">
        <is>
          <t>No</t>
        </is>
      </c>
      <c r="I198" t="inlineStr">
        <is>
          <t>No</t>
        </is>
      </c>
      <c r="J198" t="inlineStr">
        <is>
          <t>0</t>
        </is>
      </c>
      <c r="K198" t="inlineStr">
        <is>
          <t>Grabe, William.</t>
        </is>
      </c>
      <c r="L198" t="inlineStr">
        <is>
          <t>London ; New York : Longman, 1996.</t>
        </is>
      </c>
      <c r="M198" t="inlineStr">
        <is>
          <t>1996</t>
        </is>
      </c>
      <c r="O198" t="inlineStr">
        <is>
          <t>eng</t>
        </is>
      </c>
      <c r="P198" t="inlineStr">
        <is>
          <t>enk</t>
        </is>
      </c>
      <c r="Q198" t="inlineStr">
        <is>
          <t>Applied linguistics and language study</t>
        </is>
      </c>
      <c r="R198" t="inlineStr">
        <is>
          <t xml:space="preserve">PE </t>
        </is>
      </c>
      <c r="S198" t="n">
        <v>2</v>
      </c>
      <c r="T198" t="n">
        <v>2</v>
      </c>
      <c r="U198" t="inlineStr">
        <is>
          <t>2001-06-20</t>
        </is>
      </c>
      <c r="V198" t="inlineStr">
        <is>
          <t>2001-06-20</t>
        </is>
      </c>
      <c r="W198" t="inlineStr">
        <is>
          <t>1997-01-14</t>
        </is>
      </c>
      <c r="X198" t="inlineStr">
        <is>
          <t>1997-01-14</t>
        </is>
      </c>
      <c r="Y198" t="n">
        <v>366</v>
      </c>
      <c r="Z198" t="n">
        <v>190</v>
      </c>
      <c r="AA198" t="n">
        <v>215</v>
      </c>
      <c r="AB198" t="n">
        <v>2</v>
      </c>
      <c r="AC198" t="n">
        <v>2</v>
      </c>
      <c r="AD198" t="n">
        <v>9</v>
      </c>
      <c r="AE198" t="n">
        <v>9</v>
      </c>
      <c r="AF198" t="n">
        <v>1</v>
      </c>
      <c r="AG198" t="n">
        <v>1</v>
      </c>
      <c r="AH198" t="n">
        <v>4</v>
      </c>
      <c r="AI198" t="n">
        <v>4</v>
      </c>
      <c r="AJ198" t="n">
        <v>5</v>
      </c>
      <c r="AK198" t="n">
        <v>5</v>
      </c>
      <c r="AL198" t="n">
        <v>1</v>
      </c>
      <c r="AM198" t="n">
        <v>1</v>
      </c>
      <c r="AN198" t="n">
        <v>0</v>
      </c>
      <c r="AO198" t="n">
        <v>0</v>
      </c>
      <c r="AP198" t="inlineStr">
        <is>
          <t>No</t>
        </is>
      </c>
      <c r="AQ198" t="inlineStr">
        <is>
          <t>Yes</t>
        </is>
      </c>
      <c r="AR198">
        <f>HYPERLINK("http://catalog.hathitrust.org/Record/003115587","HathiTrust Record")</f>
        <v/>
      </c>
      <c r="AS198">
        <f>HYPERLINK("https://creighton-primo.hosted.exlibrisgroup.com/primo-explore/search?tab=default_tab&amp;search_scope=EVERYTHING&amp;vid=01CRU&amp;lang=en_US&amp;offset=0&amp;query=any,contains,991002669179702656","Catalog Record")</f>
        <v/>
      </c>
      <c r="AT198">
        <f>HYPERLINK("http://www.worldcat.org/oclc/34912688","WorldCat Record")</f>
        <v/>
      </c>
      <c r="AU198" t="inlineStr">
        <is>
          <t>321787489:eng</t>
        </is>
      </c>
      <c r="AV198" t="inlineStr">
        <is>
          <t>34912688</t>
        </is>
      </c>
      <c r="AW198" t="inlineStr">
        <is>
          <t>991002669179702656</t>
        </is>
      </c>
      <c r="AX198" t="inlineStr">
        <is>
          <t>991002669179702656</t>
        </is>
      </c>
      <c r="AY198" t="inlineStr">
        <is>
          <t>2258882690002656</t>
        </is>
      </c>
      <c r="AZ198" t="inlineStr">
        <is>
          <t>BOOK</t>
        </is>
      </c>
      <c r="BB198" t="inlineStr">
        <is>
          <t>9780582553835</t>
        </is>
      </c>
      <c r="BC198" t="inlineStr">
        <is>
          <t>32285002407517</t>
        </is>
      </c>
      <c r="BD198" t="inlineStr">
        <is>
          <t>893257558</t>
        </is>
      </c>
    </row>
    <row r="199">
      <c r="A199" t="inlineStr">
        <is>
          <t>No</t>
        </is>
      </c>
      <c r="B199" t="inlineStr">
        <is>
          <t>PE1404 .G68 1984</t>
        </is>
      </c>
      <c r="C199" t="inlineStr">
        <is>
          <t>0                      PE 1404000G  68          1984</t>
        </is>
      </c>
      <c r="D199" t="inlineStr">
        <is>
          <t>A researcher learns to write : selected articles and monographs / Donald H. Graves.</t>
        </is>
      </c>
      <c r="F199" t="inlineStr">
        <is>
          <t>No</t>
        </is>
      </c>
      <c r="G199" t="inlineStr">
        <is>
          <t>1</t>
        </is>
      </c>
      <c r="H199" t="inlineStr">
        <is>
          <t>No</t>
        </is>
      </c>
      <c r="I199" t="inlineStr">
        <is>
          <t>No</t>
        </is>
      </c>
      <c r="J199" t="inlineStr">
        <is>
          <t>0</t>
        </is>
      </c>
      <c r="K199" t="inlineStr">
        <is>
          <t>Graves, Donald H.</t>
        </is>
      </c>
      <c r="L199" t="inlineStr">
        <is>
          <t>Exeter, N.H. : Heinemann Educational Books, 1984.</t>
        </is>
      </c>
      <c r="M199" t="inlineStr">
        <is>
          <t>1984</t>
        </is>
      </c>
      <c r="O199" t="inlineStr">
        <is>
          <t>eng</t>
        </is>
      </c>
      <c r="P199" t="inlineStr">
        <is>
          <t>nhu</t>
        </is>
      </c>
      <c r="R199" t="inlineStr">
        <is>
          <t xml:space="preserve">PE </t>
        </is>
      </c>
      <c r="S199" t="n">
        <v>3</v>
      </c>
      <c r="T199" t="n">
        <v>3</v>
      </c>
      <c r="U199" t="inlineStr">
        <is>
          <t>1997-05-03</t>
        </is>
      </c>
      <c r="V199" t="inlineStr">
        <is>
          <t>1997-05-03</t>
        </is>
      </c>
      <c r="W199" t="inlineStr">
        <is>
          <t>1992-03-03</t>
        </is>
      </c>
      <c r="X199" t="inlineStr">
        <is>
          <t>1992-03-03</t>
        </is>
      </c>
      <c r="Y199" t="n">
        <v>522</v>
      </c>
      <c r="Z199" t="n">
        <v>420</v>
      </c>
      <c r="AA199" t="n">
        <v>420</v>
      </c>
      <c r="AB199" t="n">
        <v>6</v>
      </c>
      <c r="AC199" t="n">
        <v>6</v>
      </c>
      <c r="AD199" t="n">
        <v>20</v>
      </c>
      <c r="AE199" t="n">
        <v>20</v>
      </c>
      <c r="AF199" t="n">
        <v>6</v>
      </c>
      <c r="AG199" t="n">
        <v>6</v>
      </c>
      <c r="AH199" t="n">
        <v>4</v>
      </c>
      <c r="AI199" t="n">
        <v>4</v>
      </c>
      <c r="AJ199" t="n">
        <v>9</v>
      </c>
      <c r="AK199" t="n">
        <v>9</v>
      </c>
      <c r="AL199" t="n">
        <v>5</v>
      </c>
      <c r="AM199" t="n">
        <v>5</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HYPERLINK("https://creighton-primo.hosted.exlibrisgroup.com/primo-explore/search?tab=default_tab&amp;search_scope=EVERYTHING&amp;vid=01CRU&amp;lang=en_US&amp;offset=0&amp;query=any,contains,991000398139702656","Catalog Record")</f>
        <v/>
      </c>
      <c r="AT199">
        <f>HYPERLINK("http://www.worldcat.org/oclc/10605249","WorldCat Record")</f>
        <v/>
      </c>
      <c r="AU199" t="inlineStr">
        <is>
          <t>836660115:eng</t>
        </is>
      </c>
      <c r="AV199" t="inlineStr">
        <is>
          <t>10605249</t>
        </is>
      </c>
      <c r="AW199" t="inlineStr">
        <is>
          <t>991000398139702656</t>
        </is>
      </c>
      <c r="AX199" t="inlineStr">
        <is>
          <t>991000398139702656</t>
        </is>
      </c>
      <c r="AY199" t="inlineStr">
        <is>
          <t>2258869550002656</t>
        </is>
      </c>
      <c r="AZ199" t="inlineStr">
        <is>
          <t>BOOK</t>
        </is>
      </c>
      <c r="BB199" t="inlineStr">
        <is>
          <t>9780435082130</t>
        </is>
      </c>
      <c r="BC199" t="inlineStr">
        <is>
          <t>32285000990845</t>
        </is>
      </c>
      <c r="BD199" t="inlineStr">
        <is>
          <t>893626292</t>
        </is>
      </c>
    </row>
    <row r="200">
      <c r="A200" t="inlineStr">
        <is>
          <t>No</t>
        </is>
      </c>
      <c r="B200" t="inlineStr">
        <is>
          <t>PE1404 .H39 1991</t>
        </is>
      </c>
      <c r="C200" t="inlineStr">
        <is>
          <t>0                      PE 1404000H  39          1991</t>
        </is>
      </c>
      <c r="D200" t="inlineStr">
        <is>
          <t>Gaining ground in college writing : tales of development and interpretation / Richard H. Haswell.</t>
        </is>
      </c>
      <c r="F200" t="inlineStr">
        <is>
          <t>No</t>
        </is>
      </c>
      <c r="G200" t="inlineStr">
        <is>
          <t>1</t>
        </is>
      </c>
      <c r="H200" t="inlineStr">
        <is>
          <t>No</t>
        </is>
      </c>
      <c r="I200" t="inlineStr">
        <is>
          <t>No</t>
        </is>
      </c>
      <c r="J200" t="inlineStr">
        <is>
          <t>0</t>
        </is>
      </c>
      <c r="K200" t="inlineStr">
        <is>
          <t>Haswell, Richard H.</t>
        </is>
      </c>
      <c r="L200" t="inlineStr">
        <is>
          <t>Dallas, Tex. : Southern Methodist University Press, 1991.</t>
        </is>
      </c>
      <c r="M200" t="inlineStr">
        <is>
          <t>1991</t>
        </is>
      </c>
      <c r="N200" t="inlineStr">
        <is>
          <t>1st ed.</t>
        </is>
      </c>
      <c r="O200" t="inlineStr">
        <is>
          <t>eng</t>
        </is>
      </c>
      <c r="P200" t="inlineStr">
        <is>
          <t>txu</t>
        </is>
      </c>
      <c r="Q200" t="inlineStr">
        <is>
          <t>SMU studies in composition and rhetoric</t>
        </is>
      </c>
      <c r="R200" t="inlineStr">
        <is>
          <t xml:space="preserve">PE </t>
        </is>
      </c>
      <c r="S200" t="n">
        <v>8</v>
      </c>
      <c r="T200" t="n">
        <v>8</v>
      </c>
      <c r="U200" t="inlineStr">
        <is>
          <t>2001-04-19</t>
        </is>
      </c>
      <c r="V200" t="inlineStr">
        <is>
          <t>2001-04-19</t>
        </is>
      </c>
      <c r="W200" t="inlineStr">
        <is>
          <t>1993-08-16</t>
        </is>
      </c>
      <c r="X200" t="inlineStr">
        <is>
          <t>1993-08-16</t>
        </is>
      </c>
      <c r="Y200" t="n">
        <v>458</v>
      </c>
      <c r="Z200" t="n">
        <v>432</v>
      </c>
      <c r="AA200" t="n">
        <v>438</v>
      </c>
      <c r="AB200" t="n">
        <v>3</v>
      </c>
      <c r="AC200" t="n">
        <v>3</v>
      </c>
      <c r="AD200" t="n">
        <v>24</v>
      </c>
      <c r="AE200" t="n">
        <v>24</v>
      </c>
      <c r="AF200" t="n">
        <v>11</v>
      </c>
      <c r="AG200" t="n">
        <v>11</v>
      </c>
      <c r="AH200" t="n">
        <v>5</v>
      </c>
      <c r="AI200" t="n">
        <v>5</v>
      </c>
      <c r="AJ200" t="n">
        <v>10</v>
      </c>
      <c r="AK200" t="n">
        <v>10</v>
      </c>
      <c r="AL200" t="n">
        <v>2</v>
      </c>
      <c r="AM200" t="n">
        <v>2</v>
      </c>
      <c r="AN200" t="n">
        <v>0</v>
      </c>
      <c r="AO200" t="n">
        <v>0</v>
      </c>
      <c r="AP200" t="inlineStr">
        <is>
          <t>No</t>
        </is>
      </c>
      <c r="AQ200" t="inlineStr">
        <is>
          <t>Yes</t>
        </is>
      </c>
      <c r="AR200">
        <f>HYPERLINK("http://catalog.hathitrust.org/Record/002536209","HathiTrust Record")</f>
        <v/>
      </c>
      <c r="AS200">
        <f>HYPERLINK("https://creighton-primo.hosted.exlibrisgroup.com/primo-explore/search?tab=default_tab&amp;search_scope=EVERYTHING&amp;vid=01CRU&amp;lang=en_US&amp;offset=0&amp;query=any,contains,991001867359702656","Catalog Record")</f>
        <v/>
      </c>
      <c r="AT200">
        <f>HYPERLINK("http://www.worldcat.org/oclc/23464548","WorldCat Record")</f>
        <v/>
      </c>
      <c r="AU200" t="inlineStr">
        <is>
          <t>373755383:eng</t>
        </is>
      </c>
      <c r="AV200" t="inlineStr">
        <is>
          <t>23464548</t>
        </is>
      </c>
      <c r="AW200" t="inlineStr">
        <is>
          <t>991001867359702656</t>
        </is>
      </c>
      <c r="AX200" t="inlineStr">
        <is>
          <t>991001867359702656</t>
        </is>
      </c>
      <c r="AY200" t="inlineStr">
        <is>
          <t>2258754090002656</t>
        </is>
      </c>
      <c r="AZ200" t="inlineStr">
        <is>
          <t>BOOK</t>
        </is>
      </c>
      <c r="BB200" t="inlineStr">
        <is>
          <t>9780870743238</t>
        </is>
      </c>
      <c r="BC200" t="inlineStr">
        <is>
          <t>32285001726602</t>
        </is>
      </c>
      <c r="BD200" t="inlineStr">
        <is>
          <t>893879253</t>
        </is>
      </c>
    </row>
    <row r="201">
      <c r="A201" t="inlineStr">
        <is>
          <t>No</t>
        </is>
      </c>
      <c r="B201" t="inlineStr">
        <is>
          <t>PE1404 .H396 1996</t>
        </is>
      </c>
      <c r="C201" t="inlineStr">
        <is>
          <t>0                      PE 1404000H  396         1996</t>
        </is>
      </c>
      <c r="D201" t="inlineStr">
        <is>
          <t>The essay : theory and pedagogy for an active form / Paul Heilker.</t>
        </is>
      </c>
      <c r="F201" t="inlineStr">
        <is>
          <t>No</t>
        </is>
      </c>
      <c r="G201" t="inlineStr">
        <is>
          <t>1</t>
        </is>
      </c>
      <c r="H201" t="inlineStr">
        <is>
          <t>No</t>
        </is>
      </c>
      <c r="I201" t="inlineStr">
        <is>
          <t>No</t>
        </is>
      </c>
      <c r="J201" t="inlineStr">
        <is>
          <t>0</t>
        </is>
      </c>
      <c r="K201" t="inlineStr">
        <is>
          <t>Heilker, Paul, 1962-</t>
        </is>
      </c>
      <c r="L201" t="inlineStr">
        <is>
          <t>Urbana, Ill. : National Council of Teachers of English, c1996.</t>
        </is>
      </c>
      <c r="M201" t="inlineStr">
        <is>
          <t>1996</t>
        </is>
      </c>
      <c r="O201" t="inlineStr">
        <is>
          <t>eng</t>
        </is>
      </c>
      <c r="P201" t="inlineStr">
        <is>
          <t>ilu</t>
        </is>
      </c>
      <c r="R201" t="inlineStr">
        <is>
          <t xml:space="preserve">PE </t>
        </is>
      </c>
      <c r="S201" t="n">
        <v>0</v>
      </c>
      <c r="T201" t="n">
        <v>0</v>
      </c>
      <c r="U201" t="inlineStr">
        <is>
          <t>2002-02-11</t>
        </is>
      </c>
      <c r="V201" t="inlineStr">
        <is>
          <t>2002-02-11</t>
        </is>
      </c>
      <c r="W201" t="inlineStr">
        <is>
          <t>1996-05-16</t>
        </is>
      </c>
      <c r="X201" t="inlineStr">
        <is>
          <t>1996-05-16</t>
        </is>
      </c>
      <c r="Y201" t="n">
        <v>333</v>
      </c>
      <c r="Z201" t="n">
        <v>305</v>
      </c>
      <c r="AA201" t="n">
        <v>314</v>
      </c>
      <c r="AB201" t="n">
        <v>2</v>
      </c>
      <c r="AC201" t="n">
        <v>2</v>
      </c>
      <c r="AD201" t="n">
        <v>16</v>
      </c>
      <c r="AE201" t="n">
        <v>16</v>
      </c>
      <c r="AF201" t="n">
        <v>6</v>
      </c>
      <c r="AG201" t="n">
        <v>6</v>
      </c>
      <c r="AH201" t="n">
        <v>5</v>
      </c>
      <c r="AI201" t="n">
        <v>5</v>
      </c>
      <c r="AJ201" t="n">
        <v>9</v>
      </c>
      <c r="AK201" t="n">
        <v>9</v>
      </c>
      <c r="AL201" t="n">
        <v>1</v>
      </c>
      <c r="AM201" t="n">
        <v>1</v>
      </c>
      <c r="AN201" t="n">
        <v>0</v>
      </c>
      <c r="AO201" t="n">
        <v>0</v>
      </c>
      <c r="AP201" t="inlineStr">
        <is>
          <t>No</t>
        </is>
      </c>
      <c r="AQ201" t="inlineStr">
        <is>
          <t>Yes</t>
        </is>
      </c>
      <c r="AR201">
        <f>HYPERLINK("http://catalog.hathitrust.org/Record/003854472","HathiTrust Record")</f>
        <v/>
      </c>
      <c r="AS201">
        <f>HYPERLINK("https://creighton-primo.hosted.exlibrisgroup.com/primo-explore/search?tab=default_tab&amp;search_scope=EVERYTHING&amp;vid=01CRU&amp;lang=en_US&amp;offset=0&amp;query=any,contains,991002603469702656","Catalog Record")</f>
        <v/>
      </c>
      <c r="AT201">
        <f>HYPERLINK("http://www.worldcat.org/oclc/34113147","WorldCat Record")</f>
        <v/>
      </c>
      <c r="AU201" t="inlineStr">
        <is>
          <t>2759328:eng</t>
        </is>
      </c>
      <c r="AV201" t="inlineStr">
        <is>
          <t>34113147</t>
        </is>
      </c>
      <c r="AW201" t="inlineStr">
        <is>
          <t>991002603469702656</t>
        </is>
      </c>
      <c r="AX201" t="inlineStr">
        <is>
          <t>991002603469702656</t>
        </is>
      </c>
      <c r="AY201" t="inlineStr">
        <is>
          <t>2265856080002656</t>
        </is>
      </c>
      <c r="AZ201" t="inlineStr">
        <is>
          <t>BOOK</t>
        </is>
      </c>
      <c r="BB201" t="inlineStr">
        <is>
          <t>9780814115848</t>
        </is>
      </c>
      <c r="BC201" t="inlineStr">
        <is>
          <t>32285002169224</t>
        </is>
      </c>
      <c r="BD201" t="inlineStr">
        <is>
          <t>893251432</t>
        </is>
      </c>
    </row>
    <row r="202">
      <c r="A202" t="inlineStr">
        <is>
          <t>No</t>
        </is>
      </c>
      <c r="B202" t="inlineStr">
        <is>
          <t>PE1404 .H534 1992</t>
        </is>
      </c>
      <c r="C202" t="inlineStr">
        <is>
          <t>0                      PE 1404000H  534         1992</t>
        </is>
      </c>
      <c r="D202" t="inlineStr">
        <is>
          <t>Making your writing program work : a guide to good practices / Thomas L. Hilgers, Joy Marsella.</t>
        </is>
      </c>
      <c r="F202" t="inlineStr">
        <is>
          <t>No</t>
        </is>
      </c>
      <c r="G202" t="inlineStr">
        <is>
          <t>1</t>
        </is>
      </c>
      <c r="H202" t="inlineStr">
        <is>
          <t>No</t>
        </is>
      </c>
      <c r="I202" t="inlineStr">
        <is>
          <t>No</t>
        </is>
      </c>
      <c r="J202" t="inlineStr">
        <is>
          <t>0</t>
        </is>
      </c>
      <c r="K202" t="inlineStr">
        <is>
          <t>Hilgers, Thomas, 1945-</t>
        </is>
      </c>
      <c r="L202" t="inlineStr">
        <is>
          <t>Newbury Park, Calif. : Sage Publications, c1992.</t>
        </is>
      </c>
      <c r="M202" t="inlineStr">
        <is>
          <t>1992</t>
        </is>
      </c>
      <c r="O202" t="inlineStr">
        <is>
          <t>eng</t>
        </is>
      </c>
      <c r="P202" t="inlineStr">
        <is>
          <t>cau</t>
        </is>
      </c>
      <c r="R202" t="inlineStr">
        <is>
          <t xml:space="preserve">PE </t>
        </is>
      </c>
      <c r="S202" t="n">
        <v>2</v>
      </c>
      <c r="T202" t="n">
        <v>2</v>
      </c>
      <c r="U202" t="inlineStr">
        <is>
          <t>1994-10-30</t>
        </is>
      </c>
      <c r="V202" t="inlineStr">
        <is>
          <t>1994-10-30</t>
        </is>
      </c>
      <c r="W202" t="inlineStr">
        <is>
          <t>1993-08-24</t>
        </is>
      </c>
      <c r="X202" t="inlineStr">
        <is>
          <t>1993-08-24</t>
        </is>
      </c>
      <c r="Y202" t="n">
        <v>150</v>
      </c>
      <c r="Z202" t="n">
        <v>114</v>
      </c>
      <c r="AA202" t="n">
        <v>116</v>
      </c>
      <c r="AB202" t="n">
        <v>3</v>
      </c>
      <c r="AC202" t="n">
        <v>3</v>
      </c>
      <c r="AD202" t="n">
        <v>6</v>
      </c>
      <c r="AE202" t="n">
        <v>6</v>
      </c>
      <c r="AF202" t="n">
        <v>1</v>
      </c>
      <c r="AG202" t="n">
        <v>1</v>
      </c>
      <c r="AH202" t="n">
        <v>2</v>
      </c>
      <c r="AI202" t="n">
        <v>2</v>
      </c>
      <c r="AJ202" t="n">
        <v>2</v>
      </c>
      <c r="AK202" t="n">
        <v>2</v>
      </c>
      <c r="AL202" t="n">
        <v>2</v>
      </c>
      <c r="AM202" t="n">
        <v>2</v>
      </c>
      <c r="AN202" t="n">
        <v>0</v>
      </c>
      <c r="AO202" t="n">
        <v>0</v>
      </c>
      <c r="AP202" t="inlineStr">
        <is>
          <t>No</t>
        </is>
      </c>
      <c r="AQ202" t="inlineStr">
        <is>
          <t>Yes</t>
        </is>
      </c>
      <c r="AR202">
        <f>HYPERLINK("http://catalog.hathitrust.org/Record/002608151","HathiTrust Record")</f>
        <v/>
      </c>
      <c r="AS202">
        <f>HYPERLINK("https://creighton-primo.hosted.exlibrisgroup.com/primo-explore/search?tab=default_tab&amp;search_scope=EVERYTHING&amp;vid=01CRU&amp;lang=en_US&amp;offset=0&amp;query=any,contains,991002062929702656","Catalog Record")</f>
        <v/>
      </c>
      <c r="AT202">
        <f>HYPERLINK("http://www.worldcat.org/oclc/26398375","WorldCat Record")</f>
        <v/>
      </c>
      <c r="AU202" t="inlineStr">
        <is>
          <t>836746178:eng</t>
        </is>
      </c>
      <c r="AV202" t="inlineStr">
        <is>
          <t>26398375</t>
        </is>
      </c>
      <c r="AW202" t="inlineStr">
        <is>
          <t>991002062929702656</t>
        </is>
      </c>
      <c r="AX202" t="inlineStr">
        <is>
          <t>991002062929702656</t>
        </is>
      </c>
      <c r="AY202" t="inlineStr">
        <is>
          <t>2263198530002656</t>
        </is>
      </c>
      <c r="AZ202" t="inlineStr">
        <is>
          <t>BOOK</t>
        </is>
      </c>
      <c r="BB202" t="inlineStr">
        <is>
          <t>9780803945746</t>
        </is>
      </c>
      <c r="BC202" t="inlineStr">
        <is>
          <t>32285001728293</t>
        </is>
      </c>
      <c r="BD202" t="inlineStr">
        <is>
          <t>893316331</t>
        </is>
      </c>
    </row>
    <row r="203">
      <c r="A203" t="inlineStr">
        <is>
          <t>No</t>
        </is>
      </c>
      <c r="B203" t="inlineStr">
        <is>
          <t>PE1404 .H55 1986</t>
        </is>
      </c>
      <c r="C203" t="inlineStr">
        <is>
          <t>0                      PE 1404000H  55          1986</t>
        </is>
      </c>
      <c r="D203" t="inlineStr">
        <is>
          <t>Research on written composition : new directions for teaching / George Hillocks, Jr.</t>
        </is>
      </c>
      <c r="F203" t="inlineStr">
        <is>
          <t>No</t>
        </is>
      </c>
      <c r="G203" t="inlineStr">
        <is>
          <t>1</t>
        </is>
      </c>
      <c r="H203" t="inlineStr">
        <is>
          <t>No</t>
        </is>
      </c>
      <c r="I203" t="inlineStr">
        <is>
          <t>No</t>
        </is>
      </c>
      <c r="J203" t="inlineStr">
        <is>
          <t>0</t>
        </is>
      </c>
      <c r="K203" t="inlineStr">
        <is>
          <t>Hillocks, George, Jr., 1934-</t>
        </is>
      </c>
      <c r="L203" t="inlineStr">
        <is>
          <t>[New York, N.Y.] : National Conference on Research in English ; Urbana, Ill. : ERIC Clearinghouse on Reading and Communication Skills, National Institute of Education, 1986.</t>
        </is>
      </c>
      <c r="M203" t="inlineStr">
        <is>
          <t>1986</t>
        </is>
      </c>
      <c r="O203" t="inlineStr">
        <is>
          <t>eng</t>
        </is>
      </c>
      <c r="P203" t="inlineStr">
        <is>
          <t>nyu</t>
        </is>
      </c>
      <c r="R203" t="inlineStr">
        <is>
          <t xml:space="preserve">PE </t>
        </is>
      </c>
      <c r="S203" t="n">
        <v>2</v>
      </c>
      <c r="T203" t="n">
        <v>2</v>
      </c>
      <c r="U203" t="inlineStr">
        <is>
          <t>1994-06-07</t>
        </is>
      </c>
      <c r="V203" t="inlineStr">
        <is>
          <t>1994-06-07</t>
        </is>
      </c>
      <c r="W203" t="inlineStr">
        <is>
          <t>1992-02-06</t>
        </is>
      </c>
      <c r="X203" t="inlineStr">
        <is>
          <t>1992-02-06</t>
        </is>
      </c>
      <c r="Y203" t="n">
        <v>666</v>
      </c>
      <c r="Z203" t="n">
        <v>587</v>
      </c>
      <c r="AA203" t="n">
        <v>608</v>
      </c>
      <c r="AB203" t="n">
        <v>8</v>
      </c>
      <c r="AC203" t="n">
        <v>8</v>
      </c>
      <c r="AD203" t="n">
        <v>32</v>
      </c>
      <c r="AE203" t="n">
        <v>32</v>
      </c>
      <c r="AF203" t="n">
        <v>12</v>
      </c>
      <c r="AG203" t="n">
        <v>12</v>
      </c>
      <c r="AH203" t="n">
        <v>6</v>
      </c>
      <c r="AI203" t="n">
        <v>6</v>
      </c>
      <c r="AJ203" t="n">
        <v>14</v>
      </c>
      <c r="AK203" t="n">
        <v>14</v>
      </c>
      <c r="AL203" t="n">
        <v>7</v>
      </c>
      <c r="AM203" t="n">
        <v>7</v>
      </c>
      <c r="AN203" t="n">
        <v>0</v>
      </c>
      <c r="AO203" t="n">
        <v>0</v>
      </c>
      <c r="AP203" t="inlineStr">
        <is>
          <t>Yes</t>
        </is>
      </c>
      <c r="AQ203" t="inlineStr">
        <is>
          <t>Yes</t>
        </is>
      </c>
      <c r="AR203">
        <f>HYPERLINK("http://catalog.hathitrust.org/Record/000393448","HathiTrust Record")</f>
        <v/>
      </c>
      <c r="AS203">
        <f>HYPERLINK("https://creighton-primo.hosted.exlibrisgroup.com/primo-explore/search?tab=default_tab&amp;search_scope=EVERYTHING&amp;vid=01CRU&amp;lang=en_US&amp;offset=0&amp;query=any,contains,991000763339702656","Catalog Record")</f>
        <v/>
      </c>
      <c r="AT203">
        <f>HYPERLINK("http://www.worldcat.org/oclc/12975619","WorldCat Record")</f>
        <v/>
      </c>
      <c r="AU203" t="inlineStr">
        <is>
          <t>5645047:eng</t>
        </is>
      </c>
      <c r="AV203" t="inlineStr">
        <is>
          <t>12975619</t>
        </is>
      </c>
      <c r="AW203" t="inlineStr">
        <is>
          <t>991000763339702656</t>
        </is>
      </c>
      <c r="AX203" t="inlineStr">
        <is>
          <t>991000763339702656</t>
        </is>
      </c>
      <c r="AY203" t="inlineStr">
        <is>
          <t>2261959370002656</t>
        </is>
      </c>
      <c r="AZ203" t="inlineStr">
        <is>
          <t>BOOK</t>
        </is>
      </c>
      <c r="BB203" t="inlineStr">
        <is>
          <t>9780814140758</t>
        </is>
      </c>
      <c r="BC203" t="inlineStr">
        <is>
          <t>32285000943679</t>
        </is>
      </c>
      <c r="BD203" t="inlineStr">
        <is>
          <t>893237586</t>
        </is>
      </c>
    </row>
    <row r="204">
      <c r="A204" t="inlineStr">
        <is>
          <t>No</t>
        </is>
      </c>
      <c r="B204" t="inlineStr">
        <is>
          <t>PE1404 .H64 1987</t>
        </is>
      </c>
      <c r="C204" t="inlineStr">
        <is>
          <t>0                      PE 1404000H  64          1987</t>
        </is>
      </c>
      <c r="D204" t="inlineStr">
        <is>
          <t>On composition and computers / Deborah H. Holdstein.</t>
        </is>
      </c>
      <c r="F204" t="inlineStr">
        <is>
          <t>No</t>
        </is>
      </c>
      <c r="G204" t="inlineStr">
        <is>
          <t>1</t>
        </is>
      </c>
      <c r="H204" t="inlineStr">
        <is>
          <t>No</t>
        </is>
      </c>
      <c r="I204" t="inlineStr">
        <is>
          <t>No</t>
        </is>
      </c>
      <c r="J204" t="inlineStr">
        <is>
          <t>0</t>
        </is>
      </c>
      <c r="K204" t="inlineStr">
        <is>
          <t>Holdstein, Deborah H., 1952-</t>
        </is>
      </c>
      <c r="L204" t="inlineStr">
        <is>
          <t>New York : Modern Language Association of America, 1987.</t>
        </is>
      </c>
      <c r="M204" t="inlineStr">
        <is>
          <t>1987</t>
        </is>
      </c>
      <c r="O204" t="inlineStr">
        <is>
          <t>eng</t>
        </is>
      </c>
      <c r="P204" t="inlineStr">
        <is>
          <t>nyu</t>
        </is>
      </c>
      <c r="Q204" t="inlineStr">
        <is>
          <t>Technology and the humanities ; 3</t>
        </is>
      </c>
      <c r="R204" t="inlineStr">
        <is>
          <t xml:space="preserve">PE </t>
        </is>
      </c>
      <c r="S204" t="n">
        <v>1</v>
      </c>
      <c r="T204" t="n">
        <v>1</v>
      </c>
      <c r="U204" t="inlineStr">
        <is>
          <t>1995-10-11</t>
        </is>
      </c>
      <c r="V204" t="inlineStr">
        <is>
          <t>1995-10-11</t>
        </is>
      </c>
      <c r="W204" t="inlineStr">
        <is>
          <t>1990-03-14</t>
        </is>
      </c>
      <c r="X204" t="inlineStr">
        <is>
          <t>1990-03-14</t>
        </is>
      </c>
      <c r="Y204" t="n">
        <v>246</v>
      </c>
      <c r="Z204" t="n">
        <v>223</v>
      </c>
      <c r="AA204" t="n">
        <v>229</v>
      </c>
      <c r="AB204" t="n">
        <v>5</v>
      </c>
      <c r="AC204" t="n">
        <v>5</v>
      </c>
      <c r="AD204" t="n">
        <v>15</v>
      </c>
      <c r="AE204" t="n">
        <v>15</v>
      </c>
      <c r="AF204" t="n">
        <v>2</v>
      </c>
      <c r="AG204" t="n">
        <v>2</v>
      </c>
      <c r="AH204" t="n">
        <v>4</v>
      </c>
      <c r="AI204" t="n">
        <v>4</v>
      </c>
      <c r="AJ204" t="n">
        <v>8</v>
      </c>
      <c r="AK204" t="n">
        <v>8</v>
      </c>
      <c r="AL204" t="n">
        <v>4</v>
      </c>
      <c r="AM204" t="n">
        <v>4</v>
      </c>
      <c r="AN204" t="n">
        <v>0</v>
      </c>
      <c r="AO204" t="n">
        <v>0</v>
      </c>
      <c r="AP204" t="inlineStr">
        <is>
          <t>No</t>
        </is>
      </c>
      <c r="AQ204" t="inlineStr">
        <is>
          <t>Yes</t>
        </is>
      </c>
      <c r="AR204">
        <f>HYPERLINK("http://catalog.hathitrust.org/Record/004404306","HathiTrust Record")</f>
        <v/>
      </c>
      <c r="AS204">
        <f>HYPERLINK("https://creighton-primo.hosted.exlibrisgroup.com/primo-explore/search?tab=default_tab&amp;search_scope=EVERYTHING&amp;vid=01CRU&amp;lang=en_US&amp;offset=0&amp;query=any,contains,991001142219702656","Catalog Record")</f>
        <v/>
      </c>
      <c r="AT204">
        <f>HYPERLINK("http://www.worldcat.org/oclc/16753513","WorldCat Record")</f>
        <v/>
      </c>
      <c r="AU204" t="inlineStr">
        <is>
          <t>13136783:eng</t>
        </is>
      </c>
      <c r="AV204" t="inlineStr">
        <is>
          <t>16753513</t>
        </is>
      </c>
      <c r="AW204" t="inlineStr">
        <is>
          <t>991001142219702656</t>
        </is>
      </c>
      <c r="AX204" t="inlineStr">
        <is>
          <t>991001142219702656</t>
        </is>
      </c>
      <c r="AY204" t="inlineStr">
        <is>
          <t>2257006140002656</t>
        </is>
      </c>
      <c r="AZ204" t="inlineStr">
        <is>
          <t>BOOK</t>
        </is>
      </c>
      <c r="BB204" t="inlineStr">
        <is>
          <t>9780873525558</t>
        </is>
      </c>
      <c r="BC204" t="inlineStr">
        <is>
          <t>32285000084391</t>
        </is>
      </c>
      <c r="BD204" t="inlineStr">
        <is>
          <t>893878655</t>
        </is>
      </c>
    </row>
    <row r="205">
      <c r="A205" t="inlineStr">
        <is>
          <t>No</t>
        </is>
      </c>
      <c r="B205" t="inlineStr">
        <is>
          <t>PE1404 .H665 1999</t>
        </is>
      </c>
      <c r="C205" t="inlineStr">
        <is>
          <t>0                      PE 1404000H  665         1999</t>
        </is>
      </c>
      <c r="D205" t="inlineStr">
        <is>
          <t>Representing the "other" : basic writers and the teaching of basic writing / Bruce Horner, Min-Zhan Lu.</t>
        </is>
      </c>
      <c r="F205" t="inlineStr">
        <is>
          <t>No</t>
        </is>
      </c>
      <c r="G205" t="inlineStr">
        <is>
          <t>1</t>
        </is>
      </c>
      <c r="H205" t="inlineStr">
        <is>
          <t>No</t>
        </is>
      </c>
      <c r="I205" t="inlineStr">
        <is>
          <t>No</t>
        </is>
      </c>
      <c r="J205" t="inlineStr">
        <is>
          <t>0</t>
        </is>
      </c>
      <c r="K205" t="inlineStr">
        <is>
          <t>Horner, Bruce, 1957-</t>
        </is>
      </c>
      <c r="L205" t="inlineStr">
        <is>
          <t>Urbana, Ill. : National Council of Teachers of English, c1999.</t>
        </is>
      </c>
      <c r="M205" t="inlineStr">
        <is>
          <t>1999</t>
        </is>
      </c>
      <c r="O205" t="inlineStr">
        <is>
          <t>eng</t>
        </is>
      </c>
      <c r="P205" t="inlineStr">
        <is>
          <t>ilu</t>
        </is>
      </c>
      <c r="Q205" t="inlineStr">
        <is>
          <t>Refiguring English studies</t>
        </is>
      </c>
      <c r="R205" t="inlineStr">
        <is>
          <t xml:space="preserve">PE </t>
        </is>
      </c>
      <c r="S205" t="n">
        <v>8</v>
      </c>
      <c r="T205" t="n">
        <v>8</v>
      </c>
      <c r="U205" t="inlineStr">
        <is>
          <t>2009-12-10</t>
        </is>
      </c>
      <c r="V205" t="inlineStr">
        <is>
          <t>2009-12-10</t>
        </is>
      </c>
      <c r="W205" t="inlineStr">
        <is>
          <t>2001-03-27</t>
        </is>
      </c>
      <c r="X205" t="inlineStr">
        <is>
          <t>2001-03-27</t>
        </is>
      </c>
      <c r="Y205" t="n">
        <v>357</v>
      </c>
      <c r="Z205" t="n">
        <v>329</v>
      </c>
      <c r="AA205" t="n">
        <v>337</v>
      </c>
      <c r="AB205" t="n">
        <v>3</v>
      </c>
      <c r="AC205" t="n">
        <v>3</v>
      </c>
      <c r="AD205" t="n">
        <v>20</v>
      </c>
      <c r="AE205" t="n">
        <v>20</v>
      </c>
      <c r="AF205" t="n">
        <v>9</v>
      </c>
      <c r="AG205" t="n">
        <v>9</v>
      </c>
      <c r="AH205" t="n">
        <v>6</v>
      </c>
      <c r="AI205" t="n">
        <v>6</v>
      </c>
      <c r="AJ205" t="n">
        <v>7</v>
      </c>
      <c r="AK205" t="n">
        <v>7</v>
      </c>
      <c r="AL205" t="n">
        <v>2</v>
      </c>
      <c r="AM205" t="n">
        <v>2</v>
      </c>
      <c r="AN205" t="n">
        <v>0</v>
      </c>
      <c r="AO205" t="n">
        <v>0</v>
      </c>
      <c r="AP205" t="inlineStr">
        <is>
          <t>No</t>
        </is>
      </c>
      <c r="AQ205" t="inlineStr">
        <is>
          <t>Yes</t>
        </is>
      </c>
      <c r="AR205">
        <f>HYPERLINK("http://catalog.hathitrust.org/Record/009924768","HathiTrust Record")</f>
        <v/>
      </c>
      <c r="AS205">
        <f>HYPERLINK("https://creighton-primo.hosted.exlibrisgroup.com/primo-explore/search?tab=default_tab&amp;search_scope=EVERYTHING&amp;vid=01CRU&amp;lang=en_US&amp;offset=0&amp;query=any,contains,991003470599702656","Catalog Record")</f>
        <v/>
      </c>
      <c r="AT205">
        <f>HYPERLINK("http://www.worldcat.org/oclc/40311482","WorldCat Record")</f>
        <v/>
      </c>
      <c r="AU205" t="inlineStr">
        <is>
          <t>957999394:eng</t>
        </is>
      </c>
      <c r="AV205" t="inlineStr">
        <is>
          <t>40311482</t>
        </is>
      </c>
      <c r="AW205" t="inlineStr">
        <is>
          <t>991003470599702656</t>
        </is>
      </c>
      <c r="AX205" t="inlineStr">
        <is>
          <t>991003470599702656</t>
        </is>
      </c>
      <c r="AY205" t="inlineStr">
        <is>
          <t>2264799930002656</t>
        </is>
      </c>
      <c r="AZ205" t="inlineStr">
        <is>
          <t>BOOK</t>
        </is>
      </c>
      <c r="BB205" t="inlineStr">
        <is>
          <t>9780814141151</t>
        </is>
      </c>
      <c r="BC205" t="inlineStr">
        <is>
          <t>32285004307830</t>
        </is>
      </c>
      <c r="BD205" t="inlineStr">
        <is>
          <t>893441313</t>
        </is>
      </c>
    </row>
    <row r="206">
      <c r="A206" t="inlineStr">
        <is>
          <t>No</t>
        </is>
      </c>
      <c r="B206" t="inlineStr">
        <is>
          <t>PE1404 .H84 1987</t>
        </is>
      </c>
      <c r="C206" t="inlineStr">
        <is>
          <t>0                      PE 1404000H  84          1987</t>
        </is>
      </c>
      <c r="D206" t="inlineStr">
        <is>
          <t>The contemporary writing curriculum : rehearsing, composing, and valuing / Roland Huff, Charles R. Kline, Jr.</t>
        </is>
      </c>
      <c r="F206" t="inlineStr">
        <is>
          <t>No</t>
        </is>
      </c>
      <c r="G206" t="inlineStr">
        <is>
          <t>1</t>
        </is>
      </c>
      <c r="H206" t="inlineStr">
        <is>
          <t>No</t>
        </is>
      </c>
      <c r="I206" t="inlineStr">
        <is>
          <t>No</t>
        </is>
      </c>
      <c r="J206" t="inlineStr">
        <is>
          <t>0</t>
        </is>
      </c>
      <c r="K206" t="inlineStr">
        <is>
          <t>Huff, Roland.</t>
        </is>
      </c>
      <c r="L206" t="inlineStr">
        <is>
          <t>New York : Teachers College, Columbia University, c1987.</t>
        </is>
      </c>
      <c r="M206" t="inlineStr">
        <is>
          <t>1987</t>
        </is>
      </c>
      <c r="O206" t="inlineStr">
        <is>
          <t>eng</t>
        </is>
      </c>
      <c r="P206" t="inlineStr">
        <is>
          <t>nyu</t>
        </is>
      </c>
      <c r="R206" t="inlineStr">
        <is>
          <t xml:space="preserve">PE </t>
        </is>
      </c>
      <c r="S206" t="n">
        <v>4</v>
      </c>
      <c r="T206" t="n">
        <v>4</v>
      </c>
      <c r="U206" t="inlineStr">
        <is>
          <t>1999-04-15</t>
        </is>
      </c>
      <c r="V206" t="inlineStr">
        <is>
          <t>1999-04-15</t>
        </is>
      </c>
      <c r="W206" t="inlineStr">
        <is>
          <t>1993-04-23</t>
        </is>
      </c>
      <c r="X206" t="inlineStr">
        <is>
          <t>1993-04-23</t>
        </is>
      </c>
      <c r="Y206" t="n">
        <v>418</v>
      </c>
      <c r="Z206" t="n">
        <v>389</v>
      </c>
      <c r="AA206" t="n">
        <v>394</v>
      </c>
      <c r="AB206" t="n">
        <v>4</v>
      </c>
      <c r="AC206" t="n">
        <v>4</v>
      </c>
      <c r="AD206" t="n">
        <v>22</v>
      </c>
      <c r="AE206" t="n">
        <v>22</v>
      </c>
      <c r="AF206" t="n">
        <v>9</v>
      </c>
      <c r="AG206" t="n">
        <v>9</v>
      </c>
      <c r="AH206" t="n">
        <v>4</v>
      </c>
      <c r="AI206" t="n">
        <v>4</v>
      </c>
      <c r="AJ206" t="n">
        <v>12</v>
      </c>
      <c r="AK206" t="n">
        <v>12</v>
      </c>
      <c r="AL206" t="n">
        <v>3</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HYPERLINK("https://creighton-primo.hosted.exlibrisgroup.com/primo-explore/search?tab=default_tab&amp;search_scope=EVERYTHING&amp;vid=01CRU&amp;lang=en_US&amp;offset=0&amp;query=any,contains,991001073109702656","Catalog Record")</f>
        <v/>
      </c>
      <c r="AT206">
        <f>HYPERLINK("http://www.worldcat.org/oclc/16003549","WorldCat Record")</f>
        <v/>
      </c>
      <c r="AU206" t="inlineStr">
        <is>
          <t>10930089:eng</t>
        </is>
      </c>
      <c r="AV206" t="inlineStr">
        <is>
          <t>16003549</t>
        </is>
      </c>
      <c r="AW206" t="inlineStr">
        <is>
          <t>991001073109702656</t>
        </is>
      </c>
      <c r="AX206" t="inlineStr">
        <is>
          <t>991001073109702656</t>
        </is>
      </c>
      <c r="AY206" t="inlineStr">
        <is>
          <t>2272649680002656</t>
        </is>
      </c>
      <c r="AZ206" t="inlineStr">
        <is>
          <t>BOOK</t>
        </is>
      </c>
      <c r="BB206" t="inlineStr">
        <is>
          <t>9780807728635</t>
        </is>
      </c>
      <c r="BC206" t="inlineStr">
        <is>
          <t>32285001646818</t>
        </is>
      </c>
      <c r="BD206" t="inlineStr">
        <is>
          <t>893346219</t>
        </is>
      </c>
    </row>
    <row r="207">
      <c r="A207" t="inlineStr">
        <is>
          <t>No</t>
        </is>
      </c>
      <c r="B207" t="inlineStr">
        <is>
          <t>PE1404 .I57 1991</t>
        </is>
      </c>
      <c r="C207" t="inlineStr">
        <is>
          <t>0                      PE 1404000I  57          1991</t>
        </is>
      </c>
      <c r="D207" t="inlineStr">
        <is>
          <t>An Introduction to composition studies / edited by Erika Lindemann, Gary Tate.</t>
        </is>
      </c>
      <c r="F207" t="inlineStr">
        <is>
          <t>No</t>
        </is>
      </c>
      <c r="G207" t="inlineStr">
        <is>
          <t>1</t>
        </is>
      </c>
      <c r="H207" t="inlineStr">
        <is>
          <t>No</t>
        </is>
      </c>
      <c r="I207" t="inlineStr">
        <is>
          <t>No</t>
        </is>
      </c>
      <c r="J207" t="inlineStr">
        <is>
          <t>0</t>
        </is>
      </c>
      <c r="L207" t="inlineStr">
        <is>
          <t>New York : Oxford University Press, 1991.</t>
        </is>
      </c>
      <c r="M207" t="inlineStr">
        <is>
          <t>1991</t>
        </is>
      </c>
      <c r="O207" t="inlineStr">
        <is>
          <t>eng</t>
        </is>
      </c>
      <c r="P207" t="inlineStr">
        <is>
          <t>nyu</t>
        </is>
      </c>
      <c r="R207" t="inlineStr">
        <is>
          <t xml:space="preserve">PE </t>
        </is>
      </c>
      <c r="S207" t="n">
        <v>7</v>
      </c>
      <c r="T207" t="n">
        <v>7</v>
      </c>
      <c r="U207" t="inlineStr">
        <is>
          <t>1995-02-24</t>
        </is>
      </c>
      <c r="V207" t="inlineStr">
        <is>
          <t>1995-02-24</t>
        </is>
      </c>
      <c r="W207" t="inlineStr">
        <is>
          <t>1991-11-05</t>
        </is>
      </c>
      <c r="X207" t="inlineStr">
        <is>
          <t>1991-11-05</t>
        </is>
      </c>
      <c r="Y207" t="n">
        <v>418</v>
      </c>
      <c r="Z207" t="n">
        <v>384</v>
      </c>
      <c r="AA207" t="n">
        <v>390</v>
      </c>
      <c r="AB207" t="n">
        <v>3</v>
      </c>
      <c r="AC207" t="n">
        <v>3</v>
      </c>
      <c r="AD207" t="n">
        <v>21</v>
      </c>
      <c r="AE207" t="n">
        <v>21</v>
      </c>
      <c r="AF207" t="n">
        <v>8</v>
      </c>
      <c r="AG207" t="n">
        <v>8</v>
      </c>
      <c r="AH207" t="n">
        <v>6</v>
      </c>
      <c r="AI207" t="n">
        <v>6</v>
      </c>
      <c r="AJ207" t="n">
        <v>11</v>
      </c>
      <c r="AK207" t="n">
        <v>11</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HYPERLINK("https://creighton-primo.hosted.exlibrisgroup.com/primo-explore/search?tab=default_tab&amp;search_scope=EVERYTHING&amp;vid=01CRU&amp;lang=en_US&amp;offset=0&amp;query=any,contains,991001812979702656","Catalog Record")</f>
        <v/>
      </c>
      <c r="AT207">
        <f>HYPERLINK("http://www.worldcat.org/oclc/22766232","WorldCat Record")</f>
        <v/>
      </c>
      <c r="AU207" t="inlineStr">
        <is>
          <t>355756462:eng</t>
        </is>
      </c>
      <c r="AV207" t="inlineStr">
        <is>
          <t>22766232</t>
        </is>
      </c>
      <c r="AW207" t="inlineStr">
        <is>
          <t>991001812979702656</t>
        </is>
      </c>
      <c r="AX207" t="inlineStr">
        <is>
          <t>991001812979702656</t>
        </is>
      </c>
      <c r="AY207" t="inlineStr">
        <is>
          <t>2258479250002656</t>
        </is>
      </c>
      <c r="AZ207" t="inlineStr">
        <is>
          <t>BOOK</t>
        </is>
      </c>
      <c r="BB207" t="inlineStr">
        <is>
          <t>9780195063639</t>
        </is>
      </c>
      <c r="BC207" t="inlineStr">
        <is>
          <t>32285000729615</t>
        </is>
      </c>
      <c r="BD207" t="inlineStr">
        <is>
          <t>893244438</t>
        </is>
      </c>
    </row>
    <row r="208">
      <c r="A208" t="inlineStr">
        <is>
          <t>No</t>
        </is>
      </c>
      <c r="B208" t="inlineStr">
        <is>
          <t>PE1404 .J8</t>
        </is>
      </c>
      <c r="C208" t="inlineStr">
        <is>
          <t>0                      PE 1404000J  8</t>
        </is>
      </c>
      <c r="D208" t="inlineStr">
        <is>
          <t>A guide for evaluating student composition : readings and suggestions for the teacher of English in the junior and senior high school / prepared for the NCTE by Sister M. Judine.</t>
        </is>
      </c>
      <c r="F208" t="inlineStr">
        <is>
          <t>No</t>
        </is>
      </c>
      <c r="G208" t="inlineStr">
        <is>
          <t>1</t>
        </is>
      </c>
      <c r="H208" t="inlineStr">
        <is>
          <t>No</t>
        </is>
      </c>
      <c r="I208" t="inlineStr">
        <is>
          <t>No</t>
        </is>
      </c>
      <c r="J208" t="inlineStr">
        <is>
          <t>0</t>
        </is>
      </c>
      <c r="K208" t="inlineStr">
        <is>
          <t>Judine, M., Sister, editor.</t>
        </is>
      </c>
      <c r="L208" t="inlineStr">
        <is>
          <t>[Champaign, Ill.] : National Council of Teachers of English, [1965]</t>
        </is>
      </c>
      <c r="M208" t="inlineStr">
        <is>
          <t>1965</t>
        </is>
      </c>
      <c r="O208" t="inlineStr">
        <is>
          <t>eng</t>
        </is>
      </c>
      <c r="P208" t="inlineStr">
        <is>
          <t>ilu</t>
        </is>
      </c>
      <c r="R208" t="inlineStr">
        <is>
          <t xml:space="preserve">PE </t>
        </is>
      </c>
      <c r="S208" t="n">
        <v>4</v>
      </c>
      <c r="T208" t="n">
        <v>4</v>
      </c>
      <c r="U208" t="inlineStr">
        <is>
          <t>1998-04-08</t>
        </is>
      </c>
      <c r="V208" t="inlineStr">
        <is>
          <t>1998-04-08</t>
        </is>
      </c>
      <c r="W208" t="inlineStr">
        <is>
          <t>1995-02-24</t>
        </is>
      </c>
      <c r="X208" t="inlineStr">
        <is>
          <t>1995-02-24</t>
        </is>
      </c>
      <c r="Y208" t="n">
        <v>350</v>
      </c>
      <c r="Z208" t="n">
        <v>321</v>
      </c>
      <c r="AA208" t="n">
        <v>325</v>
      </c>
      <c r="AB208" t="n">
        <v>7</v>
      </c>
      <c r="AC208" t="n">
        <v>7</v>
      </c>
      <c r="AD208" t="n">
        <v>18</v>
      </c>
      <c r="AE208" t="n">
        <v>18</v>
      </c>
      <c r="AF208" t="n">
        <v>4</v>
      </c>
      <c r="AG208" t="n">
        <v>4</v>
      </c>
      <c r="AH208" t="n">
        <v>3</v>
      </c>
      <c r="AI208" t="n">
        <v>3</v>
      </c>
      <c r="AJ208" t="n">
        <v>7</v>
      </c>
      <c r="AK208" t="n">
        <v>7</v>
      </c>
      <c r="AL208" t="n">
        <v>6</v>
      </c>
      <c r="AM208" t="n">
        <v>6</v>
      </c>
      <c r="AN208" t="n">
        <v>0</v>
      </c>
      <c r="AO208" t="n">
        <v>0</v>
      </c>
      <c r="AP208" t="inlineStr">
        <is>
          <t>No</t>
        </is>
      </c>
      <c r="AQ208" t="inlineStr">
        <is>
          <t>Yes</t>
        </is>
      </c>
      <c r="AR208">
        <f>HYPERLINK("http://catalog.hathitrust.org/Record/009529569","HathiTrust Record")</f>
        <v/>
      </c>
      <c r="AS208">
        <f>HYPERLINK("https://creighton-primo.hosted.exlibrisgroup.com/primo-explore/search?tab=default_tab&amp;search_scope=EVERYTHING&amp;vid=01CRU&amp;lang=en_US&amp;offset=0&amp;query=any,contains,991002306469702656","Catalog Record")</f>
        <v/>
      </c>
      <c r="AT208">
        <f>HYPERLINK("http://www.worldcat.org/oclc/318558","WorldCat Record")</f>
        <v/>
      </c>
      <c r="AU208" t="inlineStr">
        <is>
          <t>1044394172:eng</t>
        </is>
      </c>
      <c r="AV208" t="inlineStr">
        <is>
          <t>318558</t>
        </is>
      </c>
      <c r="AW208" t="inlineStr">
        <is>
          <t>991002306469702656</t>
        </is>
      </c>
      <c r="AX208" t="inlineStr">
        <is>
          <t>991002306469702656</t>
        </is>
      </c>
      <c r="AY208" t="inlineStr">
        <is>
          <t>2270430630002656</t>
        </is>
      </c>
      <c r="AZ208" t="inlineStr">
        <is>
          <t>BOOK</t>
        </is>
      </c>
      <c r="BC208" t="inlineStr">
        <is>
          <t>32285002010477</t>
        </is>
      </c>
      <c r="BD208" t="inlineStr">
        <is>
          <t>893352250</t>
        </is>
      </c>
    </row>
    <row r="209">
      <c r="A209" t="inlineStr">
        <is>
          <t>No</t>
        </is>
      </c>
      <c r="B209" t="inlineStr">
        <is>
          <t>PE1404 .K46 1998</t>
        </is>
      </c>
      <c r="C209" t="inlineStr">
        <is>
          <t>0                      PE 1404000K  46          1998</t>
        </is>
      </c>
      <c r="D209" t="inlineStr">
        <is>
          <t>Learning to teach writing: does teacher education make a difference? / Mary M. Kennedy.</t>
        </is>
      </c>
      <c r="F209" t="inlineStr">
        <is>
          <t>No</t>
        </is>
      </c>
      <c r="G209" t="inlineStr">
        <is>
          <t>1</t>
        </is>
      </c>
      <c r="H209" t="inlineStr">
        <is>
          <t>No</t>
        </is>
      </c>
      <c r="I209" t="inlineStr">
        <is>
          <t>No</t>
        </is>
      </c>
      <c r="J209" t="inlineStr">
        <is>
          <t>0</t>
        </is>
      </c>
      <c r="K209" t="inlineStr">
        <is>
          <t>Kennedy, Mary M.</t>
        </is>
      </c>
      <c r="L209" t="inlineStr">
        <is>
          <t>New York : Teachers College Press, Columbia University, c1998.</t>
        </is>
      </c>
      <c r="M209" t="inlineStr">
        <is>
          <t>1998</t>
        </is>
      </c>
      <c r="O209" t="inlineStr">
        <is>
          <t>eng</t>
        </is>
      </c>
      <c r="P209" t="inlineStr">
        <is>
          <t>nyu</t>
        </is>
      </c>
      <c r="R209" t="inlineStr">
        <is>
          <t xml:space="preserve">PE </t>
        </is>
      </c>
      <c r="S209" t="n">
        <v>8</v>
      </c>
      <c r="T209" t="n">
        <v>8</v>
      </c>
      <c r="U209" t="inlineStr">
        <is>
          <t>2003-12-11</t>
        </is>
      </c>
      <c r="V209" t="inlineStr">
        <is>
          <t>2003-12-11</t>
        </is>
      </c>
      <c r="W209" t="inlineStr">
        <is>
          <t>1998-07-08</t>
        </is>
      </c>
      <c r="X209" t="inlineStr">
        <is>
          <t>1998-07-08</t>
        </is>
      </c>
      <c r="Y209" t="n">
        <v>338</v>
      </c>
      <c r="Z209" t="n">
        <v>305</v>
      </c>
      <c r="AA209" t="n">
        <v>767</v>
      </c>
      <c r="AB209" t="n">
        <v>5</v>
      </c>
      <c r="AC209" t="n">
        <v>5</v>
      </c>
      <c r="AD209" t="n">
        <v>14</v>
      </c>
      <c r="AE209" t="n">
        <v>16</v>
      </c>
      <c r="AF209" t="n">
        <v>3</v>
      </c>
      <c r="AG209" t="n">
        <v>5</v>
      </c>
      <c r="AH209" t="n">
        <v>4</v>
      </c>
      <c r="AI209" t="n">
        <v>4</v>
      </c>
      <c r="AJ209" t="n">
        <v>5</v>
      </c>
      <c r="AK209" t="n">
        <v>5</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HYPERLINK("https://creighton-primo.hosted.exlibrisgroup.com/primo-explore/search?tab=default_tab&amp;search_scope=EVERYTHING&amp;vid=01CRU&amp;lang=en_US&amp;offset=0&amp;query=any,contains,991002948219702656","Catalog Record")</f>
        <v/>
      </c>
      <c r="AT209">
        <f>HYPERLINK("http://www.worldcat.org/oclc/38199865","WorldCat Record")</f>
        <v/>
      </c>
      <c r="AU209" t="inlineStr">
        <is>
          <t>800010430:eng</t>
        </is>
      </c>
      <c r="AV209" t="inlineStr">
        <is>
          <t>38199865</t>
        </is>
      </c>
      <c r="AW209" t="inlineStr">
        <is>
          <t>991002948219702656</t>
        </is>
      </c>
      <c r="AX209" t="inlineStr">
        <is>
          <t>991002948219702656</t>
        </is>
      </c>
      <c r="AY209" t="inlineStr">
        <is>
          <t>2266448680002656</t>
        </is>
      </c>
      <c r="AZ209" t="inlineStr">
        <is>
          <t>BOOK</t>
        </is>
      </c>
      <c r="BB209" t="inlineStr">
        <is>
          <t>9780807737330</t>
        </is>
      </c>
      <c r="BC209" t="inlineStr">
        <is>
          <t>32285003430591</t>
        </is>
      </c>
      <c r="BD209" t="inlineStr">
        <is>
          <t>893904176</t>
        </is>
      </c>
    </row>
    <row r="210">
      <c r="A210" t="inlineStr">
        <is>
          <t>No</t>
        </is>
      </c>
      <c r="B210" t="inlineStr">
        <is>
          <t>PE1404 .K6 1978</t>
        </is>
      </c>
      <c r="C210" t="inlineStr">
        <is>
          <t>0                      PE 1404000K  6           1978</t>
        </is>
      </c>
      <c r="D210" t="inlineStr">
        <is>
          <t>Strategies for teaching the composition process / Carl Koch, James M. Brazil.</t>
        </is>
      </c>
      <c r="F210" t="inlineStr">
        <is>
          <t>No</t>
        </is>
      </c>
      <c r="G210" t="inlineStr">
        <is>
          <t>1</t>
        </is>
      </c>
      <c r="H210" t="inlineStr">
        <is>
          <t>No</t>
        </is>
      </c>
      <c r="I210" t="inlineStr">
        <is>
          <t>No</t>
        </is>
      </c>
      <c r="J210" t="inlineStr">
        <is>
          <t>0</t>
        </is>
      </c>
      <c r="K210" t="inlineStr">
        <is>
          <t>Koch, Carl, 1945-</t>
        </is>
      </c>
      <c r="L210" t="inlineStr">
        <is>
          <t>Urbana, Ill. : National Council of Teachers of English, c1978.</t>
        </is>
      </c>
      <c r="M210" t="inlineStr">
        <is>
          <t>1978</t>
        </is>
      </c>
      <c r="O210" t="inlineStr">
        <is>
          <t>eng</t>
        </is>
      </c>
      <c r="P210" t="inlineStr">
        <is>
          <t>ilu</t>
        </is>
      </c>
      <c r="R210" t="inlineStr">
        <is>
          <t xml:space="preserve">PE </t>
        </is>
      </c>
      <c r="S210" t="n">
        <v>6</v>
      </c>
      <c r="T210" t="n">
        <v>6</v>
      </c>
      <c r="U210" t="inlineStr">
        <is>
          <t>1998-04-08</t>
        </is>
      </c>
      <c r="V210" t="inlineStr">
        <is>
          <t>1998-04-08</t>
        </is>
      </c>
      <c r="W210" t="inlineStr">
        <is>
          <t>1992-03-11</t>
        </is>
      </c>
      <c r="X210" t="inlineStr">
        <is>
          <t>1992-03-11</t>
        </is>
      </c>
      <c r="Y210" t="n">
        <v>595</v>
      </c>
      <c r="Z210" t="n">
        <v>540</v>
      </c>
      <c r="AA210" t="n">
        <v>542</v>
      </c>
      <c r="AB210" t="n">
        <v>9</v>
      </c>
      <c r="AC210" t="n">
        <v>9</v>
      </c>
      <c r="AD210" t="n">
        <v>25</v>
      </c>
      <c r="AE210" t="n">
        <v>25</v>
      </c>
      <c r="AF210" t="n">
        <v>9</v>
      </c>
      <c r="AG210" t="n">
        <v>9</v>
      </c>
      <c r="AH210" t="n">
        <v>4</v>
      </c>
      <c r="AI210" t="n">
        <v>4</v>
      </c>
      <c r="AJ210" t="n">
        <v>10</v>
      </c>
      <c r="AK210" t="n">
        <v>10</v>
      </c>
      <c r="AL210" t="n">
        <v>8</v>
      </c>
      <c r="AM210" t="n">
        <v>8</v>
      </c>
      <c r="AN210" t="n">
        <v>0</v>
      </c>
      <c r="AO210" t="n">
        <v>0</v>
      </c>
      <c r="AP210" t="inlineStr">
        <is>
          <t>No</t>
        </is>
      </c>
      <c r="AQ210" t="inlineStr">
        <is>
          <t>Yes</t>
        </is>
      </c>
      <c r="AR210">
        <f>HYPERLINK("http://catalog.hathitrust.org/Record/000088596","HathiTrust Record")</f>
        <v/>
      </c>
      <c r="AS210">
        <f>HYPERLINK("https://creighton-primo.hosted.exlibrisgroup.com/primo-explore/search?tab=default_tab&amp;search_scope=EVERYTHING&amp;vid=01CRU&amp;lang=en_US&amp;offset=0&amp;query=any,contains,991004453339702656","Catalog Record")</f>
        <v/>
      </c>
      <c r="AT210">
        <f>HYPERLINK("http://www.worldcat.org/oclc/3516722","WorldCat Record")</f>
        <v/>
      </c>
      <c r="AU210" t="inlineStr">
        <is>
          <t>475757:eng</t>
        </is>
      </c>
      <c r="AV210" t="inlineStr">
        <is>
          <t>3516722</t>
        </is>
      </c>
      <c r="AW210" t="inlineStr">
        <is>
          <t>991004453339702656</t>
        </is>
      </c>
      <c r="AX210" t="inlineStr">
        <is>
          <t>991004453339702656</t>
        </is>
      </c>
      <c r="AY210" t="inlineStr">
        <is>
          <t>2272459120002656</t>
        </is>
      </c>
      <c r="AZ210" t="inlineStr">
        <is>
          <t>BOOK</t>
        </is>
      </c>
      <c r="BB210" t="inlineStr">
        <is>
          <t>9780814147511</t>
        </is>
      </c>
      <c r="BC210" t="inlineStr">
        <is>
          <t>32285000939354</t>
        </is>
      </c>
      <c r="BD210" t="inlineStr">
        <is>
          <t>893624751</t>
        </is>
      </c>
    </row>
    <row r="211">
      <c r="A211" t="inlineStr">
        <is>
          <t>No</t>
        </is>
      </c>
      <c r="B211" t="inlineStr">
        <is>
          <t>PE1404 .L425 2000</t>
        </is>
      </c>
      <c r="C211" t="inlineStr">
        <is>
          <t>0                      PE 1404000L  425         2000</t>
        </is>
      </c>
      <c r="D211" t="inlineStr">
        <is>
          <t>Learning to argue in higher education / edited by Sally Mitchell and Richard Andrew.</t>
        </is>
      </c>
      <c r="F211" t="inlineStr">
        <is>
          <t>No</t>
        </is>
      </c>
      <c r="G211" t="inlineStr">
        <is>
          <t>1</t>
        </is>
      </c>
      <c r="H211" t="inlineStr">
        <is>
          <t>No</t>
        </is>
      </c>
      <c r="I211" t="inlineStr">
        <is>
          <t>No</t>
        </is>
      </c>
      <c r="J211" t="inlineStr">
        <is>
          <t>0</t>
        </is>
      </c>
      <c r="L211" t="inlineStr">
        <is>
          <t>Portsmouth, NH : Boynton/Cook ; Heinemann, c2000.</t>
        </is>
      </c>
      <c r="M211" t="inlineStr">
        <is>
          <t>2000</t>
        </is>
      </c>
      <c r="O211" t="inlineStr">
        <is>
          <t>eng</t>
        </is>
      </c>
      <c r="P211" t="inlineStr">
        <is>
          <t>nhu</t>
        </is>
      </c>
      <c r="R211" t="inlineStr">
        <is>
          <t xml:space="preserve">PE </t>
        </is>
      </c>
      <c r="S211" t="n">
        <v>1</v>
      </c>
      <c r="T211" t="n">
        <v>1</v>
      </c>
      <c r="U211" t="inlineStr">
        <is>
          <t>2001-08-23</t>
        </is>
      </c>
      <c r="V211" t="inlineStr">
        <is>
          <t>2001-08-23</t>
        </is>
      </c>
      <c r="W211" t="inlineStr">
        <is>
          <t>2001-08-23</t>
        </is>
      </c>
      <c r="X211" t="inlineStr">
        <is>
          <t>2001-08-23</t>
        </is>
      </c>
      <c r="Y211" t="n">
        <v>190</v>
      </c>
      <c r="Z211" t="n">
        <v>145</v>
      </c>
      <c r="AA211" t="n">
        <v>146</v>
      </c>
      <c r="AB211" t="n">
        <v>2</v>
      </c>
      <c r="AC211" t="n">
        <v>2</v>
      </c>
      <c r="AD211" t="n">
        <v>6</v>
      </c>
      <c r="AE211" t="n">
        <v>6</v>
      </c>
      <c r="AF211" t="n">
        <v>3</v>
      </c>
      <c r="AG211" t="n">
        <v>3</v>
      </c>
      <c r="AH211" t="n">
        <v>2</v>
      </c>
      <c r="AI211" t="n">
        <v>2</v>
      </c>
      <c r="AJ211" t="n">
        <v>2</v>
      </c>
      <c r="AK211" t="n">
        <v>2</v>
      </c>
      <c r="AL211" t="n">
        <v>1</v>
      </c>
      <c r="AM211" t="n">
        <v>1</v>
      </c>
      <c r="AN211" t="n">
        <v>0</v>
      </c>
      <c r="AO211" t="n">
        <v>0</v>
      </c>
      <c r="AP211" t="inlineStr">
        <is>
          <t>No</t>
        </is>
      </c>
      <c r="AQ211" t="inlineStr">
        <is>
          <t>Yes</t>
        </is>
      </c>
      <c r="AR211">
        <f>HYPERLINK("http://catalog.hathitrust.org/Record/007143437","HathiTrust Record")</f>
        <v/>
      </c>
      <c r="AS211">
        <f>HYPERLINK("https://creighton-primo.hosted.exlibrisgroup.com/primo-explore/search?tab=default_tab&amp;search_scope=EVERYTHING&amp;vid=01CRU&amp;lang=en_US&amp;offset=0&amp;query=any,contains,991003537119702656","Catalog Record")</f>
        <v/>
      </c>
      <c r="AT211">
        <f>HYPERLINK("http://www.worldcat.org/oclc/43615403","WorldCat Record")</f>
        <v/>
      </c>
      <c r="AU211" t="inlineStr">
        <is>
          <t>346466165:eng</t>
        </is>
      </c>
      <c r="AV211" t="inlineStr">
        <is>
          <t>43615403</t>
        </is>
      </c>
      <c r="AW211" t="inlineStr">
        <is>
          <t>991003537119702656</t>
        </is>
      </c>
      <c r="AX211" t="inlineStr">
        <is>
          <t>991003537119702656</t>
        </is>
      </c>
      <c r="AY211" t="inlineStr">
        <is>
          <t>2262000490002656</t>
        </is>
      </c>
      <c r="AZ211" t="inlineStr">
        <is>
          <t>BOOK</t>
        </is>
      </c>
      <c r="BB211" t="inlineStr">
        <is>
          <t>9780867094985</t>
        </is>
      </c>
      <c r="BC211" t="inlineStr">
        <is>
          <t>32285004380480</t>
        </is>
      </c>
      <c r="BD211" t="inlineStr">
        <is>
          <t>893240309</t>
        </is>
      </c>
    </row>
    <row r="212">
      <c r="A212" t="inlineStr">
        <is>
          <t>No</t>
        </is>
      </c>
      <c r="B212" t="inlineStr">
        <is>
          <t>PE1404 .L53</t>
        </is>
      </c>
      <c r="C212" t="inlineStr">
        <is>
          <t>0                      PE 1404000L  53</t>
        </is>
      </c>
      <c r="D212" t="inlineStr">
        <is>
          <t>A rhetoric for writing teachers / Erika Lindemann.</t>
        </is>
      </c>
      <c r="F212" t="inlineStr">
        <is>
          <t>No</t>
        </is>
      </c>
      <c r="G212" t="inlineStr">
        <is>
          <t>1</t>
        </is>
      </c>
      <c r="H212" t="inlineStr">
        <is>
          <t>No</t>
        </is>
      </c>
      <c r="I212" t="inlineStr">
        <is>
          <t>No</t>
        </is>
      </c>
      <c r="J212" t="inlineStr">
        <is>
          <t>0</t>
        </is>
      </c>
      <c r="K212" t="inlineStr">
        <is>
          <t>Lindemann, Erika.</t>
        </is>
      </c>
      <c r="L212" t="inlineStr">
        <is>
          <t>New York : Oxford University Press, 1982.</t>
        </is>
      </c>
      <c r="M212" t="inlineStr">
        <is>
          <t>1982</t>
        </is>
      </c>
      <c r="O212" t="inlineStr">
        <is>
          <t>eng</t>
        </is>
      </c>
      <c r="P212" t="inlineStr">
        <is>
          <t>nyu</t>
        </is>
      </c>
      <c r="R212" t="inlineStr">
        <is>
          <t xml:space="preserve">PE </t>
        </is>
      </c>
      <c r="S212" t="n">
        <v>3</v>
      </c>
      <c r="T212" t="n">
        <v>3</v>
      </c>
      <c r="U212" t="inlineStr">
        <is>
          <t>1996-02-17</t>
        </is>
      </c>
      <c r="V212" t="inlineStr">
        <is>
          <t>1996-02-17</t>
        </is>
      </c>
      <c r="W212" t="inlineStr">
        <is>
          <t>1995-06-30</t>
        </is>
      </c>
      <c r="X212" t="inlineStr">
        <is>
          <t>1995-06-30</t>
        </is>
      </c>
      <c r="Y212" t="n">
        <v>356</v>
      </c>
      <c r="Z212" t="n">
        <v>333</v>
      </c>
      <c r="AA212" t="n">
        <v>869</v>
      </c>
      <c r="AB212" t="n">
        <v>3</v>
      </c>
      <c r="AC212" t="n">
        <v>7</v>
      </c>
      <c r="AD212" t="n">
        <v>13</v>
      </c>
      <c r="AE212" t="n">
        <v>42</v>
      </c>
      <c r="AF212" t="n">
        <v>2</v>
      </c>
      <c r="AG212" t="n">
        <v>18</v>
      </c>
      <c r="AH212" t="n">
        <v>4</v>
      </c>
      <c r="AI212" t="n">
        <v>8</v>
      </c>
      <c r="AJ212" t="n">
        <v>8</v>
      </c>
      <c r="AK212" t="n">
        <v>18</v>
      </c>
      <c r="AL212" t="n">
        <v>2</v>
      </c>
      <c r="AM212" t="n">
        <v>6</v>
      </c>
      <c r="AN212" t="n">
        <v>1</v>
      </c>
      <c r="AO212" t="n">
        <v>1</v>
      </c>
      <c r="AP212" t="inlineStr">
        <is>
          <t>No</t>
        </is>
      </c>
      <c r="AQ212" t="inlineStr">
        <is>
          <t>Yes</t>
        </is>
      </c>
      <c r="AR212">
        <f>HYPERLINK("http://catalog.hathitrust.org/Record/000100797","HathiTrust Record")</f>
        <v/>
      </c>
      <c r="AS212">
        <f>HYPERLINK("https://creighton-primo.hosted.exlibrisgroup.com/primo-explore/search?tab=default_tab&amp;search_scope=EVERYTHING&amp;vid=01CRU&amp;lang=en_US&amp;offset=0&amp;query=any,contains,991005217519702656","Catalog Record")</f>
        <v/>
      </c>
      <c r="AT212">
        <f>HYPERLINK("http://www.worldcat.org/oclc/8195810","WorldCat Record")</f>
        <v/>
      </c>
      <c r="AU212" t="inlineStr">
        <is>
          <t>10983953:eng</t>
        </is>
      </c>
      <c r="AV212" t="inlineStr">
        <is>
          <t>8195810</t>
        </is>
      </c>
      <c r="AW212" t="inlineStr">
        <is>
          <t>991005217519702656</t>
        </is>
      </c>
      <c r="AX212" t="inlineStr">
        <is>
          <t>991005217519702656</t>
        </is>
      </c>
      <c r="AY212" t="inlineStr">
        <is>
          <t>2268026140002656</t>
        </is>
      </c>
      <c r="AZ212" t="inlineStr">
        <is>
          <t>BOOK</t>
        </is>
      </c>
      <c r="BB212" t="inlineStr">
        <is>
          <t>9780195030471</t>
        </is>
      </c>
      <c r="BC212" t="inlineStr">
        <is>
          <t>32285002021870</t>
        </is>
      </c>
      <c r="BD212" t="inlineStr">
        <is>
          <t>893889875</t>
        </is>
      </c>
    </row>
    <row r="213">
      <c r="A213" t="inlineStr">
        <is>
          <t>No</t>
        </is>
      </c>
      <c r="B213" t="inlineStr">
        <is>
          <t>PE1404 .M36 1992</t>
        </is>
      </c>
      <c r="C213" t="inlineStr">
        <is>
          <t>0                      PE 1404000M  36          1992</t>
        </is>
      </c>
      <c r="D213" t="inlineStr">
        <is>
          <t>The future of thinking : rhetoric and liberal arts teaching / Jeff Mason and Peter Washington.</t>
        </is>
      </c>
      <c r="F213" t="inlineStr">
        <is>
          <t>No</t>
        </is>
      </c>
      <c r="G213" t="inlineStr">
        <is>
          <t>1</t>
        </is>
      </c>
      <c r="H213" t="inlineStr">
        <is>
          <t>No</t>
        </is>
      </c>
      <c r="I213" t="inlineStr">
        <is>
          <t>No</t>
        </is>
      </c>
      <c r="J213" t="inlineStr">
        <is>
          <t>0</t>
        </is>
      </c>
      <c r="K213" t="inlineStr">
        <is>
          <t>Mason, Jeff, 1945-</t>
        </is>
      </c>
      <c r="L213" t="inlineStr">
        <is>
          <t>London ; New York : Routledge, 1992.</t>
        </is>
      </c>
      <c r="M213" t="inlineStr">
        <is>
          <t>1992</t>
        </is>
      </c>
      <c r="O213" t="inlineStr">
        <is>
          <t>eng</t>
        </is>
      </c>
      <c r="P213" t="inlineStr">
        <is>
          <t>enk</t>
        </is>
      </c>
      <c r="R213" t="inlineStr">
        <is>
          <t xml:space="preserve">PE </t>
        </is>
      </c>
      <c r="S213" t="n">
        <v>16</v>
      </c>
      <c r="T213" t="n">
        <v>16</v>
      </c>
      <c r="U213" t="inlineStr">
        <is>
          <t>2001-04-19</t>
        </is>
      </c>
      <c r="V213" t="inlineStr">
        <is>
          <t>2001-04-19</t>
        </is>
      </c>
      <c r="W213" t="inlineStr">
        <is>
          <t>1994-01-21</t>
        </is>
      </c>
      <c r="X213" t="inlineStr">
        <is>
          <t>1994-01-21</t>
        </is>
      </c>
      <c r="Y213" t="n">
        <v>203</v>
      </c>
      <c r="Z213" t="n">
        <v>115</v>
      </c>
      <c r="AA213" t="n">
        <v>139</v>
      </c>
      <c r="AB213" t="n">
        <v>2</v>
      </c>
      <c r="AC213" t="n">
        <v>2</v>
      </c>
      <c r="AD213" t="n">
        <v>5</v>
      </c>
      <c r="AE213" t="n">
        <v>5</v>
      </c>
      <c r="AF213" t="n">
        <v>2</v>
      </c>
      <c r="AG213" t="n">
        <v>2</v>
      </c>
      <c r="AH213" t="n">
        <v>1</v>
      </c>
      <c r="AI213" t="n">
        <v>1</v>
      </c>
      <c r="AJ213" t="n">
        <v>2</v>
      </c>
      <c r="AK213" t="n">
        <v>2</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HYPERLINK("https://creighton-primo.hosted.exlibrisgroup.com/primo-explore/search?tab=default_tab&amp;search_scope=EVERYTHING&amp;vid=01CRU&amp;lang=en_US&amp;offset=0&amp;query=any,contains,991001995529702656","Catalog Record")</f>
        <v/>
      </c>
      <c r="AT213">
        <f>HYPERLINK("http://www.worldcat.org/oclc/25368637","WorldCat Record")</f>
        <v/>
      </c>
      <c r="AU213" t="inlineStr">
        <is>
          <t>866233204:eng</t>
        </is>
      </c>
      <c r="AV213" t="inlineStr">
        <is>
          <t>25368637</t>
        </is>
      </c>
      <c r="AW213" t="inlineStr">
        <is>
          <t>991001995529702656</t>
        </is>
      </c>
      <c r="AX213" t="inlineStr">
        <is>
          <t>991001995529702656</t>
        </is>
      </c>
      <c r="AY213" t="inlineStr">
        <is>
          <t>2256783500002656</t>
        </is>
      </c>
      <c r="AZ213" t="inlineStr">
        <is>
          <t>BOOK</t>
        </is>
      </c>
      <c r="BB213" t="inlineStr">
        <is>
          <t>9780415073189</t>
        </is>
      </c>
      <c r="BC213" t="inlineStr">
        <is>
          <t>32285001832988</t>
        </is>
      </c>
      <c r="BD213" t="inlineStr">
        <is>
          <t>893615565</t>
        </is>
      </c>
    </row>
    <row r="214">
      <c r="A214" t="inlineStr">
        <is>
          <t>No</t>
        </is>
      </c>
      <c r="B214" t="inlineStr">
        <is>
          <t>PE1404 .M48 1987</t>
        </is>
      </c>
      <c r="C214" t="inlineStr">
        <is>
          <t>0                      PE 1404000M  48          1987</t>
        </is>
      </c>
      <c r="D214" t="inlineStr">
        <is>
          <t>The practical tutor / Emily Meyer, Louise Z. Smith.</t>
        </is>
      </c>
      <c r="F214" t="inlineStr">
        <is>
          <t>No</t>
        </is>
      </c>
      <c r="G214" t="inlineStr">
        <is>
          <t>1</t>
        </is>
      </c>
      <c r="H214" t="inlineStr">
        <is>
          <t>No</t>
        </is>
      </c>
      <c r="I214" t="inlineStr">
        <is>
          <t>No</t>
        </is>
      </c>
      <c r="J214" t="inlineStr">
        <is>
          <t>0</t>
        </is>
      </c>
      <c r="K214" t="inlineStr">
        <is>
          <t>Meyer, Emily.</t>
        </is>
      </c>
      <c r="L214" t="inlineStr">
        <is>
          <t>New York : Oxford University Press, 1987.</t>
        </is>
      </c>
      <c r="M214" t="inlineStr">
        <is>
          <t>1987</t>
        </is>
      </c>
      <c r="O214" t="inlineStr">
        <is>
          <t>eng</t>
        </is>
      </c>
      <c r="P214" t="inlineStr">
        <is>
          <t>nyu</t>
        </is>
      </c>
      <c r="R214" t="inlineStr">
        <is>
          <t xml:space="preserve">PE </t>
        </is>
      </c>
      <c r="S214" t="n">
        <v>5</v>
      </c>
      <c r="T214" t="n">
        <v>5</v>
      </c>
      <c r="U214" t="inlineStr">
        <is>
          <t>1998-04-08</t>
        </is>
      </c>
      <c r="V214" t="inlineStr">
        <is>
          <t>1998-04-08</t>
        </is>
      </c>
      <c r="W214" t="inlineStr">
        <is>
          <t>1991-10-24</t>
        </is>
      </c>
      <c r="X214" t="inlineStr">
        <is>
          <t>1991-10-24</t>
        </is>
      </c>
      <c r="Y214" t="n">
        <v>459</v>
      </c>
      <c r="Z214" t="n">
        <v>424</v>
      </c>
      <c r="AA214" t="n">
        <v>429</v>
      </c>
      <c r="AB214" t="n">
        <v>5</v>
      </c>
      <c r="AC214" t="n">
        <v>5</v>
      </c>
      <c r="AD214" t="n">
        <v>16</v>
      </c>
      <c r="AE214" t="n">
        <v>16</v>
      </c>
      <c r="AF214" t="n">
        <v>4</v>
      </c>
      <c r="AG214" t="n">
        <v>4</v>
      </c>
      <c r="AH214" t="n">
        <v>3</v>
      </c>
      <c r="AI214" t="n">
        <v>3</v>
      </c>
      <c r="AJ214" t="n">
        <v>5</v>
      </c>
      <c r="AK214" t="n">
        <v>5</v>
      </c>
      <c r="AL214" t="n">
        <v>4</v>
      </c>
      <c r="AM214" t="n">
        <v>4</v>
      </c>
      <c r="AN214" t="n">
        <v>1</v>
      </c>
      <c r="AO214" t="n">
        <v>1</v>
      </c>
      <c r="AP214" t="inlineStr">
        <is>
          <t>No</t>
        </is>
      </c>
      <c r="AQ214" t="inlineStr">
        <is>
          <t>No</t>
        </is>
      </c>
      <c r="AS214">
        <f>HYPERLINK("https://creighton-primo.hosted.exlibrisgroup.com/primo-explore/search?tab=default_tab&amp;search_scope=EVERYTHING&amp;vid=01CRU&amp;lang=en_US&amp;offset=0&amp;query=any,contains,991000816759702656","Catalog Record")</f>
        <v/>
      </c>
      <c r="AT214">
        <f>HYPERLINK("http://www.worldcat.org/oclc/13358800","WorldCat Record")</f>
        <v/>
      </c>
      <c r="AU214" t="inlineStr">
        <is>
          <t>6881255:eng</t>
        </is>
      </c>
      <c r="AV214" t="inlineStr">
        <is>
          <t>13358800</t>
        </is>
      </c>
      <c r="AW214" t="inlineStr">
        <is>
          <t>991000816759702656</t>
        </is>
      </c>
      <c r="AX214" t="inlineStr">
        <is>
          <t>991000816759702656</t>
        </is>
      </c>
      <c r="AY214" t="inlineStr">
        <is>
          <t>2267869430002656</t>
        </is>
      </c>
      <c r="AZ214" t="inlineStr">
        <is>
          <t>BOOK</t>
        </is>
      </c>
      <c r="BB214" t="inlineStr">
        <is>
          <t>9780195038651</t>
        </is>
      </c>
      <c r="BC214" t="inlineStr">
        <is>
          <t>32285000727882</t>
        </is>
      </c>
      <c r="BD214" t="inlineStr">
        <is>
          <t>893720807</t>
        </is>
      </c>
    </row>
    <row r="215">
      <c r="A215" t="inlineStr">
        <is>
          <t>No</t>
        </is>
      </c>
      <c r="B215" t="inlineStr">
        <is>
          <t>PE1404 .M66 1993</t>
        </is>
      </c>
      <c r="C215" t="inlineStr">
        <is>
          <t>0                      PE 1404000M  66          1993</t>
        </is>
      </c>
      <c r="D215" t="inlineStr">
        <is>
          <t>Writing and thinking with computers : a practical and progressive approach / Rick Monroe.</t>
        </is>
      </c>
      <c r="F215" t="inlineStr">
        <is>
          <t>No</t>
        </is>
      </c>
      <c r="G215" t="inlineStr">
        <is>
          <t>1</t>
        </is>
      </c>
      <c r="H215" t="inlineStr">
        <is>
          <t>No</t>
        </is>
      </c>
      <c r="I215" t="inlineStr">
        <is>
          <t>No</t>
        </is>
      </c>
      <c r="J215" t="inlineStr">
        <is>
          <t>0</t>
        </is>
      </c>
      <c r="K215" t="inlineStr">
        <is>
          <t>Monroe, Rick, 1954-</t>
        </is>
      </c>
      <c r="L215" t="inlineStr">
        <is>
          <t>Urbana, Ill. : National Council of Teachers of English, c1993.</t>
        </is>
      </c>
      <c r="M215" t="inlineStr">
        <is>
          <t>1993</t>
        </is>
      </c>
      <c r="O215" t="inlineStr">
        <is>
          <t>eng</t>
        </is>
      </c>
      <c r="P215" t="inlineStr">
        <is>
          <t>ilu</t>
        </is>
      </c>
      <c r="R215" t="inlineStr">
        <is>
          <t xml:space="preserve">PE </t>
        </is>
      </c>
      <c r="S215" t="n">
        <v>2</v>
      </c>
      <c r="T215" t="n">
        <v>2</v>
      </c>
      <c r="U215" t="inlineStr">
        <is>
          <t>2001-05-10</t>
        </is>
      </c>
      <c r="V215" t="inlineStr">
        <is>
          <t>2001-05-10</t>
        </is>
      </c>
      <c r="W215" t="inlineStr">
        <is>
          <t>1996-05-16</t>
        </is>
      </c>
      <c r="X215" t="inlineStr">
        <is>
          <t>1996-05-16</t>
        </is>
      </c>
      <c r="Y215" t="n">
        <v>296</v>
      </c>
      <c r="Z215" t="n">
        <v>263</v>
      </c>
      <c r="AA215" t="n">
        <v>268</v>
      </c>
      <c r="AB215" t="n">
        <v>3</v>
      </c>
      <c r="AC215" t="n">
        <v>3</v>
      </c>
      <c r="AD215" t="n">
        <v>13</v>
      </c>
      <c r="AE215" t="n">
        <v>13</v>
      </c>
      <c r="AF215" t="n">
        <v>8</v>
      </c>
      <c r="AG215" t="n">
        <v>8</v>
      </c>
      <c r="AH215" t="n">
        <v>1</v>
      </c>
      <c r="AI215" t="n">
        <v>1</v>
      </c>
      <c r="AJ215" t="n">
        <v>6</v>
      </c>
      <c r="AK215" t="n">
        <v>6</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HYPERLINK("https://creighton-primo.hosted.exlibrisgroup.com/primo-explore/search?tab=default_tab&amp;search_scope=EVERYTHING&amp;vid=01CRU&amp;lang=en_US&amp;offset=0&amp;query=any,contains,991002178329702656","Catalog Record")</f>
        <v/>
      </c>
      <c r="AT215">
        <f>HYPERLINK("http://www.worldcat.org/oclc/28028648","WorldCat Record")</f>
        <v/>
      </c>
      <c r="AU215" t="inlineStr">
        <is>
          <t>998378086:eng</t>
        </is>
      </c>
      <c r="AV215" t="inlineStr">
        <is>
          <t>28028648</t>
        </is>
      </c>
      <c r="AW215" t="inlineStr">
        <is>
          <t>991002178329702656</t>
        </is>
      </c>
      <c r="AX215" t="inlineStr">
        <is>
          <t>991002178329702656</t>
        </is>
      </c>
      <c r="AY215" t="inlineStr">
        <is>
          <t>2264532440002656</t>
        </is>
      </c>
      <c r="AZ215" t="inlineStr">
        <is>
          <t>BOOK</t>
        </is>
      </c>
      <c r="BB215" t="inlineStr">
        <is>
          <t>9780814158937</t>
        </is>
      </c>
      <c r="BC215" t="inlineStr">
        <is>
          <t>32285002169315</t>
        </is>
      </c>
      <c r="BD215" t="inlineStr">
        <is>
          <t>893591003</t>
        </is>
      </c>
    </row>
    <row r="216">
      <c r="A216" t="inlineStr">
        <is>
          <t>No</t>
        </is>
      </c>
      <c r="B216" t="inlineStr">
        <is>
          <t>PE1404 .N64 1991</t>
        </is>
      </c>
      <c r="C216" t="inlineStr">
        <is>
          <t>0                      PE 1404000N  64          1991</t>
        </is>
      </c>
      <c r="D216" t="inlineStr">
        <is>
          <t>Grammar and the teaching of writing : limits and possibilities / Rei R. Noguchi.</t>
        </is>
      </c>
      <c r="F216" t="inlineStr">
        <is>
          <t>No</t>
        </is>
      </c>
      <c r="G216" t="inlineStr">
        <is>
          <t>1</t>
        </is>
      </c>
      <c r="H216" t="inlineStr">
        <is>
          <t>No</t>
        </is>
      </c>
      <c r="I216" t="inlineStr">
        <is>
          <t>No</t>
        </is>
      </c>
      <c r="J216" t="inlineStr">
        <is>
          <t>0</t>
        </is>
      </c>
      <c r="K216" t="inlineStr">
        <is>
          <t>Noguchi, Rei R.</t>
        </is>
      </c>
      <c r="L216" t="inlineStr">
        <is>
          <t>Urbana, Ill. : National Council of Teachers of English, c1991.</t>
        </is>
      </c>
      <c r="M216" t="inlineStr">
        <is>
          <t>1991</t>
        </is>
      </c>
      <c r="O216" t="inlineStr">
        <is>
          <t>eng</t>
        </is>
      </c>
      <c r="P216" t="inlineStr">
        <is>
          <t>ilu</t>
        </is>
      </c>
      <c r="R216" t="inlineStr">
        <is>
          <t xml:space="preserve">PE </t>
        </is>
      </c>
      <c r="S216" t="n">
        <v>4</v>
      </c>
      <c r="T216" t="n">
        <v>4</v>
      </c>
      <c r="U216" t="inlineStr">
        <is>
          <t>2000-11-09</t>
        </is>
      </c>
      <c r="V216" t="inlineStr">
        <is>
          <t>2000-11-09</t>
        </is>
      </c>
      <c r="W216" t="inlineStr">
        <is>
          <t>1996-05-16</t>
        </is>
      </c>
      <c r="X216" t="inlineStr">
        <is>
          <t>1996-05-16</t>
        </is>
      </c>
      <c r="Y216" t="n">
        <v>715</v>
      </c>
      <c r="Z216" t="n">
        <v>648</v>
      </c>
      <c r="AA216" t="n">
        <v>656</v>
      </c>
      <c r="AB216" t="n">
        <v>6</v>
      </c>
      <c r="AC216" t="n">
        <v>6</v>
      </c>
      <c r="AD216" t="n">
        <v>29</v>
      </c>
      <c r="AE216" t="n">
        <v>29</v>
      </c>
      <c r="AF216" t="n">
        <v>14</v>
      </c>
      <c r="AG216" t="n">
        <v>14</v>
      </c>
      <c r="AH216" t="n">
        <v>7</v>
      </c>
      <c r="AI216" t="n">
        <v>7</v>
      </c>
      <c r="AJ216" t="n">
        <v>14</v>
      </c>
      <c r="AK216" t="n">
        <v>14</v>
      </c>
      <c r="AL216" t="n">
        <v>5</v>
      </c>
      <c r="AM216" t="n">
        <v>5</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HYPERLINK("https://creighton-primo.hosted.exlibrisgroup.com/primo-explore/search?tab=default_tab&amp;search_scope=EVERYTHING&amp;vid=01CRU&amp;lang=en_US&amp;offset=0&amp;query=any,contains,991001821949702656","Catalog Record")</f>
        <v/>
      </c>
      <c r="AT216">
        <f>HYPERLINK("http://www.worldcat.org/oclc/22892304","WorldCat Record")</f>
        <v/>
      </c>
      <c r="AU216" t="inlineStr">
        <is>
          <t>476034369:eng</t>
        </is>
      </c>
      <c r="AV216" t="inlineStr">
        <is>
          <t>22892304</t>
        </is>
      </c>
      <c r="AW216" t="inlineStr">
        <is>
          <t>991001821949702656</t>
        </is>
      </c>
      <c r="AX216" t="inlineStr">
        <is>
          <t>991001821949702656</t>
        </is>
      </c>
      <c r="AY216" t="inlineStr">
        <is>
          <t>2267409810002656</t>
        </is>
      </c>
      <c r="AZ216" t="inlineStr">
        <is>
          <t>BOOK</t>
        </is>
      </c>
      <c r="BB216" t="inlineStr">
        <is>
          <t>9780814118740</t>
        </is>
      </c>
      <c r="BC216" t="inlineStr">
        <is>
          <t>32285002169000</t>
        </is>
      </c>
      <c r="BD216" t="inlineStr">
        <is>
          <t>893621652</t>
        </is>
      </c>
    </row>
    <row r="217">
      <c r="A217" t="inlineStr">
        <is>
          <t>No</t>
        </is>
      </c>
      <c r="B217" t="inlineStr">
        <is>
          <t>PE1404 .N67 1987</t>
        </is>
      </c>
      <c r="C217" t="inlineStr">
        <is>
          <t>0                      PE 1404000N  67          1987</t>
        </is>
      </c>
      <c r="D217" t="inlineStr">
        <is>
          <t>The making of knowledge in composition : portrait of an emerging field / Stephen M. North.</t>
        </is>
      </c>
      <c r="F217" t="inlineStr">
        <is>
          <t>No</t>
        </is>
      </c>
      <c r="G217" t="inlineStr">
        <is>
          <t>1</t>
        </is>
      </c>
      <c r="H217" t="inlineStr">
        <is>
          <t>No</t>
        </is>
      </c>
      <c r="I217" t="inlineStr">
        <is>
          <t>No</t>
        </is>
      </c>
      <c r="J217" t="inlineStr">
        <is>
          <t>0</t>
        </is>
      </c>
      <c r="K217" t="inlineStr">
        <is>
          <t>North, Stephen M.</t>
        </is>
      </c>
      <c r="L217" t="inlineStr">
        <is>
          <t>Upper Montclair, N.J. : Boynton/Cook Publishers, c1987.</t>
        </is>
      </c>
      <c r="M217" t="inlineStr">
        <is>
          <t>1987</t>
        </is>
      </c>
      <c r="O217" t="inlineStr">
        <is>
          <t>eng</t>
        </is>
      </c>
      <c r="P217" t="inlineStr">
        <is>
          <t>nju</t>
        </is>
      </c>
      <c r="R217" t="inlineStr">
        <is>
          <t xml:space="preserve">PE </t>
        </is>
      </c>
      <c r="S217" t="n">
        <v>4</v>
      </c>
      <c r="T217" t="n">
        <v>4</v>
      </c>
      <c r="U217" t="inlineStr">
        <is>
          <t>2006-09-18</t>
        </is>
      </c>
      <c r="V217" t="inlineStr">
        <is>
          <t>2006-09-18</t>
        </is>
      </c>
      <c r="W217" t="inlineStr">
        <is>
          <t>2003-03-27</t>
        </is>
      </c>
      <c r="X217" t="inlineStr">
        <is>
          <t>2003-03-27</t>
        </is>
      </c>
      <c r="Y217" t="n">
        <v>646</v>
      </c>
      <c r="Z217" t="n">
        <v>602</v>
      </c>
      <c r="AA217" t="n">
        <v>609</v>
      </c>
      <c r="AB217" t="n">
        <v>9</v>
      </c>
      <c r="AC217" t="n">
        <v>9</v>
      </c>
      <c r="AD217" t="n">
        <v>39</v>
      </c>
      <c r="AE217" t="n">
        <v>39</v>
      </c>
      <c r="AF217" t="n">
        <v>15</v>
      </c>
      <c r="AG217" t="n">
        <v>15</v>
      </c>
      <c r="AH217" t="n">
        <v>8</v>
      </c>
      <c r="AI217" t="n">
        <v>8</v>
      </c>
      <c r="AJ217" t="n">
        <v>16</v>
      </c>
      <c r="AK217" t="n">
        <v>16</v>
      </c>
      <c r="AL217" t="n">
        <v>8</v>
      </c>
      <c r="AM217" t="n">
        <v>8</v>
      </c>
      <c r="AN217" t="n">
        <v>0</v>
      </c>
      <c r="AO217" t="n">
        <v>0</v>
      </c>
      <c r="AP217" t="inlineStr">
        <is>
          <t>No</t>
        </is>
      </c>
      <c r="AQ217" t="inlineStr">
        <is>
          <t>Yes</t>
        </is>
      </c>
      <c r="AR217">
        <f>HYPERLINK("http://catalog.hathitrust.org/Record/000815093","HathiTrust Record")</f>
        <v/>
      </c>
      <c r="AS217">
        <f>HYPERLINK("https://creighton-primo.hosted.exlibrisgroup.com/primo-explore/search?tab=default_tab&amp;search_scope=EVERYTHING&amp;vid=01CRU&amp;lang=en_US&amp;offset=0&amp;query=any,contains,991004030959702656","Catalog Record")</f>
        <v/>
      </c>
      <c r="AT217">
        <f>HYPERLINK("http://www.worldcat.org/oclc/15251762","WorldCat Record")</f>
        <v/>
      </c>
      <c r="AU217" t="inlineStr">
        <is>
          <t>9789296:eng</t>
        </is>
      </c>
      <c r="AV217" t="inlineStr">
        <is>
          <t>15251762</t>
        </is>
      </c>
      <c r="AW217" t="inlineStr">
        <is>
          <t>991004030959702656</t>
        </is>
      </c>
      <c r="AX217" t="inlineStr">
        <is>
          <t>991004030959702656</t>
        </is>
      </c>
      <c r="AY217" t="inlineStr">
        <is>
          <t>2255322340002656</t>
        </is>
      </c>
      <c r="AZ217" t="inlineStr">
        <is>
          <t>BOOK</t>
        </is>
      </c>
      <c r="BB217" t="inlineStr">
        <is>
          <t>9780867091519</t>
        </is>
      </c>
      <c r="BC217" t="inlineStr">
        <is>
          <t>32285004687595</t>
        </is>
      </c>
      <c r="BD217" t="inlineStr">
        <is>
          <t>893349529</t>
        </is>
      </c>
    </row>
    <row r="218">
      <c r="A218" t="inlineStr">
        <is>
          <t>No</t>
        </is>
      </c>
      <c r="B218" t="inlineStr">
        <is>
          <t>PE1404 .O93 2001</t>
        </is>
      </c>
      <c r="C218" t="inlineStr">
        <is>
          <t>0                      PE 1404000O  93          2001</t>
        </is>
      </c>
      <c r="D218" t="inlineStr">
        <is>
          <t>Composition and sustainability : teaching for a threatened generation / Derek Owens.</t>
        </is>
      </c>
      <c r="F218" t="inlineStr">
        <is>
          <t>No</t>
        </is>
      </c>
      <c r="G218" t="inlineStr">
        <is>
          <t>1</t>
        </is>
      </c>
      <c r="H218" t="inlineStr">
        <is>
          <t>No</t>
        </is>
      </c>
      <c r="I218" t="inlineStr">
        <is>
          <t>No</t>
        </is>
      </c>
      <c r="J218" t="inlineStr">
        <is>
          <t>0</t>
        </is>
      </c>
      <c r="K218" t="inlineStr">
        <is>
          <t>Owens, Derek, 1963-</t>
        </is>
      </c>
      <c r="L218" t="inlineStr">
        <is>
          <t>Urbana, Ill. : National Council of Teachers of English, c2001.</t>
        </is>
      </c>
      <c r="M218" t="inlineStr">
        <is>
          <t>2001</t>
        </is>
      </c>
      <c r="O218" t="inlineStr">
        <is>
          <t>eng</t>
        </is>
      </c>
      <c r="P218" t="inlineStr">
        <is>
          <t>ilu</t>
        </is>
      </c>
      <c r="Q218" t="inlineStr">
        <is>
          <t>Refiguring English studies, 1073-9637</t>
        </is>
      </c>
      <c r="R218" t="inlineStr">
        <is>
          <t xml:space="preserve">PE </t>
        </is>
      </c>
      <c r="S218" t="n">
        <v>1</v>
      </c>
      <c r="T218" t="n">
        <v>1</v>
      </c>
      <c r="U218" t="inlineStr">
        <is>
          <t>2005-09-28</t>
        </is>
      </c>
      <c r="V218" t="inlineStr">
        <is>
          <t>2005-09-28</t>
        </is>
      </c>
      <c r="W218" t="inlineStr">
        <is>
          <t>2003-10-09</t>
        </is>
      </c>
      <c r="X218" t="inlineStr">
        <is>
          <t>2003-10-09</t>
        </is>
      </c>
      <c r="Y218" t="n">
        <v>305</v>
      </c>
      <c r="Z218" t="n">
        <v>283</v>
      </c>
      <c r="AA218" t="n">
        <v>287</v>
      </c>
      <c r="AB218" t="n">
        <v>3</v>
      </c>
      <c r="AC218" t="n">
        <v>3</v>
      </c>
      <c r="AD218" t="n">
        <v>10</v>
      </c>
      <c r="AE218" t="n">
        <v>10</v>
      </c>
      <c r="AF218" t="n">
        <v>2</v>
      </c>
      <c r="AG218" t="n">
        <v>2</v>
      </c>
      <c r="AH218" t="n">
        <v>3</v>
      </c>
      <c r="AI218" t="n">
        <v>3</v>
      </c>
      <c r="AJ218" t="n">
        <v>3</v>
      </c>
      <c r="AK218" t="n">
        <v>3</v>
      </c>
      <c r="AL218" t="n">
        <v>2</v>
      </c>
      <c r="AM218" t="n">
        <v>2</v>
      </c>
      <c r="AN218" t="n">
        <v>0</v>
      </c>
      <c r="AO218" t="n">
        <v>0</v>
      </c>
      <c r="AP218" t="inlineStr">
        <is>
          <t>No</t>
        </is>
      </c>
      <c r="AQ218" t="inlineStr">
        <is>
          <t>Yes</t>
        </is>
      </c>
      <c r="AR218">
        <f>HYPERLINK("http://catalog.hathitrust.org/Record/007141464","HathiTrust Record")</f>
        <v/>
      </c>
      <c r="AS218">
        <f>HYPERLINK("https://creighton-primo.hosted.exlibrisgroup.com/primo-explore/search?tab=default_tab&amp;search_scope=EVERYTHING&amp;vid=01CRU&amp;lang=en_US&amp;offset=0&amp;query=any,contains,991004140649702656","Catalog Record")</f>
        <v/>
      </c>
      <c r="AT218">
        <f>HYPERLINK("http://www.worldcat.org/oclc/47243979","WorldCat Record")</f>
        <v/>
      </c>
      <c r="AU218" t="inlineStr">
        <is>
          <t>36765501:eng</t>
        </is>
      </c>
      <c r="AV218" t="inlineStr">
        <is>
          <t>47243979</t>
        </is>
      </c>
      <c r="AW218" t="inlineStr">
        <is>
          <t>991004140649702656</t>
        </is>
      </c>
      <c r="AX218" t="inlineStr">
        <is>
          <t>991004140649702656</t>
        </is>
      </c>
      <c r="AY218" t="inlineStr">
        <is>
          <t>2263513980002656</t>
        </is>
      </c>
      <c r="AZ218" t="inlineStr">
        <is>
          <t>BOOK</t>
        </is>
      </c>
      <c r="BB218" t="inlineStr">
        <is>
          <t>9780814100370</t>
        </is>
      </c>
      <c r="BC218" t="inlineStr">
        <is>
          <t>32285004787528</t>
        </is>
      </c>
      <c r="BD218" t="inlineStr">
        <is>
          <t>893525702</t>
        </is>
      </c>
    </row>
    <row r="219">
      <c r="A219" t="inlineStr">
        <is>
          <t>No</t>
        </is>
      </c>
      <c r="B219" t="inlineStr">
        <is>
          <t>PE1404 .P5</t>
        </is>
      </c>
      <c r="C219" t="inlineStr">
        <is>
          <t>0                      PE 1404000P  5</t>
        </is>
      </c>
      <c r="D219" t="inlineStr">
        <is>
          <t>Teaching writing.</t>
        </is>
      </c>
      <c r="F219" t="inlineStr">
        <is>
          <t>No</t>
        </is>
      </c>
      <c r="G219" t="inlineStr">
        <is>
          <t>1</t>
        </is>
      </c>
      <c r="H219" t="inlineStr">
        <is>
          <t>No</t>
        </is>
      </c>
      <c r="I219" t="inlineStr">
        <is>
          <t>No</t>
        </is>
      </c>
      <c r="J219" t="inlineStr">
        <is>
          <t>0</t>
        </is>
      </c>
      <c r="K219" t="inlineStr">
        <is>
          <t>Pierson, Howard.</t>
        </is>
      </c>
      <c r="L219" t="inlineStr">
        <is>
          <t>Englewood Cliffs, N.J., Prentice-Hall [1972]</t>
        </is>
      </c>
      <c r="M219" t="inlineStr">
        <is>
          <t>1972</t>
        </is>
      </c>
      <c r="O219" t="inlineStr">
        <is>
          <t>eng</t>
        </is>
      </c>
      <c r="P219" t="inlineStr">
        <is>
          <t>nju</t>
        </is>
      </c>
      <c r="R219" t="inlineStr">
        <is>
          <t xml:space="preserve">PE </t>
        </is>
      </c>
      <c r="S219" t="n">
        <v>9</v>
      </c>
      <c r="T219" t="n">
        <v>9</v>
      </c>
      <c r="U219" t="inlineStr">
        <is>
          <t>1999-04-15</t>
        </is>
      </c>
      <c r="V219" t="inlineStr">
        <is>
          <t>1999-04-15</t>
        </is>
      </c>
      <c r="W219" t="inlineStr">
        <is>
          <t>1997-09-24</t>
        </is>
      </c>
      <c r="X219" t="inlineStr">
        <is>
          <t>1997-09-24</t>
        </is>
      </c>
      <c r="Y219" t="n">
        <v>256</v>
      </c>
      <c r="Z219" t="n">
        <v>235</v>
      </c>
      <c r="AA219" t="n">
        <v>241</v>
      </c>
      <c r="AB219" t="n">
        <v>4</v>
      </c>
      <c r="AC219" t="n">
        <v>4</v>
      </c>
      <c r="AD219" t="n">
        <v>10</v>
      </c>
      <c r="AE219" t="n">
        <v>10</v>
      </c>
      <c r="AF219" t="n">
        <v>4</v>
      </c>
      <c r="AG219" t="n">
        <v>4</v>
      </c>
      <c r="AH219" t="n">
        <v>2</v>
      </c>
      <c r="AI219" t="n">
        <v>2</v>
      </c>
      <c r="AJ219" t="n">
        <v>5</v>
      </c>
      <c r="AK219" t="n">
        <v>5</v>
      </c>
      <c r="AL219" t="n">
        <v>3</v>
      </c>
      <c r="AM219" t="n">
        <v>3</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HYPERLINK("https://creighton-primo.hosted.exlibrisgroup.com/primo-explore/search?tab=default_tab&amp;search_scope=EVERYTHING&amp;vid=01CRU&amp;lang=en_US&amp;offset=0&amp;query=any,contains,991002394749702656","Catalog Record")</f>
        <v/>
      </c>
      <c r="AT219">
        <f>HYPERLINK("http://www.worldcat.org/oclc/334183","WorldCat Record")</f>
        <v/>
      </c>
      <c r="AU219" t="inlineStr">
        <is>
          <t>1447035:eng</t>
        </is>
      </c>
      <c r="AV219" t="inlineStr">
        <is>
          <t>334183</t>
        </is>
      </c>
      <c r="AW219" t="inlineStr">
        <is>
          <t>991002394749702656</t>
        </is>
      </c>
      <c r="AX219" t="inlineStr">
        <is>
          <t>991002394749702656</t>
        </is>
      </c>
      <c r="AY219" t="inlineStr">
        <is>
          <t>2257302310002656</t>
        </is>
      </c>
      <c r="AZ219" t="inlineStr">
        <is>
          <t>BOOK</t>
        </is>
      </c>
      <c r="BB219" t="inlineStr">
        <is>
          <t>9780138963163</t>
        </is>
      </c>
      <c r="BC219" t="inlineStr">
        <is>
          <t>32285003246005</t>
        </is>
      </c>
      <c r="BD219" t="inlineStr">
        <is>
          <t>893704020</t>
        </is>
      </c>
    </row>
    <row r="220">
      <c r="A220" t="inlineStr">
        <is>
          <t>No</t>
        </is>
      </c>
      <c r="B220" t="inlineStr">
        <is>
          <t>PE1404 .P63 2002</t>
        </is>
      </c>
      <c r="C220" t="inlineStr">
        <is>
          <t>0                      PE 1404000P  63          2002</t>
        </is>
      </c>
      <c r="D220" t="inlineStr">
        <is>
          <t>Practice in context : situating the work of writing teachers / edited by Cindy Moore, Peggy O'Neill.</t>
        </is>
      </c>
      <c r="F220" t="inlineStr">
        <is>
          <t>No</t>
        </is>
      </c>
      <c r="G220" t="inlineStr">
        <is>
          <t>1</t>
        </is>
      </c>
      <c r="H220" t="inlineStr">
        <is>
          <t>No</t>
        </is>
      </c>
      <c r="I220" t="inlineStr">
        <is>
          <t>No</t>
        </is>
      </c>
      <c r="J220" t="inlineStr">
        <is>
          <t>0</t>
        </is>
      </c>
      <c r="L220" t="inlineStr">
        <is>
          <t>Urbana, Ill. : National Council of Teachers of English, c2002.</t>
        </is>
      </c>
      <c r="M220" t="inlineStr">
        <is>
          <t>2002</t>
        </is>
      </c>
      <c r="O220" t="inlineStr">
        <is>
          <t>eng</t>
        </is>
      </c>
      <c r="P220" t="inlineStr">
        <is>
          <t>ilu</t>
        </is>
      </c>
      <c r="R220" t="inlineStr">
        <is>
          <t xml:space="preserve">PE </t>
        </is>
      </c>
      <c r="S220" t="n">
        <v>3</v>
      </c>
      <c r="T220" t="n">
        <v>3</v>
      </c>
      <c r="U220" t="inlineStr">
        <is>
          <t>2008-06-19</t>
        </is>
      </c>
      <c r="V220" t="inlineStr">
        <is>
          <t>2008-06-19</t>
        </is>
      </c>
      <c r="W220" t="inlineStr">
        <is>
          <t>2003-04-14</t>
        </is>
      </c>
      <c r="X220" t="inlineStr">
        <is>
          <t>2003-04-14</t>
        </is>
      </c>
      <c r="Y220" t="n">
        <v>259</v>
      </c>
      <c r="Z220" t="n">
        <v>239</v>
      </c>
      <c r="AA220" t="n">
        <v>243</v>
      </c>
      <c r="AB220" t="n">
        <v>3</v>
      </c>
      <c r="AC220" t="n">
        <v>3</v>
      </c>
      <c r="AD220" t="n">
        <v>11</v>
      </c>
      <c r="AE220" t="n">
        <v>11</v>
      </c>
      <c r="AF220" t="n">
        <v>3</v>
      </c>
      <c r="AG220" t="n">
        <v>3</v>
      </c>
      <c r="AH220" t="n">
        <v>3</v>
      </c>
      <c r="AI220" t="n">
        <v>3</v>
      </c>
      <c r="AJ220" t="n">
        <v>4</v>
      </c>
      <c r="AK220" t="n">
        <v>4</v>
      </c>
      <c r="AL220" t="n">
        <v>2</v>
      </c>
      <c r="AM220" t="n">
        <v>2</v>
      </c>
      <c r="AN220" t="n">
        <v>0</v>
      </c>
      <c r="AO220" t="n">
        <v>0</v>
      </c>
      <c r="AP220" t="inlineStr">
        <is>
          <t>No</t>
        </is>
      </c>
      <c r="AQ220" t="inlineStr">
        <is>
          <t>Yes</t>
        </is>
      </c>
      <c r="AR220">
        <f>HYPERLINK("http://catalog.hathitrust.org/Record/007142540","HathiTrust Record")</f>
        <v/>
      </c>
      <c r="AS220">
        <f>HYPERLINK("https://creighton-primo.hosted.exlibrisgroup.com/primo-explore/search?tab=default_tab&amp;search_scope=EVERYTHING&amp;vid=01CRU&amp;lang=en_US&amp;offset=0&amp;query=any,contains,991004031179702656","Catalog Record")</f>
        <v/>
      </c>
      <c r="AT220">
        <f>HYPERLINK("http://www.worldcat.org/oclc/50205578","WorldCat Record")</f>
        <v/>
      </c>
      <c r="AU220" t="inlineStr">
        <is>
          <t>1013527:eng</t>
        </is>
      </c>
      <c r="AV220" t="inlineStr">
        <is>
          <t>50205578</t>
        </is>
      </c>
      <c r="AW220" t="inlineStr">
        <is>
          <t>991004031179702656</t>
        </is>
      </c>
      <c r="AX220" t="inlineStr">
        <is>
          <t>991004031179702656</t>
        </is>
      </c>
      <c r="AY220" t="inlineStr">
        <is>
          <t>2255393650002656</t>
        </is>
      </c>
      <c r="AZ220" t="inlineStr">
        <is>
          <t>BOOK</t>
        </is>
      </c>
      <c r="BB220" t="inlineStr">
        <is>
          <t>9780814136614</t>
        </is>
      </c>
      <c r="BC220" t="inlineStr">
        <is>
          <t>32285004742275</t>
        </is>
      </c>
      <c r="BD220" t="inlineStr">
        <is>
          <t>893417141</t>
        </is>
      </c>
    </row>
    <row r="221">
      <c r="A221" t="inlineStr">
        <is>
          <t>No</t>
        </is>
      </c>
      <c r="B221" t="inlineStr">
        <is>
          <t>PE1404 .P65 1994</t>
        </is>
      </c>
      <c r="C221" t="inlineStr">
        <is>
          <t>0                      PE 1404000P  65          1994</t>
        </is>
      </c>
      <c r="D221" t="inlineStr">
        <is>
          <t>Presence of mind : writing and the domain beyond the cognitive / edited by Alice Glarden Brand and Richard L. Graves.</t>
        </is>
      </c>
      <c r="F221" t="inlineStr">
        <is>
          <t>No</t>
        </is>
      </c>
      <c r="G221" t="inlineStr">
        <is>
          <t>1</t>
        </is>
      </c>
      <c r="H221" t="inlineStr">
        <is>
          <t>No</t>
        </is>
      </c>
      <c r="I221" t="inlineStr">
        <is>
          <t>No</t>
        </is>
      </c>
      <c r="J221" t="inlineStr">
        <is>
          <t>0</t>
        </is>
      </c>
      <c r="L221" t="inlineStr">
        <is>
          <t>Portsmouth, NH : Boynton/Cook Pub., c1994.</t>
        </is>
      </c>
      <c r="M221" t="inlineStr">
        <is>
          <t>1994</t>
        </is>
      </c>
      <c r="O221" t="inlineStr">
        <is>
          <t>eng</t>
        </is>
      </c>
      <c r="P221" t="inlineStr">
        <is>
          <t>nhu</t>
        </is>
      </c>
      <c r="R221" t="inlineStr">
        <is>
          <t xml:space="preserve">PE </t>
        </is>
      </c>
      <c r="S221" t="n">
        <v>1</v>
      </c>
      <c r="T221" t="n">
        <v>1</v>
      </c>
      <c r="U221" t="inlineStr">
        <is>
          <t>2006-12-04</t>
        </is>
      </c>
      <c r="V221" t="inlineStr">
        <is>
          <t>2006-12-04</t>
        </is>
      </c>
      <c r="W221" t="inlineStr">
        <is>
          <t>2006-12-04</t>
        </is>
      </c>
      <c r="X221" t="inlineStr">
        <is>
          <t>2006-12-04</t>
        </is>
      </c>
      <c r="Y221" t="n">
        <v>262</v>
      </c>
      <c r="Z221" t="n">
        <v>239</v>
      </c>
      <c r="AA221" t="n">
        <v>240</v>
      </c>
      <c r="AB221" t="n">
        <v>2</v>
      </c>
      <c r="AC221" t="n">
        <v>2</v>
      </c>
      <c r="AD221" t="n">
        <v>12</v>
      </c>
      <c r="AE221" t="n">
        <v>12</v>
      </c>
      <c r="AF221" t="n">
        <v>2</v>
      </c>
      <c r="AG221" t="n">
        <v>2</v>
      </c>
      <c r="AH221" t="n">
        <v>6</v>
      </c>
      <c r="AI221" t="n">
        <v>6</v>
      </c>
      <c r="AJ221" t="n">
        <v>6</v>
      </c>
      <c r="AK221" t="n">
        <v>6</v>
      </c>
      <c r="AL221" t="n">
        <v>1</v>
      </c>
      <c r="AM221" t="n">
        <v>1</v>
      </c>
      <c r="AN221" t="n">
        <v>0</v>
      </c>
      <c r="AO221" t="n">
        <v>0</v>
      </c>
      <c r="AP221" t="inlineStr">
        <is>
          <t>No</t>
        </is>
      </c>
      <c r="AQ221" t="inlineStr">
        <is>
          <t>Yes</t>
        </is>
      </c>
      <c r="AR221">
        <f>HYPERLINK("http://catalog.hathitrust.org/Record/002866946","HathiTrust Record")</f>
        <v/>
      </c>
      <c r="AS221">
        <f>HYPERLINK("https://creighton-primo.hosted.exlibrisgroup.com/primo-explore/search?tab=default_tab&amp;search_scope=EVERYTHING&amp;vid=01CRU&amp;lang=en_US&amp;offset=0&amp;query=any,contains,991004961459702656","Catalog Record")</f>
        <v/>
      </c>
      <c r="AT221">
        <f>HYPERLINK("http://www.worldcat.org/oclc/29478330","WorldCat Record")</f>
        <v/>
      </c>
      <c r="AU221" t="inlineStr">
        <is>
          <t>31569371:eng</t>
        </is>
      </c>
      <c r="AV221" t="inlineStr">
        <is>
          <t>29478330</t>
        </is>
      </c>
      <c r="AW221" t="inlineStr">
        <is>
          <t>991004961459702656</t>
        </is>
      </c>
      <c r="AX221" t="inlineStr">
        <is>
          <t>991004961459702656</t>
        </is>
      </c>
      <c r="AY221" t="inlineStr">
        <is>
          <t>2268892530002656</t>
        </is>
      </c>
      <c r="AZ221" t="inlineStr">
        <is>
          <t>BOOK</t>
        </is>
      </c>
      <c r="BB221" t="inlineStr">
        <is>
          <t>9780867093360</t>
        </is>
      </c>
      <c r="BC221" t="inlineStr">
        <is>
          <t>32285005263818</t>
        </is>
      </c>
      <c r="BD221" t="inlineStr">
        <is>
          <t>893782847</t>
        </is>
      </c>
    </row>
    <row r="222">
      <c r="A222" t="inlineStr">
        <is>
          <t>No</t>
        </is>
      </c>
      <c r="B222" t="inlineStr">
        <is>
          <t>PE1404 .P67 1990</t>
        </is>
      </c>
      <c r="C222" t="inlineStr">
        <is>
          <t>0                      PE 1404000P  67          1990</t>
        </is>
      </c>
      <c r="D222" t="inlineStr">
        <is>
          <t>Programs that work : models and methods for writing across the curriculum / edited by Toby Fulwiler and Art Young.</t>
        </is>
      </c>
      <c r="F222" t="inlineStr">
        <is>
          <t>No</t>
        </is>
      </c>
      <c r="G222" t="inlineStr">
        <is>
          <t>1</t>
        </is>
      </c>
      <c r="H222" t="inlineStr">
        <is>
          <t>No</t>
        </is>
      </c>
      <c r="I222" t="inlineStr">
        <is>
          <t>No</t>
        </is>
      </c>
      <c r="J222" t="inlineStr">
        <is>
          <t>0</t>
        </is>
      </c>
      <c r="L222" t="inlineStr">
        <is>
          <t>Portsmouth, NH : Boynton/Cook Publishers, c1990.</t>
        </is>
      </c>
      <c r="M222" t="inlineStr">
        <is>
          <t>1990</t>
        </is>
      </c>
      <c r="O222" t="inlineStr">
        <is>
          <t>eng</t>
        </is>
      </c>
      <c r="P222" t="inlineStr">
        <is>
          <t>nhu</t>
        </is>
      </c>
      <c r="R222" t="inlineStr">
        <is>
          <t xml:space="preserve">PE </t>
        </is>
      </c>
      <c r="S222" t="n">
        <v>8</v>
      </c>
      <c r="T222" t="n">
        <v>8</v>
      </c>
      <c r="U222" t="inlineStr">
        <is>
          <t>2009-11-30</t>
        </is>
      </c>
      <c r="V222" t="inlineStr">
        <is>
          <t>2009-11-30</t>
        </is>
      </c>
      <c r="W222" t="inlineStr">
        <is>
          <t>1993-09-01</t>
        </is>
      </c>
      <c r="X222" t="inlineStr">
        <is>
          <t>1993-09-01</t>
        </is>
      </c>
      <c r="Y222" t="n">
        <v>525</v>
      </c>
      <c r="Z222" t="n">
        <v>483</v>
      </c>
      <c r="AA222" t="n">
        <v>489</v>
      </c>
      <c r="AB222" t="n">
        <v>4</v>
      </c>
      <c r="AC222" t="n">
        <v>4</v>
      </c>
      <c r="AD222" t="n">
        <v>21</v>
      </c>
      <c r="AE222" t="n">
        <v>21</v>
      </c>
      <c r="AF222" t="n">
        <v>10</v>
      </c>
      <c r="AG222" t="n">
        <v>10</v>
      </c>
      <c r="AH222" t="n">
        <v>6</v>
      </c>
      <c r="AI222" t="n">
        <v>6</v>
      </c>
      <c r="AJ222" t="n">
        <v>8</v>
      </c>
      <c r="AK222" t="n">
        <v>8</v>
      </c>
      <c r="AL222" t="n">
        <v>3</v>
      </c>
      <c r="AM222" t="n">
        <v>3</v>
      </c>
      <c r="AN222" t="n">
        <v>0</v>
      </c>
      <c r="AO222" t="n">
        <v>0</v>
      </c>
      <c r="AP222" t="inlineStr">
        <is>
          <t>No</t>
        </is>
      </c>
      <c r="AQ222" t="inlineStr">
        <is>
          <t>Yes</t>
        </is>
      </c>
      <c r="AR222">
        <f>HYPERLINK("http://catalog.hathitrust.org/Record/001952368","HathiTrust Record")</f>
        <v/>
      </c>
      <c r="AS222">
        <f>HYPERLINK("https://creighton-primo.hosted.exlibrisgroup.com/primo-explore/search?tab=default_tab&amp;search_scope=EVERYTHING&amp;vid=01CRU&amp;lang=en_US&amp;offset=0&amp;query=any,contains,991001518419702656","Catalog Record")</f>
        <v/>
      </c>
      <c r="AT222">
        <f>HYPERLINK("http://www.worldcat.org/oclc/19970384","WorldCat Record")</f>
        <v/>
      </c>
      <c r="AU222" t="inlineStr">
        <is>
          <t>283864444:eng</t>
        </is>
      </c>
      <c r="AV222" t="inlineStr">
        <is>
          <t>19970384</t>
        </is>
      </c>
      <c r="AW222" t="inlineStr">
        <is>
          <t>991001518419702656</t>
        </is>
      </c>
      <c r="AX222" t="inlineStr">
        <is>
          <t>991001518419702656</t>
        </is>
      </c>
      <c r="AY222" t="inlineStr">
        <is>
          <t>2262084310002656</t>
        </is>
      </c>
      <c r="AZ222" t="inlineStr">
        <is>
          <t>BOOK</t>
        </is>
      </c>
      <c r="BB222" t="inlineStr">
        <is>
          <t>9780867092486</t>
        </is>
      </c>
      <c r="BC222" t="inlineStr">
        <is>
          <t>32285001729283</t>
        </is>
      </c>
      <c r="BD222" t="inlineStr">
        <is>
          <t>893715499</t>
        </is>
      </c>
    </row>
    <row r="223">
      <c r="A223" t="inlineStr">
        <is>
          <t>No</t>
        </is>
      </c>
      <c r="B223" t="inlineStr">
        <is>
          <t>PE1404 .R385 1992</t>
        </is>
      </c>
      <c r="C223" t="inlineStr">
        <is>
          <t>0                      PE 1404000R  385         1992</t>
        </is>
      </c>
      <c r="D223" t="inlineStr">
        <is>
          <t>Re-imagining computers and composition : teaching and research in the virtual age / edited by Gail E. Hawisher &amp; Paul LeBlanc ; [foreword by Edward P.J. Corbett].</t>
        </is>
      </c>
      <c r="F223" t="inlineStr">
        <is>
          <t>No</t>
        </is>
      </c>
      <c r="G223" t="inlineStr">
        <is>
          <t>1</t>
        </is>
      </c>
      <c r="H223" t="inlineStr">
        <is>
          <t>No</t>
        </is>
      </c>
      <c r="I223" t="inlineStr">
        <is>
          <t>No</t>
        </is>
      </c>
      <c r="J223" t="inlineStr">
        <is>
          <t>0</t>
        </is>
      </c>
      <c r="L223" t="inlineStr">
        <is>
          <t>Portsmouth, NH : Boynton/Cook, c1992.</t>
        </is>
      </c>
      <c r="M223" t="inlineStr">
        <is>
          <t>1992</t>
        </is>
      </c>
      <c r="O223" t="inlineStr">
        <is>
          <t>eng</t>
        </is>
      </c>
      <c r="P223" t="inlineStr">
        <is>
          <t>nhu</t>
        </is>
      </c>
      <c r="R223" t="inlineStr">
        <is>
          <t xml:space="preserve">PE </t>
        </is>
      </c>
      <c r="S223" t="n">
        <v>4</v>
      </c>
      <c r="T223" t="n">
        <v>4</v>
      </c>
      <c r="U223" t="inlineStr">
        <is>
          <t>2004-03-27</t>
        </is>
      </c>
      <c r="V223" t="inlineStr">
        <is>
          <t>2004-03-27</t>
        </is>
      </c>
      <c r="W223" t="inlineStr">
        <is>
          <t>1997-05-28</t>
        </is>
      </c>
      <c r="X223" t="inlineStr">
        <is>
          <t>1997-05-28</t>
        </is>
      </c>
      <c r="Y223" t="n">
        <v>235</v>
      </c>
      <c r="Z223" t="n">
        <v>205</v>
      </c>
      <c r="AA223" t="n">
        <v>212</v>
      </c>
      <c r="AB223" t="n">
        <v>3</v>
      </c>
      <c r="AC223" t="n">
        <v>3</v>
      </c>
      <c r="AD223" t="n">
        <v>11</v>
      </c>
      <c r="AE223" t="n">
        <v>11</v>
      </c>
      <c r="AF223" t="n">
        <v>4</v>
      </c>
      <c r="AG223" t="n">
        <v>4</v>
      </c>
      <c r="AH223" t="n">
        <v>3</v>
      </c>
      <c r="AI223" t="n">
        <v>3</v>
      </c>
      <c r="AJ223" t="n">
        <v>6</v>
      </c>
      <c r="AK223" t="n">
        <v>6</v>
      </c>
      <c r="AL223" t="n">
        <v>2</v>
      </c>
      <c r="AM223" t="n">
        <v>2</v>
      </c>
      <c r="AN223" t="n">
        <v>0</v>
      </c>
      <c r="AO223" t="n">
        <v>0</v>
      </c>
      <c r="AP223" t="inlineStr">
        <is>
          <t>No</t>
        </is>
      </c>
      <c r="AQ223" t="inlineStr">
        <is>
          <t>Yes</t>
        </is>
      </c>
      <c r="AR223">
        <f>HYPERLINK("http://catalog.hathitrust.org/Record/002605975","HathiTrust Record")</f>
        <v/>
      </c>
      <c r="AS223">
        <f>HYPERLINK("https://creighton-primo.hosted.exlibrisgroup.com/primo-explore/search?tab=default_tab&amp;search_scope=EVERYTHING&amp;vid=01CRU&amp;lang=en_US&amp;offset=0&amp;query=any,contains,991002010619702656","Catalog Record")</f>
        <v/>
      </c>
      <c r="AT223">
        <f>HYPERLINK("http://www.worldcat.org/oclc/25552030","WorldCat Record")</f>
        <v/>
      </c>
      <c r="AU223" t="inlineStr">
        <is>
          <t>354022989:eng</t>
        </is>
      </c>
      <c r="AV223" t="inlineStr">
        <is>
          <t>25552030</t>
        </is>
      </c>
      <c r="AW223" t="inlineStr">
        <is>
          <t>991002010619702656</t>
        </is>
      </c>
      <c r="AX223" t="inlineStr">
        <is>
          <t>991002010619702656</t>
        </is>
      </c>
      <c r="AY223" t="inlineStr">
        <is>
          <t>2272544520002656</t>
        </is>
      </c>
      <c r="AZ223" t="inlineStr">
        <is>
          <t>BOOK</t>
        </is>
      </c>
      <c r="BB223" t="inlineStr">
        <is>
          <t>9780867093070</t>
        </is>
      </c>
      <c r="BC223" t="inlineStr">
        <is>
          <t>32285002611860</t>
        </is>
      </c>
      <c r="BD223" t="inlineStr">
        <is>
          <t>893497622</t>
        </is>
      </c>
    </row>
    <row r="224">
      <c r="A224" t="inlineStr">
        <is>
          <t>No</t>
        </is>
      </c>
      <c r="B224" t="inlineStr">
        <is>
          <t>PE1404 .R44 1995</t>
        </is>
      </c>
      <c r="C224" t="inlineStr">
        <is>
          <t>0                      PE 1404000R  44          1995</t>
        </is>
      </c>
      <c r="D224" t="inlineStr">
        <is>
          <t>Resituating writing : constructing and administering writing programs / edited by Joseph Janangelo &amp; Kristine Hansen.</t>
        </is>
      </c>
      <c r="F224" t="inlineStr">
        <is>
          <t>No</t>
        </is>
      </c>
      <c r="G224" t="inlineStr">
        <is>
          <t>1</t>
        </is>
      </c>
      <c r="H224" t="inlineStr">
        <is>
          <t>No</t>
        </is>
      </c>
      <c r="I224" t="inlineStr">
        <is>
          <t>No</t>
        </is>
      </c>
      <c r="J224" t="inlineStr">
        <is>
          <t>0</t>
        </is>
      </c>
      <c r="L224" t="inlineStr">
        <is>
          <t>Portsmouth, NH : Boynton/Cook, c1995.</t>
        </is>
      </c>
      <c r="M224" t="inlineStr">
        <is>
          <t>1995</t>
        </is>
      </c>
      <c r="O224" t="inlineStr">
        <is>
          <t>eng</t>
        </is>
      </c>
      <c r="P224" t="inlineStr">
        <is>
          <t>nhu</t>
        </is>
      </c>
      <c r="Q224" t="inlineStr">
        <is>
          <t>CrossCurrents : new perspectives in rhetoric and composition</t>
        </is>
      </c>
      <c r="R224" t="inlineStr">
        <is>
          <t xml:space="preserve">PE </t>
        </is>
      </c>
      <c r="S224" t="n">
        <v>2</v>
      </c>
      <c r="T224" t="n">
        <v>2</v>
      </c>
      <c r="U224" t="inlineStr">
        <is>
          <t>2008-04-07</t>
        </is>
      </c>
      <c r="V224" t="inlineStr">
        <is>
          <t>2008-04-07</t>
        </is>
      </c>
      <c r="W224" t="inlineStr">
        <is>
          <t>1996-03-06</t>
        </is>
      </c>
      <c r="X224" t="inlineStr">
        <is>
          <t>1996-03-06</t>
        </is>
      </c>
      <c r="Y224" t="n">
        <v>195</v>
      </c>
      <c r="Z224" t="n">
        <v>187</v>
      </c>
      <c r="AA224" t="n">
        <v>188</v>
      </c>
      <c r="AB224" t="n">
        <v>2</v>
      </c>
      <c r="AC224" t="n">
        <v>2</v>
      </c>
      <c r="AD224" t="n">
        <v>10</v>
      </c>
      <c r="AE224" t="n">
        <v>10</v>
      </c>
      <c r="AF224" t="n">
        <v>3</v>
      </c>
      <c r="AG224" t="n">
        <v>3</v>
      </c>
      <c r="AH224" t="n">
        <v>5</v>
      </c>
      <c r="AI224" t="n">
        <v>5</v>
      </c>
      <c r="AJ224" t="n">
        <v>4</v>
      </c>
      <c r="AK224" t="n">
        <v>4</v>
      </c>
      <c r="AL224" t="n">
        <v>1</v>
      </c>
      <c r="AM224" t="n">
        <v>1</v>
      </c>
      <c r="AN224" t="n">
        <v>0</v>
      </c>
      <c r="AO224" t="n">
        <v>0</v>
      </c>
      <c r="AP224" t="inlineStr">
        <is>
          <t>No</t>
        </is>
      </c>
      <c r="AQ224" t="inlineStr">
        <is>
          <t>Yes</t>
        </is>
      </c>
      <c r="AR224">
        <f>HYPERLINK("http://catalog.hathitrust.org/Record/003061803","HathiTrust Record")</f>
        <v/>
      </c>
      <c r="AS224">
        <f>HYPERLINK("https://creighton-primo.hosted.exlibrisgroup.com/primo-explore/search?tab=default_tab&amp;search_scope=EVERYTHING&amp;vid=01CRU&amp;lang=en_US&amp;offset=0&amp;query=any,contains,991002523049702656","Catalog Record")</f>
        <v/>
      </c>
      <c r="AT224">
        <f>HYPERLINK("http://www.worldcat.org/oclc/32819581","WorldCat Record")</f>
        <v/>
      </c>
      <c r="AU224" t="inlineStr">
        <is>
          <t>902267414:eng</t>
        </is>
      </c>
      <c r="AV224" t="inlineStr">
        <is>
          <t>32819581</t>
        </is>
      </c>
      <c r="AW224" t="inlineStr">
        <is>
          <t>991002523049702656</t>
        </is>
      </c>
      <c r="AX224" t="inlineStr">
        <is>
          <t>991002523049702656</t>
        </is>
      </c>
      <c r="AY224" t="inlineStr">
        <is>
          <t>2271407860002656</t>
        </is>
      </c>
      <c r="AZ224" t="inlineStr">
        <is>
          <t>BOOK</t>
        </is>
      </c>
      <c r="BB224" t="inlineStr">
        <is>
          <t>9780867093667</t>
        </is>
      </c>
      <c r="BC224" t="inlineStr">
        <is>
          <t>32285002140340</t>
        </is>
      </c>
      <c r="BD224" t="inlineStr">
        <is>
          <t>893903939</t>
        </is>
      </c>
    </row>
    <row r="225">
      <c r="A225" t="inlineStr">
        <is>
          <t>No</t>
        </is>
      </c>
      <c r="B225" t="inlineStr">
        <is>
          <t>PE1404 .R49 1986</t>
        </is>
      </c>
      <c r="C225" t="inlineStr">
        <is>
          <t>0                      PE 1404000R  49          1986</t>
        </is>
      </c>
      <c r="D225" t="inlineStr">
        <is>
          <t>Rhetoric and praxis : the contribution of classical rhetoric to practical reasoning / edited by Jean Dietz Moss.</t>
        </is>
      </c>
      <c r="F225" t="inlineStr">
        <is>
          <t>No</t>
        </is>
      </c>
      <c r="G225" t="inlineStr">
        <is>
          <t>1</t>
        </is>
      </c>
      <c r="H225" t="inlineStr">
        <is>
          <t>No</t>
        </is>
      </c>
      <c r="I225" t="inlineStr">
        <is>
          <t>No</t>
        </is>
      </c>
      <c r="J225" t="inlineStr">
        <is>
          <t>0</t>
        </is>
      </c>
      <c r="L225" t="inlineStr">
        <is>
          <t>Washington, D.C. : Catholic University of America Press, c1986.</t>
        </is>
      </c>
      <c r="M225" t="inlineStr">
        <is>
          <t>1986</t>
        </is>
      </c>
      <c r="O225" t="inlineStr">
        <is>
          <t>eng</t>
        </is>
      </c>
      <c r="P225" t="inlineStr">
        <is>
          <t>dcu</t>
        </is>
      </c>
      <c r="R225" t="inlineStr">
        <is>
          <t xml:space="preserve">PE </t>
        </is>
      </c>
      <c r="S225" t="n">
        <v>1</v>
      </c>
      <c r="T225" t="n">
        <v>1</v>
      </c>
      <c r="U225" t="inlineStr">
        <is>
          <t>1999-02-23</t>
        </is>
      </c>
      <c r="V225" t="inlineStr">
        <is>
          <t>1999-02-23</t>
        </is>
      </c>
      <c r="W225" t="inlineStr">
        <is>
          <t>1993-04-23</t>
        </is>
      </c>
      <c r="X225" t="inlineStr">
        <is>
          <t>1993-04-23</t>
        </is>
      </c>
      <c r="Y225" t="n">
        <v>355</v>
      </c>
      <c r="Z225" t="n">
        <v>310</v>
      </c>
      <c r="AA225" t="n">
        <v>312</v>
      </c>
      <c r="AB225" t="n">
        <v>3</v>
      </c>
      <c r="AC225" t="n">
        <v>3</v>
      </c>
      <c r="AD225" t="n">
        <v>23</v>
      </c>
      <c r="AE225" t="n">
        <v>23</v>
      </c>
      <c r="AF225" t="n">
        <v>6</v>
      </c>
      <c r="AG225" t="n">
        <v>6</v>
      </c>
      <c r="AH225" t="n">
        <v>6</v>
      </c>
      <c r="AI225" t="n">
        <v>6</v>
      </c>
      <c r="AJ225" t="n">
        <v>16</v>
      </c>
      <c r="AK225" t="n">
        <v>16</v>
      </c>
      <c r="AL225" t="n">
        <v>2</v>
      </c>
      <c r="AM225" t="n">
        <v>2</v>
      </c>
      <c r="AN225" t="n">
        <v>0</v>
      </c>
      <c r="AO225" t="n">
        <v>0</v>
      </c>
      <c r="AP225" t="inlineStr">
        <is>
          <t>No</t>
        </is>
      </c>
      <c r="AQ225" t="inlineStr">
        <is>
          <t>Yes</t>
        </is>
      </c>
      <c r="AR225">
        <f>HYPERLINK("http://catalog.hathitrust.org/Record/000438949","HathiTrust Record")</f>
        <v/>
      </c>
      <c r="AS225">
        <f>HYPERLINK("https://creighton-primo.hosted.exlibrisgroup.com/primo-explore/search?tab=default_tab&amp;search_scope=EVERYTHING&amp;vid=01CRU&amp;lang=en_US&amp;offset=0&amp;query=any,contains,991000725749702656","Catalog Record")</f>
        <v/>
      </c>
      <c r="AT225">
        <f>HYPERLINK("http://www.worldcat.org/oclc/12695542","WorldCat Record")</f>
        <v/>
      </c>
      <c r="AU225" t="inlineStr">
        <is>
          <t>889390427:eng</t>
        </is>
      </c>
      <c r="AV225" t="inlineStr">
        <is>
          <t>12695542</t>
        </is>
      </c>
      <c r="AW225" t="inlineStr">
        <is>
          <t>991000725749702656</t>
        </is>
      </c>
      <c r="AX225" t="inlineStr">
        <is>
          <t>991000725749702656</t>
        </is>
      </c>
      <c r="AY225" t="inlineStr">
        <is>
          <t>2254730490002656</t>
        </is>
      </c>
      <c r="AZ225" t="inlineStr">
        <is>
          <t>BOOK</t>
        </is>
      </c>
      <c r="BB225" t="inlineStr">
        <is>
          <t>9780813206196</t>
        </is>
      </c>
      <c r="BC225" t="inlineStr">
        <is>
          <t>32285001646859</t>
        </is>
      </c>
      <c r="BD225" t="inlineStr">
        <is>
          <t>893351635</t>
        </is>
      </c>
    </row>
    <row r="226">
      <c r="A226" t="inlineStr">
        <is>
          <t>No</t>
        </is>
      </c>
      <c r="B226" t="inlineStr">
        <is>
          <t>PE1404 .R64 1995</t>
        </is>
      </c>
      <c r="C226" t="inlineStr">
        <is>
          <t>0                      PE 1404000R  64          1995</t>
        </is>
      </c>
      <c r="D226" t="inlineStr">
        <is>
          <t>Writing with passion : life stories, multiple genres / Tom Romano.</t>
        </is>
      </c>
      <c r="F226" t="inlineStr">
        <is>
          <t>No</t>
        </is>
      </c>
      <c r="G226" t="inlineStr">
        <is>
          <t>1</t>
        </is>
      </c>
      <c r="H226" t="inlineStr">
        <is>
          <t>No</t>
        </is>
      </c>
      <c r="I226" t="inlineStr">
        <is>
          <t>No</t>
        </is>
      </c>
      <c r="J226" t="inlineStr">
        <is>
          <t>0</t>
        </is>
      </c>
      <c r="K226" t="inlineStr">
        <is>
          <t>Romano, Tom.</t>
        </is>
      </c>
      <c r="L226" t="inlineStr">
        <is>
          <t>Portsmouth, NH : Boynton/Cook, c1995.</t>
        </is>
      </c>
      <c r="M226" t="inlineStr">
        <is>
          <t>1995</t>
        </is>
      </c>
      <c r="O226" t="inlineStr">
        <is>
          <t>eng</t>
        </is>
      </c>
      <c r="P226" t="inlineStr">
        <is>
          <t>nhu</t>
        </is>
      </c>
      <c r="R226" t="inlineStr">
        <is>
          <t xml:space="preserve">PE </t>
        </is>
      </c>
      <c r="S226" t="n">
        <v>4</v>
      </c>
      <c r="T226" t="n">
        <v>4</v>
      </c>
      <c r="U226" t="inlineStr">
        <is>
          <t>2004-09-10</t>
        </is>
      </c>
      <c r="V226" t="inlineStr">
        <is>
          <t>2004-09-10</t>
        </is>
      </c>
      <c r="W226" t="inlineStr">
        <is>
          <t>1996-03-06</t>
        </is>
      </c>
      <c r="X226" t="inlineStr">
        <is>
          <t>1996-03-06</t>
        </is>
      </c>
      <c r="Y226" t="n">
        <v>293</v>
      </c>
      <c r="Z226" t="n">
        <v>274</v>
      </c>
      <c r="AA226" t="n">
        <v>281</v>
      </c>
      <c r="AB226" t="n">
        <v>3</v>
      </c>
      <c r="AC226" t="n">
        <v>3</v>
      </c>
      <c r="AD226" t="n">
        <v>12</v>
      </c>
      <c r="AE226" t="n">
        <v>12</v>
      </c>
      <c r="AF226" t="n">
        <v>5</v>
      </c>
      <c r="AG226" t="n">
        <v>5</v>
      </c>
      <c r="AH226" t="n">
        <v>3</v>
      </c>
      <c r="AI226" t="n">
        <v>3</v>
      </c>
      <c r="AJ226" t="n">
        <v>5</v>
      </c>
      <c r="AK226" t="n">
        <v>5</v>
      </c>
      <c r="AL226" t="n">
        <v>2</v>
      </c>
      <c r="AM226" t="n">
        <v>2</v>
      </c>
      <c r="AN226" t="n">
        <v>0</v>
      </c>
      <c r="AO226" t="n">
        <v>0</v>
      </c>
      <c r="AP226" t="inlineStr">
        <is>
          <t>No</t>
        </is>
      </c>
      <c r="AQ226" t="inlineStr">
        <is>
          <t>Yes</t>
        </is>
      </c>
      <c r="AR226">
        <f>HYPERLINK("http://catalog.hathitrust.org/Record/004536447","HathiTrust Record")</f>
        <v/>
      </c>
      <c r="AS226">
        <f>HYPERLINK("https://creighton-primo.hosted.exlibrisgroup.com/primo-explore/search?tab=default_tab&amp;search_scope=EVERYTHING&amp;vid=01CRU&amp;lang=en_US&amp;offset=0&amp;query=any,contains,991002483249702656","Catalog Record")</f>
        <v/>
      </c>
      <c r="AT226">
        <f>HYPERLINK("http://www.worldcat.org/oclc/32314055","WorldCat Record")</f>
        <v/>
      </c>
      <c r="AU226" t="inlineStr">
        <is>
          <t>34209741:eng</t>
        </is>
      </c>
      <c r="AV226" t="inlineStr">
        <is>
          <t>32314055</t>
        </is>
      </c>
      <c r="AW226" t="inlineStr">
        <is>
          <t>991002483249702656</t>
        </is>
      </c>
      <c r="AX226" t="inlineStr">
        <is>
          <t>991002483249702656</t>
        </is>
      </c>
      <c r="AY226" t="inlineStr">
        <is>
          <t>2265182080002656</t>
        </is>
      </c>
      <c r="AZ226" t="inlineStr">
        <is>
          <t>BOOK</t>
        </is>
      </c>
      <c r="BB226" t="inlineStr">
        <is>
          <t>9780867093629</t>
        </is>
      </c>
      <c r="BC226" t="inlineStr">
        <is>
          <t>32285002140357</t>
        </is>
      </c>
      <c r="BD226" t="inlineStr">
        <is>
          <t>893609910</t>
        </is>
      </c>
    </row>
    <row r="227">
      <c r="A227" t="inlineStr">
        <is>
          <t>No</t>
        </is>
      </c>
      <c r="B227" t="inlineStr">
        <is>
          <t>PE1404 .R66 1985</t>
        </is>
      </c>
      <c r="C227" t="inlineStr">
        <is>
          <t>0                      PE 1404000R  66          1985</t>
        </is>
      </c>
      <c r="D227" t="inlineStr">
        <is>
          <t>Roots in the sawdust : writing to learn across the disciplines/ edited by Anne Ruggles Gere.</t>
        </is>
      </c>
      <c r="F227" t="inlineStr">
        <is>
          <t>No</t>
        </is>
      </c>
      <c r="G227" t="inlineStr">
        <is>
          <t>1</t>
        </is>
      </c>
      <c r="H227" t="inlineStr">
        <is>
          <t>No</t>
        </is>
      </c>
      <c r="I227" t="inlineStr">
        <is>
          <t>No</t>
        </is>
      </c>
      <c r="J227" t="inlineStr">
        <is>
          <t>0</t>
        </is>
      </c>
      <c r="L227" t="inlineStr">
        <is>
          <t>Urbana, Ill. : National Council of Teachers of English, c1985.</t>
        </is>
      </c>
      <c r="M227" t="inlineStr">
        <is>
          <t>1985</t>
        </is>
      </c>
      <c r="O227" t="inlineStr">
        <is>
          <t>eng</t>
        </is>
      </c>
      <c r="P227" t="inlineStr">
        <is>
          <t>ilu</t>
        </is>
      </c>
      <c r="R227" t="inlineStr">
        <is>
          <t xml:space="preserve">PE </t>
        </is>
      </c>
      <c r="S227" t="n">
        <v>3</v>
      </c>
      <c r="T227" t="n">
        <v>3</v>
      </c>
      <c r="U227" t="inlineStr">
        <is>
          <t>1998-02-25</t>
        </is>
      </c>
      <c r="V227" t="inlineStr">
        <is>
          <t>1998-02-25</t>
        </is>
      </c>
      <c r="W227" t="inlineStr">
        <is>
          <t>1993-04-23</t>
        </is>
      </c>
      <c r="X227" t="inlineStr">
        <is>
          <t>1993-04-23</t>
        </is>
      </c>
      <c r="Y227" t="n">
        <v>570</v>
      </c>
      <c r="Z227" t="n">
        <v>532</v>
      </c>
      <c r="AA227" t="n">
        <v>582</v>
      </c>
      <c r="AB227" t="n">
        <v>5</v>
      </c>
      <c r="AC227" t="n">
        <v>5</v>
      </c>
      <c r="AD227" t="n">
        <v>24</v>
      </c>
      <c r="AE227" t="n">
        <v>26</v>
      </c>
      <c r="AF227" t="n">
        <v>10</v>
      </c>
      <c r="AG227" t="n">
        <v>10</v>
      </c>
      <c r="AH227" t="n">
        <v>4</v>
      </c>
      <c r="AI227" t="n">
        <v>5</v>
      </c>
      <c r="AJ227" t="n">
        <v>11</v>
      </c>
      <c r="AK227" t="n">
        <v>12</v>
      </c>
      <c r="AL227" t="n">
        <v>4</v>
      </c>
      <c r="AM227" t="n">
        <v>4</v>
      </c>
      <c r="AN227" t="n">
        <v>0</v>
      </c>
      <c r="AO227" t="n">
        <v>0</v>
      </c>
      <c r="AP227" t="inlineStr">
        <is>
          <t>No</t>
        </is>
      </c>
      <c r="AQ227" t="inlineStr">
        <is>
          <t>Yes</t>
        </is>
      </c>
      <c r="AR227">
        <f>HYPERLINK("http://catalog.hathitrust.org/Record/001071215","HathiTrust Record")</f>
        <v/>
      </c>
      <c r="AS227">
        <f>HYPERLINK("https://creighton-primo.hosted.exlibrisgroup.com/primo-explore/search?tab=default_tab&amp;search_scope=EVERYTHING&amp;vid=01CRU&amp;lang=en_US&amp;offset=0&amp;query=any,contains,991000714279702656","Catalog Record")</f>
        <v/>
      </c>
      <c r="AT227">
        <f>HYPERLINK("http://www.worldcat.org/oclc/12613629","WorldCat Record")</f>
        <v/>
      </c>
      <c r="AU227" t="inlineStr">
        <is>
          <t>827770203:eng</t>
        </is>
      </c>
      <c r="AV227" t="inlineStr">
        <is>
          <t>12613629</t>
        </is>
      </c>
      <c r="AW227" t="inlineStr">
        <is>
          <t>991000714279702656</t>
        </is>
      </c>
      <c r="AX227" t="inlineStr">
        <is>
          <t>991000714279702656</t>
        </is>
      </c>
      <c r="AY227" t="inlineStr">
        <is>
          <t>2260417440002656</t>
        </is>
      </c>
      <c r="AZ227" t="inlineStr">
        <is>
          <t>BOOK</t>
        </is>
      </c>
      <c r="BB227" t="inlineStr">
        <is>
          <t>9780814141984</t>
        </is>
      </c>
      <c r="BC227" t="inlineStr">
        <is>
          <t>32285001646867</t>
        </is>
      </c>
      <c r="BD227" t="inlineStr">
        <is>
          <t>893696085</t>
        </is>
      </c>
    </row>
    <row r="228">
      <c r="A228" t="inlineStr">
        <is>
          <t>No</t>
        </is>
      </c>
      <c r="B228" t="inlineStr">
        <is>
          <t>PE1404 .R68 2003</t>
        </is>
      </c>
      <c r="C228" t="inlineStr">
        <is>
          <t>0                      PE 1404000R  68          2003</t>
        </is>
      </c>
      <c r="D228" t="inlineStr">
        <is>
          <t>Unexpected voices : theory, practice, and identity in the writing classroom / John Rouse, Edward Katz.</t>
        </is>
      </c>
      <c r="F228" t="inlineStr">
        <is>
          <t>No</t>
        </is>
      </c>
      <c r="G228" t="inlineStr">
        <is>
          <t>1</t>
        </is>
      </c>
      <c r="H228" t="inlineStr">
        <is>
          <t>No</t>
        </is>
      </c>
      <c r="I228" t="inlineStr">
        <is>
          <t>No</t>
        </is>
      </c>
      <c r="J228" t="inlineStr">
        <is>
          <t>0</t>
        </is>
      </c>
      <c r="K228" t="inlineStr">
        <is>
          <t>Rouse, John, 1926-</t>
        </is>
      </c>
      <c r="L228" t="inlineStr">
        <is>
          <t>Cresskill, N.J. : Hampton Press, c2003.</t>
        </is>
      </c>
      <c r="M228" t="inlineStr">
        <is>
          <t>2002</t>
        </is>
      </c>
      <c r="O228" t="inlineStr">
        <is>
          <t>eng</t>
        </is>
      </c>
      <c r="P228" t="inlineStr">
        <is>
          <t>nju</t>
        </is>
      </c>
      <c r="Q228" t="inlineStr">
        <is>
          <t>Research and teaching in rhetoric and composition</t>
        </is>
      </c>
      <c r="R228" t="inlineStr">
        <is>
          <t xml:space="preserve">PE </t>
        </is>
      </c>
      <c r="S228" t="n">
        <v>1</v>
      </c>
      <c r="T228" t="n">
        <v>1</v>
      </c>
      <c r="U228" t="inlineStr">
        <is>
          <t>2006-05-30</t>
        </is>
      </c>
      <c r="V228" t="inlineStr">
        <is>
          <t>2006-05-30</t>
        </is>
      </c>
      <c r="W228" t="inlineStr">
        <is>
          <t>2006-05-30</t>
        </is>
      </c>
      <c r="X228" t="inlineStr">
        <is>
          <t>2006-05-30</t>
        </is>
      </c>
      <c r="Y228" t="n">
        <v>125</v>
      </c>
      <c r="Z228" t="n">
        <v>101</v>
      </c>
      <c r="AA228" t="n">
        <v>104</v>
      </c>
      <c r="AB228" t="n">
        <v>1</v>
      </c>
      <c r="AC228" t="n">
        <v>1</v>
      </c>
      <c r="AD228" t="n">
        <v>6</v>
      </c>
      <c r="AE228" t="n">
        <v>6</v>
      </c>
      <c r="AF228" t="n">
        <v>0</v>
      </c>
      <c r="AG228" t="n">
        <v>0</v>
      </c>
      <c r="AH228" t="n">
        <v>3</v>
      </c>
      <c r="AI228" t="n">
        <v>3</v>
      </c>
      <c r="AJ228" t="n">
        <v>5</v>
      </c>
      <c r="AK228" t="n">
        <v>5</v>
      </c>
      <c r="AL228" t="n">
        <v>0</v>
      </c>
      <c r="AM228" t="n">
        <v>0</v>
      </c>
      <c r="AN228" t="n">
        <v>0</v>
      </c>
      <c r="AO228" t="n">
        <v>0</v>
      </c>
      <c r="AP228" t="inlineStr">
        <is>
          <t>No</t>
        </is>
      </c>
      <c r="AQ228" t="inlineStr">
        <is>
          <t>Yes</t>
        </is>
      </c>
      <c r="AR228">
        <f>HYPERLINK("http://catalog.hathitrust.org/Record/007144080","HathiTrust Record")</f>
        <v/>
      </c>
      <c r="AS228">
        <f>HYPERLINK("https://creighton-primo.hosted.exlibrisgroup.com/primo-explore/search?tab=default_tab&amp;search_scope=EVERYTHING&amp;vid=01CRU&amp;lang=en_US&amp;offset=0&amp;query=any,contains,991004778399702656","Catalog Record")</f>
        <v/>
      </c>
      <c r="AT228">
        <f>HYPERLINK("http://www.worldcat.org/oclc/50034899","WorldCat Record")</f>
        <v/>
      </c>
      <c r="AU228" t="inlineStr">
        <is>
          <t>971084:eng</t>
        </is>
      </c>
      <c r="AV228" t="inlineStr">
        <is>
          <t>50034899</t>
        </is>
      </c>
      <c r="AW228" t="inlineStr">
        <is>
          <t>991004778399702656</t>
        </is>
      </c>
      <c r="AX228" t="inlineStr">
        <is>
          <t>991004778399702656</t>
        </is>
      </c>
      <c r="AY228" t="inlineStr">
        <is>
          <t>2264066900002656</t>
        </is>
      </c>
      <c r="AZ228" t="inlineStr">
        <is>
          <t>BOOK</t>
        </is>
      </c>
      <c r="BB228" t="inlineStr">
        <is>
          <t>9781572734517</t>
        </is>
      </c>
      <c r="BC228" t="inlineStr">
        <is>
          <t>32285005189724</t>
        </is>
      </c>
      <c r="BD228" t="inlineStr">
        <is>
          <t>893688137</t>
        </is>
      </c>
    </row>
    <row r="229">
      <c r="A229" t="inlineStr">
        <is>
          <t>No</t>
        </is>
      </c>
      <c r="B229" t="inlineStr">
        <is>
          <t>PE1404 .S34 1996</t>
        </is>
      </c>
      <c r="C229" t="inlineStr">
        <is>
          <t>0                      PE 1404000S  34          1996</t>
        </is>
      </c>
      <c r="D229" t="inlineStr">
        <is>
          <t>Between the lines : relating composition theory and literary theory / John Schilb.</t>
        </is>
      </c>
      <c r="F229" t="inlineStr">
        <is>
          <t>No</t>
        </is>
      </c>
      <c r="G229" t="inlineStr">
        <is>
          <t>1</t>
        </is>
      </c>
      <c r="H229" t="inlineStr">
        <is>
          <t>No</t>
        </is>
      </c>
      <c r="I229" t="inlineStr">
        <is>
          <t>No</t>
        </is>
      </c>
      <c r="J229" t="inlineStr">
        <is>
          <t>0</t>
        </is>
      </c>
      <c r="K229" t="inlineStr">
        <is>
          <t>Schilb, John, 1952-</t>
        </is>
      </c>
      <c r="L229" t="inlineStr">
        <is>
          <t>Portsmouth, NH : Boynton/Cook Publishers, 1996.</t>
        </is>
      </c>
      <c r="M229" t="inlineStr">
        <is>
          <t>1996</t>
        </is>
      </c>
      <c r="O229" t="inlineStr">
        <is>
          <t>eng</t>
        </is>
      </c>
      <c r="P229" t="inlineStr">
        <is>
          <t>nhu</t>
        </is>
      </c>
      <c r="R229" t="inlineStr">
        <is>
          <t xml:space="preserve">PE </t>
        </is>
      </c>
      <c r="S229" t="n">
        <v>13</v>
      </c>
      <c r="T229" t="n">
        <v>13</v>
      </c>
      <c r="U229" t="inlineStr">
        <is>
          <t>2002-09-03</t>
        </is>
      </c>
      <c r="V229" t="inlineStr">
        <is>
          <t>2002-09-03</t>
        </is>
      </c>
      <c r="W229" t="inlineStr">
        <is>
          <t>1996-05-06</t>
        </is>
      </c>
      <c r="X229" t="inlineStr">
        <is>
          <t>1996-05-06</t>
        </is>
      </c>
      <c r="Y229" t="n">
        <v>161</v>
      </c>
      <c r="Z229" t="n">
        <v>154</v>
      </c>
      <c r="AA229" t="n">
        <v>155</v>
      </c>
      <c r="AB229" t="n">
        <v>3</v>
      </c>
      <c r="AC229" t="n">
        <v>3</v>
      </c>
      <c r="AD229" t="n">
        <v>10</v>
      </c>
      <c r="AE229" t="n">
        <v>10</v>
      </c>
      <c r="AF229" t="n">
        <v>2</v>
      </c>
      <c r="AG229" t="n">
        <v>2</v>
      </c>
      <c r="AH229" t="n">
        <v>3</v>
      </c>
      <c r="AI229" t="n">
        <v>3</v>
      </c>
      <c r="AJ229" t="n">
        <v>6</v>
      </c>
      <c r="AK229" t="n">
        <v>6</v>
      </c>
      <c r="AL229" t="n">
        <v>2</v>
      </c>
      <c r="AM229" t="n">
        <v>2</v>
      </c>
      <c r="AN229" t="n">
        <v>0</v>
      </c>
      <c r="AO229" t="n">
        <v>0</v>
      </c>
      <c r="AP229" t="inlineStr">
        <is>
          <t>No</t>
        </is>
      </c>
      <c r="AQ229" t="inlineStr">
        <is>
          <t>Yes</t>
        </is>
      </c>
      <c r="AR229">
        <f>HYPERLINK("http://catalog.hathitrust.org/Record/007143991","HathiTrust Record")</f>
        <v/>
      </c>
      <c r="AS229">
        <f>HYPERLINK("https://creighton-primo.hosted.exlibrisgroup.com/primo-explore/search?tab=default_tab&amp;search_scope=EVERYTHING&amp;vid=01CRU&amp;lang=en_US&amp;offset=0&amp;query=any,contains,991002647439702656","Catalog Record")</f>
        <v/>
      </c>
      <c r="AT229">
        <f>HYPERLINK("http://www.worldcat.org/oclc/34633470","WorldCat Record")</f>
        <v/>
      </c>
      <c r="AU229" t="inlineStr">
        <is>
          <t>370933892:eng</t>
        </is>
      </c>
      <c r="AV229" t="inlineStr">
        <is>
          <t>34633470</t>
        </is>
      </c>
      <c r="AW229" t="inlineStr">
        <is>
          <t>991002647439702656</t>
        </is>
      </c>
      <c r="AX229" t="inlineStr">
        <is>
          <t>991002647439702656</t>
        </is>
      </c>
      <c r="AY229" t="inlineStr">
        <is>
          <t>2272169220002656</t>
        </is>
      </c>
      <c r="AZ229" t="inlineStr">
        <is>
          <t>BOOK</t>
        </is>
      </c>
      <c r="BB229" t="inlineStr">
        <is>
          <t>9780867093896</t>
        </is>
      </c>
      <c r="BC229" t="inlineStr">
        <is>
          <t>32285002159217</t>
        </is>
      </c>
      <c r="BD229" t="inlineStr">
        <is>
          <t>893317080</t>
        </is>
      </c>
    </row>
    <row r="230">
      <c r="A230" t="inlineStr">
        <is>
          <t>No</t>
        </is>
      </c>
      <c r="B230" t="inlineStr">
        <is>
          <t>PE1404 .S384 1989</t>
        </is>
      </c>
      <c r="C230" t="inlineStr">
        <is>
          <t>0                      PE 1404000S  384         1989</t>
        </is>
      </c>
      <c r="D230" t="inlineStr">
        <is>
          <t>Creating a computer-supported writing facility : a blueprint for action / Cynthia L. Selfe ; foreword, Arthur P. Young.</t>
        </is>
      </c>
      <c r="F230" t="inlineStr">
        <is>
          <t>No</t>
        </is>
      </c>
      <c r="G230" t="inlineStr">
        <is>
          <t>1</t>
        </is>
      </c>
      <c r="H230" t="inlineStr">
        <is>
          <t>No</t>
        </is>
      </c>
      <c r="I230" t="inlineStr">
        <is>
          <t>No</t>
        </is>
      </c>
      <c r="J230" t="inlineStr">
        <is>
          <t>0</t>
        </is>
      </c>
      <c r="K230" t="inlineStr">
        <is>
          <t>Selfe, Cynthia L., 1951-</t>
        </is>
      </c>
      <c r="L230" t="inlineStr">
        <is>
          <t>Houghton, Mich. : Computers and Composition, c1989.</t>
        </is>
      </c>
      <c r="M230" t="inlineStr">
        <is>
          <t>1989</t>
        </is>
      </c>
      <c r="O230" t="inlineStr">
        <is>
          <t>eng</t>
        </is>
      </c>
      <c r="P230" t="inlineStr">
        <is>
          <t>miu</t>
        </is>
      </c>
      <c r="Q230" t="inlineStr">
        <is>
          <t>Advances in computers and composition studies</t>
        </is>
      </c>
      <c r="R230" t="inlineStr">
        <is>
          <t xml:space="preserve">PE </t>
        </is>
      </c>
      <c r="S230" t="n">
        <v>6</v>
      </c>
      <c r="T230" t="n">
        <v>6</v>
      </c>
      <c r="U230" t="inlineStr">
        <is>
          <t>1997-04-15</t>
        </is>
      </c>
      <c r="V230" t="inlineStr">
        <is>
          <t>1997-04-15</t>
        </is>
      </c>
      <c r="W230" t="inlineStr">
        <is>
          <t>1995-02-28</t>
        </is>
      </c>
      <c r="X230" t="inlineStr">
        <is>
          <t>1995-02-28</t>
        </is>
      </c>
      <c r="Y230" t="n">
        <v>145</v>
      </c>
      <c r="Z230" t="n">
        <v>130</v>
      </c>
      <c r="AA230" t="n">
        <v>132</v>
      </c>
      <c r="AB230" t="n">
        <v>1</v>
      </c>
      <c r="AC230" t="n">
        <v>1</v>
      </c>
      <c r="AD230" t="n">
        <v>5</v>
      </c>
      <c r="AE230" t="n">
        <v>5</v>
      </c>
      <c r="AF230" t="n">
        <v>1</v>
      </c>
      <c r="AG230" t="n">
        <v>1</v>
      </c>
      <c r="AH230" t="n">
        <v>2</v>
      </c>
      <c r="AI230" t="n">
        <v>2</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HYPERLINK("https://creighton-primo.hosted.exlibrisgroup.com/primo-explore/search?tab=default_tab&amp;search_scope=EVERYTHING&amp;vid=01CRU&amp;lang=en_US&amp;offset=0&amp;query=any,contains,991001646759702656","Catalog Record")</f>
        <v/>
      </c>
      <c r="AT230">
        <f>HYPERLINK("http://www.worldcat.org/oclc/21050284","WorldCat Record")</f>
        <v/>
      </c>
      <c r="AU230" t="inlineStr">
        <is>
          <t>21999903:eng</t>
        </is>
      </c>
      <c r="AV230" t="inlineStr">
        <is>
          <t>21050284</t>
        </is>
      </c>
      <c r="AW230" t="inlineStr">
        <is>
          <t>991001646759702656</t>
        </is>
      </c>
      <c r="AX230" t="inlineStr">
        <is>
          <t>991001646759702656</t>
        </is>
      </c>
      <c r="AY230" t="inlineStr">
        <is>
          <t>2264805960002656</t>
        </is>
      </c>
      <c r="AZ230" t="inlineStr">
        <is>
          <t>BOOK</t>
        </is>
      </c>
      <c r="BB230" t="inlineStr">
        <is>
          <t>9780962339202</t>
        </is>
      </c>
      <c r="BC230" t="inlineStr">
        <is>
          <t>32285001779486</t>
        </is>
      </c>
      <c r="BD230" t="inlineStr">
        <is>
          <t>893432976</t>
        </is>
      </c>
    </row>
    <row r="231">
      <c r="A231" t="inlineStr">
        <is>
          <t>No</t>
        </is>
      </c>
      <c r="B231" t="inlineStr">
        <is>
          <t>PE1404 .S65 1986</t>
        </is>
      </c>
      <c r="C231" t="inlineStr">
        <is>
          <t>0                      PE 1404000S  65          1986</t>
        </is>
      </c>
      <c r="D231" t="inlineStr">
        <is>
          <t>Teaching writing with computers : the power process / Gwen Solomon.</t>
        </is>
      </c>
      <c r="F231" t="inlineStr">
        <is>
          <t>No</t>
        </is>
      </c>
      <c r="G231" t="inlineStr">
        <is>
          <t>1</t>
        </is>
      </c>
      <c r="H231" t="inlineStr">
        <is>
          <t>No</t>
        </is>
      </c>
      <c r="I231" t="inlineStr">
        <is>
          <t>No</t>
        </is>
      </c>
      <c r="J231" t="inlineStr">
        <is>
          <t>0</t>
        </is>
      </c>
      <c r="K231" t="inlineStr">
        <is>
          <t>Solomon, Gwen, 1944-</t>
        </is>
      </c>
      <c r="L231" t="inlineStr">
        <is>
          <t>Englewood Cliffs, N.J. : Prentice-Hall, c1986.</t>
        </is>
      </c>
      <c r="M231" t="inlineStr">
        <is>
          <t>1986</t>
        </is>
      </c>
      <c r="O231" t="inlineStr">
        <is>
          <t>eng</t>
        </is>
      </c>
      <c r="P231" t="inlineStr">
        <is>
          <t>nju</t>
        </is>
      </c>
      <c r="R231" t="inlineStr">
        <is>
          <t xml:space="preserve">PE </t>
        </is>
      </c>
      <c r="S231" t="n">
        <v>2</v>
      </c>
      <c r="T231" t="n">
        <v>2</v>
      </c>
      <c r="U231" t="inlineStr">
        <is>
          <t>1994-10-30</t>
        </is>
      </c>
      <c r="V231" t="inlineStr">
        <is>
          <t>1994-10-30</t>
        </is>
      </c>
      <c r="W231" t="inlineStr">
        <is>
          <t>1990-03-14</t>
        </is>
      </c>
      <c r="X231" t="inlineStr">
        <is>
          <t>1990-03-14</t>
        </is>
      </c>
      <c r="Y231" t="n">
        <v>207</v>
      </c>
      <c r="Z231" t="n">
        <v>181</v>
      </c>
      <c r="AA231" t="n">
        <v>182</v>
      </c>
      <c r="AB231" t="n">
        <v>3</v>
      </c>
      <c r="AC231" t="n">
        <v>3</v>
      </c>
      <c r="AD231" t="n">
        <v>4</v>
      </c>
      <c r="AE231" t="n">
        <v>4</v>
      </c>
      <c r="AF231" t="n">
        <v>1</v>
      </c>
      <c r="AG231" t="n">
        <v>1</v>
      </c>
      <c r="AH231" t="n">
        <v>1</v>
      </c>
      <c r="AI231" t="n">
        <v>1</v>
      </c>
      <c r="AJ231" t="n">
        <v>1</v>
      </c>
      <c r="AK231" t="n">
        <v>1</v>
      </c>
      <c r="AL231" t="n">
        <v>2</v>
      </c>
      <c r="AM231" t="n">
        <v>2</v>
      </c>
      <c r="AN231" t="n">
        <v>0</v>
      </c>
      <c r="AO231" t="n">
        <v>0</v>
      </c>
      <c r="AP231" t="inlineStr">
        <is>
          <t>No</t>
        </is>
      </c>
      <c r="AQ231" t="inlineStr">
        <is>
          <t>Yes</t>
        </is>
      </c>
      <c r="AR231">
        <f>HYPERLINK("http://catalog.hathitrust.org/Record/000628545","HathiTrust Record")</f>
        <v/>
      </c>
      <c r="AS231">
        <f>HYPERLINK("https://creighton-primo.hosted.exlibrisgroup.com/primo-explore/search?tab=default_tab&amp;search_scope=EVERYTHING&amp;vid=01CRU&amp;lang=en_US&amp;offset=0&amp;query=any,contains,991000583779702656","Catalog Record")</f>
        <v/>
      </c>
      <c r="AT231">
        <f>HYPERLINK("http://www.worldcat.org/oclc/11755411","WorldCat Record")</f>
        <v/>
      </c>
      <c r="AU231" t="inlineStr">
        <is>
          <t>428968308:eng</t>
        </is>
      </c>
      <c r="AV231" t="inlineStr">
        <is>
          <t>11755411</t>
        </is>
      </c>
      <c r="AW231" t="inlineStr">
        <is>
          <t>991000583779702656</t>
        </is>
      </c>
      <c r="AX231" t="inlineStr">
        <is>
          <t>991000583779702656</t>
        </is>
      </c>
      <c r="AY231" t="inlineStr">
        <is>
          <t>2270679500002656</t>
        </is>
      </c>
      <c r="AZ231" t="inlineStr">
        <is>
          <t>BOOK</t>
        </is>
      </c>
      <c r="BB231" t="inlineStr">
        <is>
          <t>9780138963668</t>
        </is>
      </c>
      <c r="BC231" t="inlineStr">
        <is>
          <t>32285000084409</t>
        </is>
      </c>
      <c r="BD231" t="inlineStr">
        <is>
          <t>893878188</t>
        </is>
      </c>
    </row>
    <row r="232">
      <c r="A232" t="inlineStr">
        <is>
          <t>No</t>
        </is>
      </c>
      <c r="B232" t="inlineStr">
        <is>
          <t>PE1404 .S834 2000</t>
        </is>
      </c>
      <c r="C232" t="inlineStr">
        <is>
          <t>0                      PE 1404000S  834         2000</t>
        </is>
      </c>
      <c r="D232" t="inlineStr">
        <is>
          <t>Stories from the center : connecting narrative and theory in the writing center / edited by Lynn Craigue Briggs, Meg Woolbright.</t>
        </is>
      </c>
      <c r="F232" t="inlineStr">
        <is>
          <t>No</t>
        </is>
      </c>
      <c r="G232" t="inlineStr">
        <is>
          <t>1</t>
        </is>
      </c>
      <c r="H232" t="inlineStr">
        <is>
          <t>No</t>
        </is>
      </c>
      <c r="I232" t="inlineStr">
        <is>
          <t>No</t>
        </is>
      </c>
      <c r="J232" t="inlineStr">
        <is>
          <t>0</t>
        </is>
      </c>
      <c r="L232" t="inlineStr">
        <is>
          <t>Urbana, Ill. National Council of Teachers of English, c2000.</t>
        </is>
      </c>
      <c r="M232" t="inlineStr">
        <is>
          <t>2000</t>
        </is>
      </c>
      <c r="O232" t="inlineStr">
        <is>
          <t>eng</t>
        </is>
      </c>
      <c r="P232" t="inlineStr">
        <is>
          <t>ilu</t>
        </is>
      </c>
      <c r="R232" t="inlineStr">
        <is>
          <t xml:space="preserve">PE </t>
        </is>
      </c>
      <c r="S232" t="n">
        <v>1</v>
      </c>
      <c r="T232" t="n">
        <v>1</v>
      </c>
      <c r="U232" t="inlineStr">
        <is>
          <t>2010-02-01</t>
        </is>
      </c>
      <c r="V232" t="inlineStr">
        <is>
          <t>2010-02-01</t>
        </is>
      </c>
      <c r="W232" t="inlineStr">
        <is>
          <t>2010-02-01</t>
        </is>
      </c>
      <c r="X232" t="inlineStr">
        <is>
          <t>2010-02-01</t>
        </is>
      </c>
      <c r="Y232" t="n">
        <v>291</v>
      </c>
      <c r="Z232" t="n">
        <v>275</v>
      </c>
      <c r="AA232" t="n">
        <v>282</v>
      </c>
      <c r="AB232" t="n">
        <v>5</v>
      </c>
      <c r="AC232" t="n">
        <v>5</v>
      </c>
      <c r="AD232" t="n">
        <v>13</v>
      </c>
      <c r="AE232" t="n">
        <v>13</v>
      </c>
      <c r="AF232" t="n">
        <v>2</v>
      </c>
      <c r="AG232" t="n">
        <v>2</v>
      </c>
      <c r="AH232" t="n">
        <v>3</v>
      </c>
      <c r="AI232" t="n">
        <v>3</v>
      </c>
      <c r="AJ232" t="n">
        <v>5</v>
      </c>
      <c r="AK232" t="n">
        <v>5</v>
      </c>
      <c r="AL232" t="n">
        <v>4</v>
      </c>
      <c r="AM232" t="n">
        <v>4</v>
      </c>
      <c r="AN232" t="n">
        <v>0</v>
      </c>
      <c r="AO232" t="n">
        <v>0</v>
      </c>
      <c r="AP232" t="inlineStr">
        <is>
          <t>No</t>
        </is>
      </c>
      <c r="AQ232" t="inlineStr">
        <is>
          <t>Yes</t>
        </is>
      </c>
      <c r="AR232">
        <f>HYPERLINK("http://catalog.hathitrust.org/Record/004576468","HathiTrust Record")</f>
        <v/>
      </c>
      <c r="AS232">
        <f>HYPERLINK("https://creighton-primo.hosted.exlibrisgroup.com/primo-explore/search?tab=default_tab&amp;search_scope=EVERYTHING&amp;vid=01CRU&amp;lang=en_US&amp;offset=0&amp;query=any,contains,991005352509702656","Catalog Record")</f>
        <v/>
      </c>
      <c r="AT232">
        <f>HYPERLINK("http://www.worldcat.org/oclc/42652727","WorldCat Record")</f>
        <v/>
      </c>
      <c r="AU232" t="inlineStr">
        <is>
          <t>27521832:eng</t>
        </is>
      </c>
      <c r="AV232" t="inlineStr">
        <is>
          <t>42652727</t>
        </is>
      </c>
      <c r="AW232" t="inlineStr">
        <is>
          <t>991005352509702656</t>
        </is>
      </c>
      <c r="AX232" t="inlineStr">
        <is>
          <t>991005352509702656</t>
        </is>
      </c>
      <c r="AY232" t="inlineStr">
        <is>
          <t>2269762210002656</t>
        </is>
      </c>
      <c r="AZ232" t="inlineStr">
        <is>
          <t>BOOK</t>
        </is>
      </c>
      <c r="BB232" t="inlineStr">
        <is>
          <t>9780814147467</t>
        </is>
      </c>
      <c r="BC232" t="inlineStr">
        <is>
          <t>32285005570428</t>
        </is>
      </c>
      <c r="BD232" t="inlineStr">
        <is>
          <t>893811026</t>
        </is>
      </c>
    </row>
    <row r="233">
      <c r="A233" t="inlineStr">
        <is>
          <t>No</t>
        </is>
      </c>
      <c r="B233" t="inlineStr">
        <is>
          <t>PE1404 .S84 1997</t>
        </is>
      </c>
      <c r="C233" t="inlineStr">
        <is>
          <t>0                      PE 1404000S  84          1997</t>
        </is>
      </c>
      <c r="D233" t="inlineStr">
        <is>
          <t>From disk to hard copy : teaching writing with computers / James Strickland.</t>
        </is>
      </c>
      <c r="F233" t="inlineStr">
        <is>
          <t>No</t>
        </is>
      </c>
      <c r="G233" t="inlineStr">
        <is>
          <t>1</t>
        </is>
      </c>
      <c r="H233" t="inlineStr">
        <is>
          <t>No</t>
        </is>
      </c>
      <c r="I233" t="inlineStr">
        <is>
          <t>No</t>
        </is>
      </c>
      <c r="J233" t="inlineStr">
        <is>
          <t>0</t>
        </is>
      </c>
      <c r="K233" t="inlineStr">
        <is>
          <t>Strickland, James.</t>
        </is>
      </c>
      <c r="L233" t="inlineStr">
        <is>
          <t>Portsmouth, NH : Boynton/Cook Publishers, 1997.</t>
        </is>
      </c>
      <c r="M233" t="inlineStr">
        <is>
          <t>1997</t>
        </is>
      </c>
      <c r="O233" t="inlineStr">
        <is>
          <t>eng</t>
        </is>
      </c>
      <c r="P233" t="inlineStr">
        <is>
          <t>nhu</t>
        </is>
      </c>
      <c r="R233" t="inlineStr">
        <is>
          <t xml:space="preserve">PE </t>
        </is>
      </c>
      <c r="S233" t="n">
        <v>3</v>
      </c>
      <c r="T233" t="n">
        <v>3</v>
      </c>
      <c r="U233" t="inlineStr">
        <is>
          <t>2009-03-15</t>
        </is>
      </c>
      <c r="V233" t="inlineStr">
        <is>
          <t>2009-03-15</t>
        </is>
      </c>
      <c r="W233" t="inlineStr">
        <is>
          <t>1997-04-21</t>
        </is>
      </c>
      <c r="X233" t="inlineStr">
        <is>
          <t>1997-04-21</t>
        </is>
      </c>
      <c r="Y233" t="n">
        <v>270</v>
      </c>
      <c r="Z233" t="n">
        <v>244</v>
      </c>
      <c r="AA233" t="n">
        <v>252</v>
      </c>
      <c r="AB233" t="n">
        <v>3</v>
      </c>
      <c r="AC233" t="n">
        <v>3</v>
      </c>
      <c r="AD233" t="n">
        <v>15</v>
      </c>
      <c r="AE233" t="n">
        <v>15</v>
      </c>
      <c r="AF233" t="n">
        <v>7</v>
      </c>
      <c r="AG233" t="n">
        <v>7</v>
      </c>
      <c r="AH233" t="n">
        <v>3</v>
      </c>
      <c r="AI233" t="n">
        <v>3</v>
      </c>
      <c r="AJ233" t="n">
        <v>9</v>
      </c>
      <c r="AK233" t="n">
        <v>9</v>
      </c>
      <c r="AL233" t="n">
        <v>2</v>
      </c>
      <c r="AM233" t="n">
        <v>2</v>
      </c>
      <c r="AN233" t="n">
        <v>0</v>
      </c>
      <c r="AO233" t="n">
        <v>0</v>
      </c>
      <c r="AP233" t="inlineStr">
        <is>
          <t>No</t>
        </is>
      </c>
      <c r="AQ233" t="inlineStr">
        <is>
          <t>Yes</t>
        </is>
      </c>
      <c r="AR233">
        <f>HYPERLINK("http://catalog.hathitrust.org/Record/003176208","HathiTrust Record")</f>
        <v/>
      </c>
      <c r="AS233">
        <f>HYPERLINK("https://creighton-primo.hosted.exlibrisgroup.com/primo-explore/search?tab=default_tab&amp;search_scope=EVERYTHING&amp;vid=01CRU&amp;lang=en_US&amp;offset=0&amp;query=any,contains,991002754289702656","Catalog Record")</f>
        <v/>
      </c>
      <c r="AT233">
        <f>HYPERLINK("http://www.worldcat.org/oclc/36133232","WorldCat Record")</f>
        <v/>
      </c>
      <c r="AU233" t="inlineStr">
        <is>
          <t>639004:eng</t>
        </is>
      </c>
      <c r="AV233" t="inlineStr">
        <is>
          <t>36133232</t>
        </is>
      </c>
      <c r="AW233" t="inlineStr">
        <is>
          <t>991002754289702656</t>
        </is>
      </c>
      <c r="AX233" t="inlineStr">
        <is>
          <t>991002754289702656</t>
        </is>
      </c>
      <c r="AY233" t="inlineStr">
        <is>
          <t>2262063270002656</t>
        </is>
      </c>
      <c r="AZ233" t="inlineStr">
        <is>
          <t>BOOK</t>
        </is>
      </c>
      <c r="BB233" t="inlineStr">
        <is>
          <t>9780867094169</t>
        </is>
      </c>
      <c r="BC233" t="inlineStr">
        <is>
          <t>32285002499100</t>
        </is>
      </c>
      <c r="BD233" t="inlineStr">
        <is>
          <t>893704471</t>
        </is>
      </c>
    </row>
    <row r="234">
      <c r="A234" t="inlineStr">
        <is>
          <t>No</t>
        </is>
      </c>
      <c r="B234" t="inlineStr">
        <is>
          <t>PE1404 .S873 1988</t>
        </is>
      </c>
      <c r="C234" t="inlineStr">
        <is>
          <t>0                      PE 1404000S  873         1988</t>
        </is>
      </c>
      <c r="D234" t="inlineStr">
        <is>
          <t>Strengthening programs for writing across the curriculum / Susan H. McLeod, editor.</t>
        </is>
      </c>
      <c r="F234" t="inlineStr">
        <is>
          <t>No</t>
        </is>
      </c>
      <c r="G234" t="inlineStr">
        <is>
          <t>1</t>
        </is>
      </c>
      <c r="H234" t="inlineStr">
        <is>
          <t>No</t>
        </is>
      </c>
      <c r="I234" t="inlineStr">
        <is>
          <t>No</t>
        </is>
      </c>
      <c r="J234" t="inlineStr">
        <is>
          <t>0</t>
        </is>
      </c>
      <c r="L234" t="inlineStr">
        <is>
          <t>San Francisco ; London : Jossey-Bass, c1988.</t>
        </is>
      </c>
      <c r="M234" t="inlineStr">
        <is>
          <t>1988</t>
        </is>
      </c>
      <c r="O234" t="inlineStr">
        <is>
          <t>eng</t>
        </is>
      </c>
      <c r="P234" t="inlineStr">
        <is>
          <t>cau</t>
        </is>
      </c>
      <c r="Q234" t="inlineStr">
        <is>
          <t>New directions for teaching and learning, 0271-0633 ; no. 36</t>
        </is>
      </c>
      <c r="R234" t="inlineStr">
        <is>
          <t xml:space="preserve">PE </t>
        </is>
      </c>
      <c r="S234" t="n">
        <v>1</v>
      </c>
      <c r="T234" t="n">
        <v>1</v>
      </c>
      <c r="U234" t="inlineStr">
        <is>
          <t>1998-10-06</t>
        </is>
      </c>
      <c r="V234" t="inlineStr">
        <is>
          <t>1998-10-06</t>
        </is>
      </c>
      <c r="W234" t="inlineStr">
        <is>
          <t>1993-08-24</t>
        </is>
      </c>
      <c r="X234" t="inlineStr">
        <is>
          <t>1993-08-24</t>
        </is>
      </c>
      <c r="Y234" t="n">
        <v>677</v>
      </c>
      <c r="Z234" t="n">
        <v>628</v>
      </c>
      <c r="AA234" t="n">
        <v>677</v>
      </c>
      <c r="AB234" t="n">
        <v>7</v>
      </c>
      <c r="AC234" t="n">
        <v>8</v>
      </c>
      <c r="AD234" t="n">
        <v>34</v>
      </c>
      <c r="AE234" t="n">
        <v>35</v>
      </c>
      <c r="AF234" t="n">
        <v>10</v>
      </c>
      <c r="AG234" t="n">
        <v>10</v>
      </c>
      <c r="AH234" t="n">
        <v>8</v>
      </c>
      <c r="AI234" t="n">
        <v>8</v>
      </c>
      <c r="AJ234" t="n">
        <v>17</v>
      </c>
      <c r="AK234" t="n">
        <v>17</v>
      </c>
      <c r="AL234" t="n">
        <v>6</v>
      </c>
      <c r="AM234" t="n">
        <v>7</v>
      </c>
      <c r="AN234" t="n">
        <v>0</v>
      </c>
      <c r="AO234" t="n">
        <v>0</v>
      </c>
      <c r="AP234" t="inlineStr">
        <is>
          <t>No</t>
        </is>
      </c>
      <c r="AQ234" t="inlineStr">
        <is>
          <t>Yes</t>
        </is>
      </c>
      <c r="AR234">
        <f>HYPERLINK("http://catalog.hathitrust.org/Record/001843609","HathiTrust Record")</f>
        <v/>
      </c>
      <c r="AS234">
        <f>HYPERLINK("https://creighton-primo.hosted.exlibrisgroup.com/primo-explore/search?tab=default_tab&amp;search_scope=EVERYTHING&amp;vid=01CRU&amp;lang=en_US&amp;offset=0&amp;query=any,contains,991001414349702656","Catalog Record")</f>
        <v/>
      </c>
      <c r="AT234">
        <f>HYPERLINK("http://www.worldcat.org/oclc/18938935","WorldCat Record")</f>
        <v/>
      </c>
      <c r="AU234" t="inlineStr">
        <is>
          <t>55164174:eng</t>
        </is>
      </c>
      <c r="AV234" t="inlineStr">
        <is>
          <t>18938935</t>
        </is>
      </c>
      <c r="AW234" t="inlineStr">
        <is>
          <t>991001414349702656</t>
        </is>
      </c>
      <c r="AX234" t="inlineStr">
        <is>
          <t>991001414349702656</t>
        </is>
      </c>
      <c r="AY234" t="inlineStr">
        <is>
          <t>2269065970002656</t>
        </is>
      </c>
      <c r="AZ234" t="inlineStr">
        <is>
          <t>BOOK</t>
        </is>
      </c>
      <c r="BB234" t="inlineStr">
        <is>
          <t>9781555428990</t>
        </is>
      </c>
      <c r="BC234" t="inlineStr">
        <is>
          <t>32285001728095</t>
        </is>
      </c>
      <c r="BD234" t="inlineStr">
        <is>
          <t>893797571</t>
        </is>
      </c>
    </row>
    <row r="235">
      <c r="A235" t="inlineStr">
        <is>
          <t>No</t>
        </is>
      </c>
      <c r="B235" t="inlineStr">
        <is>
          <t>PE1404 .T33</t>
        </is>
      </c>
      <c r="C235" t="inlineStr">
        <is>
          <t>0                      PE 1404000T  33</t>
        </is>
      </c>
      <c r="D235" t="inlineStr">
        <is>
          <t>Teaching high school composition [by] Gary Tate [and] Edward P. J. Corbett.</t>
        </is>
      </c>
      <c r="F235" t="inlineStr">
        <is>
          <t>No</t>
        </is>
      </c>
      <c r="G235" t="inlineStr">
        <is>
          <t>1</t>
        </is>
      </c>
      <c r="H235" t="inlineStr">
        <is>
          <t>No</t>
        </is>
      </c>
      <c r="I235" t="inlineStr">
        <is>
          <t>No</t>
        </is>
      </c>
      <c r="J235" t="inlineStr">
        <is>
          <t>0</t>
        </is>
      </c>
      <c r="K235" t="inlineStr">
        <is>
          <t>Tate, Gary compiler.</t>
        </is>
      </c>
      <c r="L235" t="inlineStr">
        <is>
          <t>New York, Oxford University Press, 1970.</t>
        </is>
      </c>
      <c r="M235" t="inlineStr">
        <is>
          <t>1970</t>
        </is>
      </c>
      <c r="O235" t="inlineStr">
        <is>
          <t>eng</t>
        </is>
      </c>
      <c r="P235" t="inlineStr">
        <is>
          <t>nyu</t>
        </is>
      </c>
      <c r="R235" t="inlineStr">
        <is>
          <t xml:space="preserve">PE </t>
        </is>
      </c>
      <c r="S235" t="n">
        <v>2</v>
      </c>
      <c r="T235" t="n">
        <v>2</v>
      </c>
      <c r="U235" t="inlineStr">
        <is>
          <t>2005-10-11</t>
        </is>
      </c>
      <c r="V235" t="inlineStr">
        <is>
          <t>2005-10-11</t>
        </is>
      </c>
      <c r="W235" t="inlineStr">
        <is>
          <t>1997-09-24</t>
        </is>
      </c>
      <c r="X235" t="inlineStr">
        <is>
          <t>1997-09-24</t>
        </is>
      </c>
      <c r="Y235" t="n">
        <v>283</v>
      </c>
      <c r="Z235" t="n">
        <v>259</v>
      </c>
      <c r="AA235" t="n">
        <v>260</v>
      </c>
      <c r="AB235" t="n">
        <v>3</v>
      </c>
      <c r="AC235" t="n">
        <v>3</v>
      </c>
      <c r="AD235" t="n">
        <v>14</v>
      </c>
      <c r="AE235" t="n">
        <v>14</v>
      </c>
      <c r="AF235" t="n">
        <v>4</v>
      </c>
      <c r="AG235" t="n">
        <v>4</v>
      </c>
      <c r="AH235" t="n">
        <v>2</v>
      </c>
      <c r="AI235" t="n">
        <v>2</v>
      </c>
      <c r="AJ235" t="n">
        <v>7</v>
      </c>
      <c r="AK235" t="n">
        <v>7</v>
      </c>
      <c r="AL235" t="n">
        <v>2</v>
      </c>
      <c r="AM235" t="n">
        <v>2</v>
      </c>
      <c r="AN235" t="n">
        <v>0</v>
      </c>
      <c r="AO235" t="n">
        <v>0</v>
      </c>
      <c r="AP235" t="inlineStr">
        <is>
          <t>No</t>
        </is>
      </c>
      <c r="AQ235" t="inlineStr">
        <is>
          <t>Yes</t>
        </is>
      </c>
      <c r="AR235">
        <f>HYPERLINK("http://catalog.hathitrust.org/Record/007114564","HathiTrust Record")</f>
        <v/>
      </c>
      <c r="AS235">
        <f>HYPERLINK("https://creighton-primo.hosted.exlibrisgroup.com/primo-explore/search?tab=default_tab&amp;search_scope=EVERYTHING&amp;vid=01CRU&amp;lang=en_US&amp;offset=0&amp;query=any,contains,991000139459702656","Catalog Record")</f>
        <v/>
      </c>
      <c r="AT235">
        <f>HYPERLINK("http://www.worldcat.org/oclc/57321","WorldCat Record")</f>
        <v/>
      </c>
      <c r="AU235" t="inlineStr">
        <is>
          <t>1192079:eng</t>
        </is>
      </c>
      <c r="AV235" t="inlineStr">
        <is>
          <t>57321</t>
        </is>
      </c>
      <c r="AW235" t="inlineStr">
        <is>
          <t>991000139459702656</t>
        </is>
      </c>
      <c r="AX235" t="inlineStr">
        <is>
          <t>991000139459702656</t>
        </is>
      </c>
      <c r="AY235" t="inlineStr">
        <is>
          <t>2261630630002656</t>
        </is>
      </c>
      <c r="AZ235" t="inlineStr">
        <is>
          <t>BOOK</t>
        </is>
      </c>
      <c r="BC235" t="inlineStr">
        <is>
          <t>32285003246039</t>
        </is>
      </c>
      <c r="BD235" t="inlineStr">
        <is>
          <t>893502276</t>
        </is>
      </c>
    </row>
    <row r="236">
      <c r="A236" t="inlineStr">
        <is>
          <t>No</t>
        </is>
      </c>
      <c r="B236" t="inlineStr">
        <is>
          <t>PE1404 .T48 1989</t>
        </is>
      </c>
      <c r="C236" t="inlineStr">
        <is>
          <t>0                      PE 1404000T  48          1989</t>
        </is>
      </c>
      <c r="D236" t="inlineStr">
        <is>
          <t>Thinking, reasoning, and writing / [edited by] Elaine P. Maimon, Barbara F. Nodine, Finbarr W. O'Connor.</t>
        </is>
      </c>
      <c r="F236" t="inlineStr">
        <is>
          <t>No</t>
        </is>
      </c>
      <c r="G236" t="inlineStr">
        <is>
          <t>1</t>
        </is>
      </c>
      <c r="H236" t="inlineStr">
        <is>
          <t>No</t>
        </is>
      </c>
      <c r="I236" t="inlineStr">
        <is>
          <t>No</t>
        </is>
      </c>
      <c r="J236" t="inlineStr">
        <is>
          <t>0</t>
        </is>
      </c>
      <c r="L236" t="inlineStr">
        <is>
          <t>New York : Longman, c1989.</t>
        </is>
      </c>
      <c r="M236" t="inlineStr">
        <is>
          <t>1989</t>
        </is>
      </c>
      <c r="O236" t="inlineStr">
        <is>
          <t>eng</t>
        </is>
      </c>
      <c r="P236" t="inlineStr">
        <is>
          <t>nyu</t>
        </is>
      </c>
      <c r="Q236" t="inlineStr">
        <is>
          <t>Longman series in college composition and communication</t>
        </is>
      </c>
      <c r="R236" t="inlineStr">
        <is>
          <t xml:space="preserve">PE </t>
        </is>
      </c>
      <c r="S236" t="n">
        <v>6</v>
      </c>
      <c r="T236" t="n">
        <v>6</v>
      </c>
      <c r="U236" t="inlineStr">
        <is>
          <t>2001-04-19</t>
        </is>
      </c>
      <c r="V236" t="inlineStr">
        <is>
          <t>2001-04-19</t>
        </is>
      </c>
      <c r="W236" t="inlineStr">
        <is>
          <t>1992-04-09</t>
        </is>
      </c>
      <c r="X236" t="inlineStr">
        <is>
          <t>1992-04-09</t>
        </is>
      </c>
      <c r="Y236" t="n">
        <v>313</v>
      </c>
      <c r="Z236" t="n">
        <v>297</v>
      </c>
      <c r="AA236" t="n">
        <v>309</v>
      </c>
      <c r="AB236" t="n">
        <v>2</v>
      </c>
      <c r="AC236" t="n">
        <v>2</v>
      </c>
      <c r="AD236" t="n">
        <v>17</v>
      </c>
      <c r="AE236" t="n">
        <v>17</v>
      </c>
      <c r="AF236" t="n">
        <v>8</v>
      </c>
      <c r="AG236" t="n">
        <v>8</v>
      </c>
      <c r="AH236" t="n">
        <v>4</v>
      </c>
      <c r="AI236" t="n">
        <v>4</v>
      </c>
      <c r="AJ236" t="n">
        <v>7</v>
      </c>
      <c r="AK236" t="n">
        <v>7</v>
      </c>
      <c r="AL236" t="n">
        <v>1</v>
      </c>
      <c r="AM236" t="n">
        <v>1</v>
      </c>
      <c r="AN236" t="n">
        <v>0</v>
      </c>
      <c r="AO236" t="n">
        <v>0</v>
      </c>
      <c r="AP236" t="inlineStr">
        <is>
          <t>No</t>
        </is>
      </c>
      <c r="AQ236" t="inlineStr">
        <is>
          <t>Yes</t>
        </is>
      </c>
      <c r="AR236">
        <f>HYPERLINK("http://catalog.hathitrust.org/Record/001827352","HathiTrust Record")</f>
        <v/>
      </c>
      <c r="AS236">
        <f>HYPERLINK("https://creighton-primo.hosted.exlibrisgroup.com/primo-explore/search?tab=default_tab&amp;search_scope=EVERYTHING&amp;vid=01CRU&amp;lang=en_US&amp;offset=0&amp;query=any,contains,991001278209702656","Catalog Record")</f>
        <v/>
      </c>
      <c r="AT236">
        <f>HYPERLINK("http://www.worldcat.org/oclc/17878524","WorldCat Record")</f>
        <v/>
      </c>
      <c r="AU236" t="inlineStr">
        <is>
          <t>427138205:eng</t>
        </is>
      </c>
      <c r="AV236" t="inlineStr">
        <is>
          <t>17878524</t>
        </is>
      </c>
      <c r="AW236" t="inlineStr">
        <is>
          <t>991001278209702656</t>
        </is>
      </c>
      <c r="AX236" t="inlineStr">
        <is>
          <t>991001278209702656</t>
        </is>
      </c>
      <c r="AY236" t="inlineStr">
        <is>
          <t>2267683640002656</t>
        </is>
      </c>
      <c r="AZ236" t="inlineStr">
        <is>
          <t>BOOK</t>
        </is>
      </c>
      <c r="BB236" t="inlineStr">
        <is>
          <t>9780582286047</t>
        </is>
      </c>
      <c r="BC236" t="inlineStr">
        <is>
          <t>32285001009520</t>
        </is>
      </c>
      <c r="BD236" t="inlineStr">
        <is>
          <t>893225757</t>
        </is>
      </c>
    </row>
    <row r="237">
      <c r="A237" t="inlineStr">
        <is>
          <t>No</t>
        </is>
      </c>
      <c r="B237" t="inlineStr">
        <is>
          <t>PE1404 .W31336 1982</t>
        </is>
      </c>
      <c r="C237" t="inlineStr">
        <is>
          <t>0                      PE 1404000W  31336       1982</t>
        </is>
      </c>
      <c r="D237" t="inlineStr">
        <is>
          <t>Helping students write well : a guide for teachers in all disciplines / Barbara E. Fassler Walvoord.</t>
        </is>
      </c>
      <c r="F237" t="inlineStr">
        <is>
          <t>No</t>
        </is>
      </c>
      <c r="G237" t="inlineStr">
        <is>
          <t>1</t>
        </is>
      </c>
      <c r="H237" t="inlineStr">
        <is>
          <t>No</t>
        </is>
      </c>
      <c r="I237" t="inlineStr">
        <is>
          <t>Yes</t>
        </is>
      </c>
      <c r="J237" t="inlineStr">
        <is>
          <t>0</t>
        </is>
      </c>
      <c r="K237" t="inlineStr">
        <is>
          <t>Walvoord, Barbara E. Fassler, 1941-</t>
        </is>
      </c>
      <c r="L237" t="inlineStr">
        <is>
          <t>New York : Modern Language Association of America, 1982.</t>
        </is>
      </c>
      <c r="M237" t="inlineStr">
        <is>
          <t>1982</t>
        </is>
      </c>
      <c r="O237" t="inlineStr">
        <is>
          <t>eng</t>
        </is>
      </c>
      <c r="P237" t="inlineStr">
        <is>
          <t>nyu</t>
        </is>
      </c>
      <c r="R237" t="inlineStr">
        <is>
          <t xml:space="preserve">PE </t>
        </is>
      </c>
      <c r="S237" t="n">
        <v>7</v>
      </c>
      <c r="T237" t="n">
        <v>7</v>
      </c>
      <c r="U237" t="inlineStr">
        <is>
          <t>2000-03-21</t>
        </is>
      </c>
      <c r="V237" t="inlineStr">
        <is>
          <t>2000-03-21</t>
        </is>
      </c>
      <c r="W237" t="inlineStr">
        <is>
          <t>1990-06-28</t>
        </is>
      </c>
      <c r="X237" t="inlineStr">
        <is>
          <t>1990-06-28</t>
        </is>
      </c>
      <c r="Y237" t="n">
        <v>530</v>
      </c>
      <c r="Z237" t="n">
        <v>485</v>
      </c>
      <c r="AA237" t="n">
        <v>1028</v>
      </c>
      <c r="AB237" t="n">
        <v>5</v>
      </c>
      <c r="AC237" t="n">
        <v>7</v>
      </c>
      <c r="AD237" t="n">
        <v>24</v>
      </c>
      <c r="AE237" t="n">
        <v>45</v>
      </c>
      <c r="AF237" t="n">
        <v>9</v>
      </c>
      <c r="AG237" t="n">
        <v>21</v>
      </c>
      <c r="AH237" t="n">
        <v>6</v>
      </c>
      <c r="AI237" t="n">
        <v>9</v>
      </c>
      <c r="AJ237" t="n">
        <v>12</v>
      </c>
      <c r="AK237" t="n">
        <v>20</v>
      </c>
      <c r="AL237" t="n">
        <v>4</v>
      </c>
      <c r="AM237" t="n">
        <v>6</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HYPERLINK("https://creighton-primo.hosted.exlibrisgroup.com/primo-explore/search?tab=default_tab&amp;search_scope=EVERYTHING&amp;vid=01CRU&amp;lang=en_US&amp;offset=0&amp;query=any,contains,991005161689702656","Catalog Record")</f>
        <v/>
      </c>
      <c r="AT237">
        <f>HYPERLINK("http://www.worldcat.org/oclc/7795483","WorldCat Record")</f>
        <v/>
      </c>
      <c r="AU237" t="inlineStr">
        <is>
          <t>7676092:eng</t>
        </is>
      </c>
      <c r="AV237" t="inlineStr">
        <is>
          <t>7795483</t>
        </is>
      </c>
      <c r="AW237" t="inlineStr">
        <is>
          <t>991005161689702656</t>
        </is>
      </c>
      <c r="AX237" t="inlineStr">
        <is>
          <t>991005161689702656</t>
        </is>
      </c>
      <c r="AY237" t="inlineStr">
        <is>
          <t>2267926210002656</t>
        </is>
      </c>
      <c r="AZ237" t="inlineStr">
        <is>
          <t>BOOK</t>
        </is>
      </c>
      <c r="BB237" t="inlineStr">
        <is>
          <t>9780873520966</t>
        </is>
      </c>
      <c r="BC237" t="inlineStr">
        <is>
          <t>32285000208214</t>
        </is>
      </c>
      <c r="BD237" t="inlineStr">
        <is>
          <t>893332502</t>
        </is>
      </c>
    </row>
    <row r="238">
      <c r="A238" t="inlineStr">
        <is>
          <t>No</t>
        </is>
      </c>
      <c r="B238" t="inlineStr">
        <is>
          <t>PE1404 .W31336 1986</t>
        </is>
      </c>
      <c r="C238" t="inlineStr">
        <is>
          <t>0                      PE 1404000W  31336       1986</t>
        </is>
      </c>
      <c r="D238" t="inlineStr">
        <is>
          <t>Helping students write well : a guide for teachers in all disciplines / Barbara E. Fassler Walvoord.</t>
        </is>
      </c>
      <c r="F238" t="inlineStr">
        <is>
          <t>No</t>
        </is>
      </c>
      <c r="G238" t="inlineStr">
        <is>
          <t>1</t>
        </is>
      </c>
      <c r="H238" t="inlineStr">
        <is>
          <t>No</t>
        </is>
      </c>
      <c r="I238" t="inlineStr">
        <is>
          <t>Yes</t>
        </is>
      </c>
      <c r="J238" t="inlineStr">
        <is>
          <t>0</t>
        </is>
      </c>
      <c r="K238" t="inlineStr">
        <is>
          <t>Walvoord, Barbara E. Fassler, 1941-</t>
        </is>
      </c>
      <c r="L238" t="inlineStr">
        <is>
          <t>New York : Modern Language Association of America, 1986.</t>
        </is>
      </c>
      <c r="M238" t="inlineStr">
        <is>
          <t>1986</t>
        </is>
      </c>
      <c r="N238" t="inlineStr">
        <is>
          <t>2nd ed.</t>
        </is>
      </c>
      <c r="O238" t="inlineStr">
        <is>
          <t>eng</t>
        </is>
      </c>
      <c r="P238" t="inlineStr">
        <is>
          <t>nyu</t>
        </is>
      </c>
      <c r="R238" t="inlineStr">
        <is>
          <t xml:space="preserve">PE </t>
        </is>
      </c>
      <c r="S238" t="n">
        <v>13</v>
      </c>
      <c r="T238" t="n">
        <v>13</v>
      </c>
      <c r="U238" t="inlineStr">
        <is>
          <t>2000-03-21</t>
        </is>
      </c>
      <c r="V238" t="inlineStr">
        <is>
          <t>2000-03-21</t>
        </is>
      </c>
      <c r="W238" t="inlineStr">
        <is>
          <t>1990-04-24</t>
        </is>
      </c>
      <c r="X238" t="inlineStr">
        <is>
          <t>1990-04-24</t>
        </is>
      </c>
      <c r="Y238" t="n">
        <v>753</v>
      </c>
      <c r="Z238" t="n">
        <v>708</v>
      </c>
      <c r="AA238" t="n">
        <v>1028</v>
      </c>
      <c r="AB238" t="n">
        <v>4</v>
      </c>
      <c r="AC238" t="n">
        <v>7</v>
      </c>
      <c r="AD238" t="n">
        <v>29</v>
      </c>
      <c r="AE238" t="n">
        <v>45</v>
      </c>
      <c r="AF238" t="n">
        <v>15</v>
      </c>
      <c r="AG238" t="n">
        <v>21</v>
      </c>
      <c r="AH238" t="n">
        <v>4</v>
      </c>
      <c r="AI238" t="n">
        <v>9</v>
      </c>
      <c r="AJ238" t="n">
        <v>12</v>
      </c>
      <c r="AK238" t="n">
        <v>20</v>
      </c>
      <c r="AL238" t="n">
        <v>3</v>
      </c>
      <c r="AM238" t="n">
        <v>6</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HYPERLINK("https://creighton-primo.hosted.exlibrisgroup.com/primo-explore/search?tab=default_tab&amp;search_scope=EVERYTHING&amp;vid=01CRU&amp;lang=en_US&amp;offset=0&amp;query=any,contains,991000853629702656","Catalog Record")</f>
        <v/>
      </c>
      <c r="AT238">
        <f>HYPERLINK("http://www.worldcat.org/oclc/13642562","WorldCat Record")</f>
        <v/>
      </c>
      <c r="AU238" t="inlineStr">
        <is>
          <t>7676092:eng</t>
        </is>
      </c>
      <c r="AV238" t="inlineStr">
        <is>
          <t>13642562</t>
        </is>
      </c>
      <c r="AW238" t="inlineStr">
        <is>
          <t>991000853629702656</t>
        </is>
      </c>
      <c r="AX238" t="inlineStr">
        <is>
          <t>991000853629702656</t>
        </is>
      </c>
      <c r="AY238" t="inlineStr">
        <is>
          <t>2271897010002656</t>
        </is>
      </c>
      <c r="AZ238" t="inlineStr">
        <is>
          <t>BOOK</t>
        </is>
      </c>
      <c r="BB238" t="inlineStr">
        <is>
          <t>9780873522014</t>
        </is>
      </c>
      <c r="BC238" t="inlineStr">
        <is>
          <t>32285000115690</t>
        </is>
      </c>
      <c r="BD238" t="inlineStr">
        <is>
          <t>893231471</t>
        </is>
      </c>
    </row>
    <row r="239">
      <c r="A239" t="inlineStr">
        <is>
          <t>No</t>
        </is>
      </c>
      <c r="B239" t="inlineStr">
        <is>
          <t>PE1404 .W44 1990</t>
        </is>
      </c>
      <c r="C239" t="inlineStr">
        <is>
          <t>0                      PE 1404000W  44          1990</t>
        </is>
      </c>
      <c r="D239" t="inlineStr">
        <is>
          <t>Students' discourse / written and compiled by Valerie H. Weisberg ; edited by George H. Herrick.</t>
        </is>
      </c>
      <c r="F239" t="inlineStr">
        <is>
          <t>No</t>
        </is>
      </c>
      <c r="G239" t="inlineStr">
        <is>
          <t>1</t>
        </is>
      </c>
      <c r="H239" t="inlineStr">
        <is>
          <t>No</t>
        </is>
      </c>
      <c r="I239" t="inlineStr">
        <is>
          <t>No</t>
        </is>
      </c>
      <c r="J239" t="inlineStr">
        <is>
          <t>0</t>
        </is>
      </c>
      <c r="K239" t="inlineStr">
        <is>
          <t>Weisberg, Valerie Hannah.</t>
        </is>
      </c>
      <c r="L239" t="inlineStr">
        <is>
          <t>Santa Barbara, CA : VHW Publishing, c1990.</t>
        </is>
      </c>
      <c r="M239" t="inlineStr">
        <is>
          <t>1990</t>
        </is>
      </c>
      <c r="N239" t="inlineStr">
        <is>
          <t>2nd ed.</t>
        </is>
      </c>
      <c r="O239" t="inlineStr">
        <is>
          <t>eng</t>
        </is>
      </c>
      <c r="P239" t="inlineStr">
        <is>
          <t>cau</t>
        </is>
      </c>
      <c r="R239" t="inlineStr">
        <is>
          <t xml:space="preserve">PE </t>
        </is>
      </c>
      <c r="S239" t="n">
        <v>1</v>
      </c>
      <c r="T239" t="n">
        <v>1</v>
      </c>
      <c r="U239" t="inlineStr">
        <is>
          <t>1994-11-12</t>
        </is>
      </c>
      <c r="V239" t="inlineStr">
        <is>
          <t>1994-11-12</t>
        </is>
      </c>
      <c r="W239" t="inlineStr">
        <is>
          <t>1993-08-09</t>
        </is>
      </c>
      <c r="X239" t="inlineStr">
        <is>
          <t>1993-08-09</t>
        </is>
      </c>
      <c r="Y239" t="n">
        <v>5</v>
      </c>
      <c r="Z239" t="n">
        <v>4</v>
      </c>
      <c r="AA239" t="n">
        <v>6</v>
      </c>
      <c r="AB239" t="n">
        <v>1</v>
      </c>
      <c r="AC239" t="n">
        <v>1</v>
      </c>
      <c r="AD239" t="n">
        <v>0</v>
      </c>
      <c r="AE239" t="n">
        <v>0</v>
      </c>
      <c r="AF239" t="n">
        <v>0</v>
      </c>
      <c r="AG239" t="n">
        <v>0</v>
      </c>
      <c r="AH239" t="n">
        <v>0</v>
      </c>
      <c r="AI239" t="n">
        <v>0</v>
      </c>
      <c r="AJ239" t="n">
        <v>0</v>
      </c>
      <c r="AK239" t="n">
        <v>0</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HYPERLINK("https://creighton-primo.hosted.exlibrisgroup.com/primo-explore/search?tab=default_tab&amp;search_scope=EVERYTHING&amp;vid=01CRU&amp;lang=en_US&amp;offset=0&amp;query=any,contains,991002067039702656","Catalog Record")</f>
        <v/>
      </c>
      <c r="AT239">
        <f>HYPERLINK("http://www.worldcat.org/oclc/26475261","WorldCat Record")</f>
        <v/>
      </c>
      <c r="AU239" t="inlineStr">
        <is>
          <t>4164206992:eng</t>
        </is>
      </c>
      <c r="AV239" t="inlineStr">
        <is>
          <t>26475261</t>
        </is>
      </c>
      <c r="AW239" t="inlineStr">
        <is>
          <t>991002067039702656</t>
        </is>
      </c>
      <c r="AX239" t="inlineStr">
        <is>
          <t>991002067039702656</t>
        </is>
      </c>
      <c r="AY239" t="inlineStr">
        <is>
          <t>2257887300002656</t>
        </is>
      </c>
      <c r="AZ239" t="inlineStr">
        <is>
          <t>BOOK</t>
        </is>
      </c>
      <c r="BB239" t="inlineStr">
        <is>
          <t>9780941281775</t>
        </is>
      </c>
      <c r="BC239" t="inlineStr">
        <is>
          <t>32285001725638</t>
        </is>
      </c>
      <c r="BD239" t="inlineStr">
        <is>
          <t>893691179</t>
        </is>
      </c>
    </row>
    <row r="240">
      <c r="A240" t="inlineStr">
        <is>
          <t>No</t>
        </is>
      </c>
      <c r="B240" t="inlineStr">
        <is>
          <t>PE1404 .W44 2001</t>
        </is>
      </c>
      <c r="C240" t="inlineStr">
        <is>
          <t>0                      PE 1404000W  44          2001</t>
        </is>
      </c>
      <c r="D240" t="inlineStr">
        <is>
          <t>Writing at the threshold : featuring 56 ways to prepare high school and college students to think and write at the college level / Larry Weinstein.</t>
        </is>
      </c>
      <c r="F240" t="inlineStr">
        <is>
          <t>No</t>
        </is>
      </c>
      <c r="G240" t="inlineStr">
        <is>
          <t>1</t>
        </is>
      </c>
      <c r="H240" t="inlineStr">
        <is>
          <t>No</t>
        </is>
      </c>
      <c r="I240" t="inlineStr">
        <is>
          <t>No</t>
        </is>
      </c>
      <c r="J240" t="inlineStr">
        <is>
          <t>0</t>
        </is>
      </c>
      <c r="K240" t="inlineStr">
        <is>
          <t>Weinstein, Larry, 1948-</t>
        </is>
      </c>
      <c r="L240" t="inlineStr">
        <is>
          <t>Urbana, Ill. : National Council of Teachers of English, c2001.</t>
        </is>
      </c>
      <c r="M240" t="inlineStr">
        <is>
          <t>2001</t>
        </is>
      </c>
      <c r="O240" t="inlineStr">
        <is>
          <t>eng</t>
        </is>
      </c>
      <c r="P240" t="inlineStr">
        <is>
          <t>ilu</t>
        </is>
      </c>
      <c r="R240" t="inlineStr">
        <is>
          <t xml:space="preserve">PE </t>
        </is>
      </c>
      <c r="S240" t="n">
        <v>7</v>
      </c>
      <c r="T240" t="n">
        <v>7</v>
      </c>
      <c r="U240" t="inlineStr">
        <is>
          <t>2009-09-10</t>
        </is>
      </c>
      <c r="V240" t="inlineStr">
        <is>
          <t>2009-09-10</t>
        </is>
      </c>
      <c r="W240" t="inlineStr">
        <is>
          <t>2003-12-01</t>
        </is>
      </c>
      <c r="X240" t="inlineStr">
        <is>
          <t>2003-12-01</t>
        </is>
      </c>
      <c r="Y240" t="n">
        <v>297</v>
      </c>
      <c r="Z240" t="n">
        <v>277</v>
      </c>
      <c r="AA240" t="n">
        <v>286</v>
      </c>
      <c r="AB240" t="n">
        <v>3</v>
      </c>
      <c r="AC240" t="n">
        <v>3</v>
      </c>
      <c r="AD240" t="n">
        <v>10</v>
      </c>
      <c r="AE240" t="n">
        <v>10</v>
      </c>
      <c r="AF240" t="n">
        <v>4</v>
      </c>
      <c r="AG240" t="n">
        <v>4</v>
      </c>
      <c r="AH240" t="n">
        <v>3</v>
      </c>
      <c r="AI240" t="n">
        <v>3</v>
      </c>
      <c r="AJ240" t="n">
        <v>3</v>
      </c>
      <c r="AK240" t="n">
        <v>3</v>
      </c>
      <c r="AL240" t="n">
        <v>2</v>
      </c>
      <c r="AM240" t="n">
        <v>2</v>
      </c>
      <c r="AN240" t="n">
        <v>0</v>
      </c>
      <c r="AO240" t="n">
        <v>0</v>
      </c>
      <c r="AP240" t="inlineStr">
        <is>
          <t>No</t>
        </is>
      </c>
      <c r="AQ240" t="inlineStr">
        <is>
          <t>Yes</t>
        </is>
      </c>
      <c r="AR240">
        <f>HYPERLINK("http://catalog.hathitrust.org/Record/007141465","HathiTrust Record")</f>
        <v/>
      </c>
      <c r="AS240">
        <f>HYPERLINK("https://creighton-primo.hosted.exlibrisgroup.com/primo-explore/search?tab=default_tab&amp;search_scope=EVERYTHING&amp;vid=01CRU&amp;lang=en_US&amp;offset=0&amp;query=any,contains,991004145459702656","Catalog Record")</f>
        <v/>
      </c>
      <c r="AT240">
        <f>HYPERLINK("http://www.worldcat.org/oclc/46422297","WorldCat Record")</f>
        <v/>
      </c>
      <c r="AU240" t="inlineStr">
        <is>
          <t>35523329:eng</t>
        </is>
      </c>
      <c r="AV240" t="inlineStr">
        <is>
          <t>46422297</t>
        </is>
      </c>
      <c r="AW240" t="inlineStr">
        <is>
          <t>991004145459702656</t>
        </is>
      </c>
      <c r="AX240" t="inlineStr">
        <is>
          <t>991004145459702656</t>
        </is>
      </c>
      <c r="AY240" t="inlineStr">
        <is>
          <t>2261326620002656</t>
        </is>
      </c>
      <c r="AZ240" t="inlineStr">
        <is>
          <t>BOOK</t>
        </is>
      </c>
      <c r="BB240" t="inlineStr">
        <is>
          <t>9780814159132</t>
        </is>
      </c>
      <c r="BC240" t="inlineStr">
        <is>
          <t>32285004843305</t>
        </is>
      </c>
      <c r="BD240" t="inlineStr">
        <is>
          <t>893875740</t>
        </is>
      </c>
    </row>
    <row r="241">
      <c r="A241" t="inlineStr">
        <is>
          <t>No</t>
        </is>
      </c>
      <c r="B241" t="inlineStr">
        <is>
          <t>PE1404 .W47 1989</t>
        </is>
      </c>
      <c r="C241" t="inlineStr">
        <is>
          <t>0                      PE 1404000W  47          1989</t>
        </is>
      </c>
      <c r="D241" t="inlineStr">
        <is>
          <t>Developing successful college writing programs / Edward M. White ; foreword by Richard Lloyd-Jones.</t>
        </is>
      </c>
      <c r="F241" t="inlineStr">
        <is>
          <t>No</t>
        </is>
      </c>
      <c r="G241" t="inlineStr">
        <is>
          <t>1</t>
        </is>
      </c>
      <c r="H241" t="inlineStr">
        <is>
          <t>No</t>
        </is>
      </c>
      <c r="I241" t="inlineStr">
        <is>
          <t>No</t>
        </is>
      </c>
      <c r="J241" t="inlineStr">
        <is>
          <t>0</t>
        </is>
      </c>
      <c r="K241" t="inlineStr">
        <is>
          <t>White, Edward M. (Edward Michael), 1933-</t>
        </is>
      </c>
      <c r="L241" t="inlineStr">
        <is>
          <t>San Francisco : Jossey-Bass, 1989.</t>
        </is>
      </c>
      <c r="M241" t="inlineStr">
        <is>
          <t>1989</t>
        </is>
      </c>
      <c r="N241" t="inlineStr">
        <is>
          <t>1st. ed.</t>
        </is>
      </c>
      <c r="O241" t="inlineStr">
        <is>
          <t>eng</t>
        </is>
      </c>
      <c r="P241" t="inlineStr">
        <is>
          <t>cau</t>
        </is>
      </c>
      <c r="Q241" t="inlineStr">
        <is>
          <t>The Jossey-Bass higher education series</t>
        </is>
      </c>
      <c r="R241" t="inlineStr">
        <is>
          <t xml:space="preserve">PE </t>
        </is>
      </c>
      <c r="S241" t="n">
        <v>13</v>
      </c>
      <c r="T241" t="n">
        <v>13</v>
      </c>
      <c r="U241" t="inlineStr">
        <is>
          <t>2005-09-13</t>
        </is>
      </c>
      <c r="V241" t="inlineStr">
        <is>
          <t>2005-09-13</t>
        </is>
      </c>
      <c r="W241" t="inlineStr">
        <is>
          <t>1990-06-05</t>
        </is>
      </c>
      <c r="X241" t="inlineStr">
        <is>
          <t>1990-06-05</t>
        </is>
      </c>
      <c r="Y241" t="n">
        <v>653</v>
      </c>
      <c r="Z241" t="n">
        <v>585</v>
      </c>
      <c r="AA241" t="n">
        <v>617</v>
      </c>
      <c r="AB241" t="n">
        <v>6</v>
      </c>
      <c r="AC241" t="n">
        <v>6</v>
      </c>
      <c r="AD241" t="n">
        <v>25</v>
      </c>
      <c r="AE241" t="n">
        <v>26</v>
      </c>
      <c r="AF241" t="n">
        <v>8</v>
      </c>
      <c r="AG241" t="n">
        <v>9</v>
      </c>
      <c r="AH241" t="n">
        <v>6</v>
      </c>
      <c r="AI241" t="n">
        <v>6</v>
      </c>
      <c r="AJ241" t="n">
        <v>11</v>
      </c>
      <c r="AK241" t="n">
        <v>11</v>
      </c>
      <c r="AL241" t="n">
        <v>5</v>
      </c>
      <c r="AM241" t="n">
        <v>5</v>
      </c>
      <c r="AN241" t="n">
        <v>0</v>
      </c>
      <c r="AO241" t="n">
        <v>0</v>
      </c>
      <c r="AP241" t="inlineStr">
        <is>
          <t>No</t>
        </is>
      </c>
      <c r="AQ241" t="inlineStr">
        <is>
          <t>Yes</t>
        </is>
      </c>
      <c r="AR241">
        <f>HYPERLINK("http://catalog.hathitrust.org/Record/001100858","HathiTrust Record")</f>
        <v/>
      </c>
      <c r="AS241">
        <f>HYPERLINK("https://creighton-primo.hosted.exlibrisgroup.com/primo-explore/search?tab=default_tab&amp;search_scope=EVERYTHING&amp;vid=01CRU&amp;lang=en_US&amp;offset=0&amp;query=any,contains,991001385379702656","Catalog Record")</f>
        <v/>
      </c>
      <c r="AT241">
        <f>HYPERLINK("http://www.worldcat.org/oclc/18715472","WorldCat Record")</f>
        <v/>
      </c>
      <c r="AU241" t="inlineStr">
        <is>
          <t>18347499:eng</t>
        </is>
      </c>
      <c r="AV241" t="inlineStr">
        <is>
          <t>18715472</t>
        </is>
      </c>
      <c r="AW241" t="inlineStr">
        <is>
          <t>991001385379702656</t>
        </is>
      </c>
      <c r="AX241" t="inlineStr">
        <is>
          <t>991001385379702656</t>
        </is>
      </c>
      <c r="AY241" t="inlineStr">
        <is>
          <t>2263055960002656</t>
        </is>
      </c>
      <c r="AZ241" t="inlineStr">
        <is>
          <t>BOOK</t>
        </is>
      </c>
      <c r="BB241" t="inlineStr">
        <is>
          <t>9781555421311</t>
        </is>
      </c>
      <c r="BC241" t="inlineStr">
        <is>
          <t>32285000175058</t>
        </is>
      </c>
      <c r="BD241" t="inlineStr">
        <is>
          <t>893522535</t>
        </is>
      </c>
    </row>
    <row r="242">
      <c r="A242" t="inlineStr">
        <is>
          <t>No</t>
        </is>
      </c>
      <c r="B242" t="inlineStr">
        <is>
          <t>PE1404 .W5</t>
        </is>
      </c>
      <c r="C242" t="inlineStr">
        <is>
          <t>0                      PE 1404000W  5</t>
        </is>
      </c>
      <c r="D242" t="inlineStr">
        <is>
          <t>The writing room : a resource book for teachers of English / Harvey S. Wiener ; with an annotated bibliography on basic writing by Ted Sheckels.</t>
        </is>
      </c>
      <c r="F242" t="inlineStr">
        <is>
          <t>No</t>
        </is>
      </c>
      <c r="G242" t="inlineStr">
        <is>
          <t>1</t>
        </is>
      </c>
      <c r="H242" t="inlineStr">
        <is>
          <t>No</t>
        </is>
      </c>
      <c r="I242" t="inlineStr">
        <is>
          <t>No</t>
        </is>
      </c>
      <c r="J242" t="inlineStr">
        <is>
          <t>0</t>
        </is>
      </c>
      <c r="K242" t="inlineStr">
        <is>
          <t>Wiener, Harvey S.</t>
        </is>
      </c>
      <c r="L242" t="inlineStr">
        <is>
          <t>New York : Oxford University Press, 1981.</t>
        </is>
      </c>
      <c r="M242" t="inlineStr">
        <is>
          <t>1981</t>
        </is>
      </c>
      <c r="O242" t="inlineStr">
        <is>
          <t>eng</t>
        </is>
      </c>
      <c r="P242" t="inlineStr">
        <is>
          <t>nyu</t>
        </is>
      </c>
      <c r="R242" t="inlineStr">
        <is>
          <t xml:space="preserve">PE </t>
        </is>
      </c>
      <c r="S242" t="n">
        <v>2</v>
      </c>
      <c r="T242" t="n">
        <v>2</v>
      </c>
      <c r="U242" t="inlineStr">
        <is>
          <t>1996-02-17</t>
        </is>
      </c>
      <c r="V242" t="inlineStr">
        <is>
          <t>1996-02-17</t>
        </is>
      </c>
      <c r="W242" t="inlineStr">
        <is>
          <t>1993-04-23</t>
        </is>
      </c>
      <c r="X242" t="inlineStr">
        <is>
          <t>1993-04-23</t>
        </is>
      </c>
      <c r="Y242" t="n">
        <v>635</v>
      </c>
      <c r="Z242" t="n">
        <v>564</v>
      </c>
      <c r="AA242" t="n">
        <v>571</v>
      </c>
      <c r="AB242" t="n">
        <v>5</v>
      </c>
      <c r="AC242" t="n">
        <v>5</v>
      </c>
      <c r="AD242" t="n">
        <v>26</v>
      </c>
      <c r="AE242" t="n">
        <v>26</v>
      </c>
      <c r="AF242" t="n">
        <v>9</v>
      </c>
      <c r="AG242" t="n">
        <v>9</v>
      </c>
      <c r="AH242" t="n">
        <v>7</v>
      </c>
      <c r="AI242" t="n">
        <v>7</v>
      </c>
      <c r="AJ242" t="n">
        <v>13</v>
      </c>
      <c r="AK242" t="n">
        <v>13</v>
      </c>
      <c r="AL242" t="n">
        <v>4</v>
      </c>
      <c r="AM242" t="n">
        <v>4</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HYPERLINK("https://creighton-primo.hosted.exlibrisgroup.com/primo-explore/search?tab=default_tab&amp;search_scope=EVERYTHING&amp;vid=01CRU&amp;lang=en_US&amp;offset=0&amp;query=any,contains,991004984919702656","Catalog Record")</f>
        <v/>
      </c>
      <c r="AT242">
        <f>HYPERLINK("http://www.worldcat.org/oclc/6447120","WorldCat Record")</f>
        <v/>
      </c>
      <c r="AU242" t="inlineStr">
        <is>
          <t>415144:eng</t>
        </is>
      </c>
      <c r="AV242" t="inlineStr">
        <is>
          <t>6447120</t>
        </is>
      </c>
      <c r="AW242" t="inlineStr">
        <is>
          <t>991004984919702656</t>
        </is>
      </c>
      <c r="AX242" t="inlineStr">
        <is>
          <t>991004984919702656</t>
        </is>
      </c>
      <c r="AY242" t="inlineStr">
        <is>
          <t>2255499550002656</t>
        </is>
      </c>
      <c r="AZ242" t="inlineStr">
        <is>
          <t>BOOK</t>
        </is>
      </c>
      <c r="BB242" t="inlineStr">
        <is>
          <t>9780195028263</t>
        </is>
      </c>
      <c r="BC242" t="inlineStr">
        <is>
          <t>32285001646917</t>
        </is>
      </c>
      <c r="BD242" t="inlineStr">
        <is>
          <t>893876786</t>
        </is>
      </c>
    </row>
    <row r="243">
      <c r="A243" t="inlineStr">
        <is>
          <t>No</t>
        </is>
      </c>
      <c r="B243" t="inlineStr">
        <is>
          <t>PE1404 .W534 2002</t>
        </is>
      </c>
      <c r="C243" t="inlineStr">
        <is>
          <t>0                      PE 1404000W  534         2002</t>
        </is>
      </c>
      <c r="D243" t="inlineStr">
        <is>
          <t>Tuned in : television and the teaching of writing / Bronwyn T. Williams.</t>
        </is>
      </c>
      <c r="F243" t="inlineStr">
        <is>
          <t>No</t>
        </is>
      </c>
      <c r="G243" t="inlineStr">
        <is>
          <t>1</t>
        </is>
      </c>
      <c r="H243" t="inlineStr">
        <is>
          <t>No</t>
        </is>
      </c>
      <c r="I243" t="inlineStr">
        <is>
          <t>No</t>
        </is>
      </c>
      <c r="J243" t="inlineStr">
        <is>
          <t>0</t>
        </is>
      </c>
      <c r="K243" t="inlineStr">
        <is>
          <t>Williams, Bronwyn T.</t>
        </is>
      </c>
      <c r="L243" t="inlineStr">
        <is>
          <t>Portsmouth, NH : Boynton/Cook/Heinemann, c2002.</t>
        </is>
      </c>
      <c r="M243" t="inlineStr">
        <is>
          <t>2002</t>
        </is>
      </c>
      <c r="O243" t="inlineStr">
        <is>
          <t>eng</t>
        </is>
      </c>
      <c r="P243" t="inlineStr">
        <is>
          <t>nhu</t>
        </is>
      </c>
      <c r="R243" t="inlineStr">
        <is>
          <t xml:space="preserve">PE </t>
        </is>
      </c>
      <c r="S243" t="n">
        <v>2</v>
      </c>
      <c r="T243" t="n">
        <v>2</v>
      </c>
      <c r="U243" t="inlineStr">
        <is>
          <t>2004-05-18</t>
        </is>
      </c>
      <c r="V243" t="inlineStr">
        <is>
          <t>2004-05-18</t>
        </is>
      </c>
      <c r="W243" t="inlineStr">
        <is>
          <t>2004-05-18</t>
        </is>
      </c>
      <c r="X243" t="inlineStr">
        <is>
          <t>2004-05-18</t>
        </is>
      </c>
      <c r="Y243" t="n">
        <v>113</v>
      </c>
      <c r="Z243" t="n">
        <v>107</v>
      </c>
      <c r="AA243" t="n">
        <v>110</v>
      </c>
      <c r="AB243" t="n">
        <v>2</v>
      </c>
      <c r="AC243" t="n">
        <v>2</v>
      </c>
      <c r="AD243" t="n">
        <v>6</v>
      </c>
      <c r="AE243" t="n">
        <v>6</v>
      </c>
      <c r="AF243" t="n">
        <v>1</v>
      </c>
      <c r="AG243" t="n">
        <v>1</v>
      </c>
      <c r="AH243" t="n">
        <v>2</v>
      </c>
      <c r="AI243" t="n">
        <v>2</v>
      </c>
      <c r="AJ243" t="n">
        <v>3</v>
      </c>
      <c r="AK243" t="n">
        <v>3</v>
      </c>
      <c r="AL243" t="n">
        <v>1</v>
      </c>
      <c r="AM243" t="n">
        <v>1</v>
      </c>
      <c r="AN243" t="n">
        <v>0</v>
      </c>
      <c r="AO243" t="n">
        <v>0</v>
      </c>
      <c r="AP243" t="inlineStr">
        <is>
          <t>No</t>
        </is>
      </c>
      <c r="AQ243" t="inlineStr">
        <is>
          <t>Yes</t>
        </is>
      </c>
      <c r="AR243">
        <f>HYPERLINK("http://catalog.hathitrust.org/Record/007144228","HathiTrust Record")</f>
        <v/>
      </c>
      <c r="AS243">
        <f>HYPERLINK("https://creighton-primo.hosted.exlibrisgroup.com/primo-explore/search?tab=default_tab&amp;search_scope=EVERYTHING&amp;vid=01CRU&amp;lang=en_US&amp;offset=0&amp;query=any,contains,991004253409702656","Catalog Record")</f>
        <v/>
      </c>
      <c r="AT243">
        <f>HYPERLINK("http://www.worldcat.org/oclc/48451023","WorldCat Record")</f>
        <v/>
      </c>
      <c r="AU243" t="inlineStr">
        <is>
          <t>35704833:eng</t>
        </is>
      </c>
      <c r="AV243" t="inlineStr">
        <is>
          <t>48451023</t>
        </is>
      </c>
      <c r="AW243" t="inlineStr">
        <is>
          <t>991004253409702656</t>
        </is>
      </c>
      <c r="AX243" t="inlineStr">
        <is>
          <t>991004253409702656</t>
        </is>
      </c>
      <c r="AY243" t="inlineStr">
        <is>
          <t>2265316120002656</t>
        </is>
      </c>
      <c r="AZ243" t="inlineStr">
        <is>
          <t>BOOK</t>
        </is>
      </c>
      <c r="BB243" t="inlineStr">
        <is>
          <t>9780867095272</t>
        </is>
      </c>
      <c r="BC243" t="inlineStr">
        <is>
          <t>32285004906334</t>
        </is>
      </c>
      <c r="BD243" t="inlineStr">
        <is>
          <t>893513013</t>
        </is>
      </c>
    </row>
    <row r="244">
      <c r="A244" t="inlineStr">
        <is>
          <t>No</t>
        </is>
      </c>
      <c r="B244" t="inlineStr">
        <is>
          <t>PE1404 .W55 1986</t>
        </is>
      </c>
      <c r="C244" t="inlineStr">
        <is>
          <t>0                      PE 1404000W  55          1986</t>
        </is>
      </c>
      <c r="D244" t="inlineStr">
        <is>
          <t>Composition/rhetoric : a synthesis / W. Ross Winterowd.</t>
        </is>
      </c>
      <c r="F244" t="inlineStr">
        <is>
          <t>No</t>
        </is>
      </c>
      <c r="G244" t="inlineStr">
        <is>
          <t>1</t>
        </is>
      </c>
      <c r="H244" t="inlineStr">
        <is>
          <t>No</t>
        </is>
      </c>
      <c r="I244" t="inlineStr">
        <is>
          <t>No</t>
        </is>
      </c>
      <c r="J244" t="inlineStr">
        <is>
          <t>0</t>
        </is>
      </c>
      <c r="K244" t="inlineStr">
        <is>
          <t>Winterowd, W. Ross.</t>
        </is>
      </c>
      <c r="L244" t="inlineStr">
        <is>
          <t>Carbondale : Southern Illinois University Press, c1986.</t>
        </is>
      </c>
      <c r="M244" t="inlineStr">
        <is>
          <t>1986</t>
        </is>
      </c>
      <c r="O244" t="inlineStr">
        <is>
          <t>eng</t>
        </is>
      </c>
      <c r="P244" t="inlineStr">
        <is>
          <t>ilu</t>
        </is>
      </c>
      <c r="R244" t="inlineStr">
        <is>
          <t xml:space="preserve">PE </t>
        </is>
      </c>
      <c r="S244" t="n">
        <v>5</v>
      </c>
      <c r="T244" t="n">
        <v>5</v>
      </c>
      <c r="U244" t="inlineStr">
        <is>
          <t>1994-07-05</t>
        </is>
      </c>
      <c r="V244" t="inlineStr">
        <is>
          <t>1994-07-05</t>
        </is>
      </c>
      <c r="W244" t="inlineStr">
        <is>
          <t>1993-04-23</t>
        </is>
      </c>
      <c r="X244" t="inlineStr">
        <is>
          <t>1993-04-23</t>
        </is>
      </c>
      <c r="Y244" t="n">
        <v>319</v>
      </c>
      <c r="Z244" t="n">
        <v>289</v>
      </c>
      <c r="AA244" t="n">
        <v>292</v>
      </c>
      <c r="AB244" t="n">
        <v>2</v>
      </c>
      <c r="AC244" t="n">
        <v>2</v>
      </c>
      <c r="AD244" t="n">
        <v>15</v>
      </c>
      <c r="AE244" t="n">
        <v>15</v>
      </c>
      <c r="AF244" t="n">
        <v>5</v>
      </c>
      <c r="AG244" t="n">
        <v>5</v>
      </c>
      <c r="AH244" t="n">
        <v>4</v>
      </c>
      <c r="AI244" t="n">
        <v>4</v>
      </c>
      <c r="AJ244" t="n">
        <v>10</v>
      </c>
      <c r="AK244" t="n">
        <v>10</v>
      </c>
      <c r="AL244" t="n">
        <v>1</v>
      </c>
      <c r="AM244" t="n">
        <v>1</v>
      </c>
      <c r="AN244" t="n">
        <v>0</v>
      </c>
      <c r="AO244" t="n">
        <v>0</v>
      </c>
      <c r="AP244" t="inlineStr">
        <is>
          <t>No</t>
        </is>
      </c>
      <c r="AQ244" t="inlineStr">
        <is>
          <t>Yes</t>
        </is>
      </c>
      <c r="AR244">
        <f>HYPERLINK("http://catalog.hathitrust.org/Record/000627657","HathiTrust Record")</f>
        <v/>
      </c>
      <c r="AS244">
        <f>HYPERLINK("https://creighton-primo.hosted.exlibrisgroup.com/primo-explore/search?tab=default_tab&amp;search_scope=EVERYTHING&amp;vid=01CRU&amp;lang=en_US&amp;offset=0&amp;query=any,contains,991000601689702656","Catalog Record")</f>
        <v/>
      </c>
      <c r="AT244">
        <f>HYPERLINK("http://www.worldcat.org/oclc/11841700","WorldCat Record")</f>
        <v/>
      </c>
      <c r="AU244" t="inlineStr">
        <is>
          <t>429800284:eng</t>
        </is>
      </c>
      <c r="AV244" t="inlineStr">
        <is>
          <t>11841700</t>
        </is>
      </c>
      <c r="AW244" t="inlineStr">
        <is>
          <t>991000601689702656</t>
        </is>
      </c>
      <c r="AX244" t="inlineStr">
        <is>
          <t>991000601689702656</t>
        </is>
      </c>
      <c r="AY244" t="inlineStr">
        <is>
          <t>2266252180002656</t>
        </is>
      </c>
      <c r="AZ244" t="inlineStr">
        <is>
          <t>BOOK</t>
        </is>
      </c>
      <c r="BB244" t="inlineStr">
        <is>
          <t>9780809312382</t>
        </is>
      </c>
      <c r="BC244" t="inlineStr">
        <is>
          <t>32285001646925</t>
        </is>
      </c>
      <c r="BD244" t="inlineStr">
        <is>
          <t>893702260</t>
        </is>
      </c>
    </row>
    <row r="245">
      <c r="A245" t="inlineStr">
        <is>
          <t>No</t>
        </is>
      </c>
      <c r="B245" t="inlineStr">
        <is>
          <t>PE1404 .W556 1994</t>
        </is>
      </c>
      <c r="C245" t="inlineStr">
        <is>
          <t>0                      PE 1404000W  556         1994</t>
        </is>
      </c>
      <c r="D245" t="inlineStr">
        <is>
          <t>A teacher's introduction to composition in the rhetorical tradition / W. Ross Winterowd, with Jack Blum.</t>
        </is>
      </c>
      <c r="F245" t="inlineStr">
        <is>
          <t>No</t>
        </is>
      </c>
      <c r="G245" t="inlineStr">
        <is>
          <t>1</t>
        </is>
      </c>
      <c r="H245" t="inlineStr">
        <is>
          <t>No</t>
        </is>
      </c>
      <c r="I245" t="inlineStr">
        <is>
          <t>No</t>
        </is>
      </c>
      <c r="J245" t="inlineStr">
        <is>
          <t>0</t>
        </is>
      </c>
      <c r="K245" t="inlineStr">
        <is>
          <t>Winterowd, W. Ross.</t>
        </is>
      </c>
      <c r="L245" t="inlineStr">
        <is>
          <t>Urbana, Ill. : National Council of Teachers of English, c1994.</t>
        </is>
      </c>
      <c r="M245" t="inlineStr">
        <is>
          <t>1994</t>
        </is>
      </c>
      <c r="O245" t="inlineStr">
        <is>
          <t>eng</t>
        </is>
      </c>
      <c r="P245" t="inlineStr">
        <is>
          <t>ilu</t>
        </is>
      </c>
      <c r="Q245" t="inlineStr">
        <is>
          <t>NCTE teacher's introduction series, 1059-0331</t>
        </is>
      </c>
      <c r="R245" t="inlineStr">
        <is>
          <t xml:space="preserve">PE </t>
        </is>
      </c>
      <c r="S245" t="n">
        <v>3</v>
      </c>
      <c r="T245" t="n">
        <v>3</v>
      </c>
      <c r="U245" t="inlineStr">
        <is>
          <t>1997-05-20</t>
        </is>
      </c>
      <c r="V245" t="inlineStr">
        <is>
          <t>1997-05-20</t>
        </is>
      </c>
      <c r="W245" t="inlineStr">
        <is>
          <t>1995-05-31</t>
        </is>
      </c>
      <c r="X245" t="inlineStr">
        <is>
          <t>1995-05-31</t>
        </is>
      </c>
      <c r="Y245" t="n">
        <v>375</v>
      </c>
      <c r="Z245" t="n">
        <v>345</v>
      </c>
      <c r="AA245" t="n">
        <v>352</v>
      </c>
      <c r="AB245" t="n">
        <v>4</v>
      </c>
      <c r="AC245" t="n">
        <v>4</v>
      </c>
      <c r="AD245" t="n">
        <v>14</v>
      </c>
      <c r="AE245" t="n">
        <v>14</v>
      </c>
      <c r="AF245" t="n">
        <v>3</v>
      </c>
      <c r="AG245" t="n">
        <v>3</v>
      </c>
      <c r="AH245" t="n">
        <v>4</v>
      </c>
      <c r="AI245" t="n">
        <v>4</v>
      </c>
      <c r="AJ245" t="n">
        <v>7</v>
      </c>
      <c r="AK245" t="n">
        <v>7</v>
      </c>
      <c r="AL245" t="n">
        <v>3</v>
      </c>
      <c r="AM245" t="n">
        <v>3</v>
      </c>
      <c r="AN245" t="n">
        <v>0</v>
      </c>
      <c r="AO245" t="n">
        <v>0</v>
      </c>
      <c r="AP245" t="inlineStr">
        <is>
          <t>No</t>
        </is>
      </c>
      <c r="AQ245" t="inlineStr">
        <is>
          <t>Yes</t>
        </is>
      </c>
      <c r="AR245">
        <f>HYPERLINK("http://catalog.hathitrust.org/Record/004276240","HathiTrust Record")</f>
        <v/>
      </c>
      <c r="AS245">
        <f>HYPERLINK("https://creighton-primo.hosted.exlibrisgroup.com/primo-explore/search?tab=default_tab&amp;search_scope=EVERYTHING&amp;vid=01CRU&amp;lang=en_US&amp;offset=0&amp;query=any,contains,991002352769702656","Catalog Record")</f>
        <v/>
      </c>
      <c r="AT245">
        <f>HYPERLINK("http://www.worldcat.org/oclc/30624798","WorldCat Record")</f>
        <v/>
      </c>
      <c r="AU245" t="inlineStr">
        <is>
          <t>32688204:eng</t>
        </is>
      </c>
      <c r="AV245" t="inlineStr">
        <is>
          <t>30624798</t>
        </is>
      </c>
      <c r="AW245" t="inlineStr">
        <is>
          <t>991002352769702656</t>
        </is>
      </c>
      <c r="AX245" t="inlineStr">
        <is>
          <t>991002352769702656</t>
        </is>
      </c>
      <c r="AY245" t="inlineStr">
        <is>
          <t>2260247140002656</t>
        </is>
      </c>
      <c r="AZ245" t="inlineStr">
        <is>
          <t>BOOK</t>
        </is>
      </c>
      <c r="BB245" t="inlineStr">
        <is>
          <t>9780814150245</t>
        </is>
      </c>
      <c r="BC245" t="inlineStr">
        <is>
          <t>32285002048246</t>
        </is>
      </c>
      <c r="BD245" t="inlineStr">
        <is>
          <t>893347404</t>
        </is>
      </c>
    </row>
    <row r="246">
      <c r="A246" t="inlineStr">
        <is>
          <t>No</t>
        </is>
      </c>
      <c r="B246" t="inlineStr">
        <is>
          <t>PE1404 .W663 2002</t>
        </is>
      </c>
      <c r="C246" t="inlineStr">
        <is>
          <t>0                      PE 1404000W  663         2002</t>
        </is>
      </c>
      <c r="D246" t="inlineStr">
        <is>
          <t>Working with words and images : new steps in an old dance / edited by Nancy Allen.</t>
        </is>
      </c>
      <c r="F246" t="inlineStr">
        <is>
          <t>No</t>
        </is>
      </c>
      <c r="G246" t="inlineStr">
        <is>
          <t>1</t>
        </is>
      </c>
      <c r="H246" t="inlineStr">
        <is>
          <t>No</t>
        </is>
      </c>
      <c r="I246" t="inlineStr">
        <is>
          <t>No</t>
        </is>
      </c>
      <c r="J246" t="inlineStr">
        <is>
          <t>0</t>
        </is>
      </c>
      <c r="L246" t="inlineStr">
        <is>
          <t>Westport, Conn. : Ablex Pub., 2002.</t>
        </is>
      </c>
      <c r="M246" t="inlineStr">
        <is>
          <t>2002</t>
        </is>
      </c>
      <c r="O246" t="inlineStr">
        <is>
          <t>eng</t>
        </is>
      </c>
      <c r="P246" t="inlineStr">
        <is>
          <t>ctu</t>
        </is>
      </c>
      <c r="Q246" t="inlineStr">
        <is>
          <t>New directions in computers and composition studies</t>
        </is>
      </c>
      <c r="R246" t="inlineStr">
        <is>
          <t xml:space="preserve">PE </t>
        </is>
      </c>
      <c r="S246" t="n">
        <v>6</v>
      </c>
      <c r="T246" t="n">
        <v>6</v>
      </c>
      <c r="U246" t="inlineStr">
        <is>
          <t>2009-04-13</t>
        </is>
      </c>
      <c r="V246" t="inlineStr">
        <is>
          <t>2009-04-13</t>
        </is>
      </c>
      <c r="W246" t="inlineStr">
        <is>
          <t>2003-03-03</t>
        </is>
      </c>
      <c r="X246" t="inlineStr">
        <is>
          <t>2003-03-03</t>
        </is>
      </c>
      <c r="Y246" t="n">
        <v>300</v>
      </c>
      <c r="Z246" t="n">
        <v>254</v>
      </c>
      <c r="AA246" t="n">
        <v>261</v>
      </c>
      <c r="AB246" t="n">
        <v>4</v>
      </c>
      <c r="AC246" t="n">
        <v>4</v>
      </c>
      <c r="AD246" t="n">
        <v>19</v>
      </c>
      <c r="AE246" t="n">
        <v>19</v>
      </c>
      <c r="AF246" t="n">
        <v>8</v>
      </c>
      <c r="AG246" t="n">
        <v>8</v>
      </c>
      <c r="AH246" t="n">
        <v>6</v>
      </c>
      <c r="AI246" t="n">
        <v>6</v>
      </c>
      <c r="AJ246" t="n">
        <v>6</v>
      </c>
      <c r="AK246" t="n">
        <v>6</v>
      </c>
      <c r="AL246" t="n">
        <v>3</v>
      </c>
      <c r="AM246" t="n">
        <v>3</v>
      </c>
      <c r="AN246" t="n">
        <v>0</v>
      </c>
      <c r="AO246" t="n">
        <v>0</v>
      </c>
      <c r="AP246" t="inlineStr">
        <is>
          <t>No</t>
        </is>
      </c>
      <c r="AQ246" t="inlineStr">
        <is>
          <t>Yes</t>
        </is>
      </c>
      <c r="AR246">
        <f>HYPERLINK("http://catalog.hathitrust.org/Record/004260842","HathiTrust Record")</f>
        <v/>
      </c>
      <c r="AS246">
        <f>HYPERLINK("https://creighton-primo.hosted.exlibrisgroup.com/primo-explore/search?tab=default_tab&amp;search_scope=EVERYTHING&amp;vid=01CRU&amp;lang=en_US&amp;offset=0&amp;query=any,contains,991003973649702656","Catalog Record")</f>
        <v/>
      </c>
      <c r="AT246">
        <f>HYPERLINK("http://www.worldcat.org/oclc/48451007","WorldCat Record")</f>
        <v/>
      </c>
      <c r="AU246" t="inlineStr">
        <is>
          <t>837117688:eng</t>
        </is>
      </c>
      <c r="AV246" t="inlineStr">
        <is>
          <t>48451007</t>
        </is>
      </c>
      <c r="AW246" t="inlineStr">
        <is>
          <t>991003973649702656</t>
        </is>
      </c>
      <c r="AX246" t="inlineStr">
        <is>
          <t>991003973649702656</t>
        </is>
      </c>
      <c r="AY246" t="inlineStr">
        <is>
          <t>2265324850002656</t>
        </is>
      </c>
      <c r="AZ246" t="inlineStr">
        <is>
          <t>BOOK</t>
        </is>
      </c>
      <c r="BB246" t="inlineStr">
        <is>
          <t>9781567506082</t>
        </is>
      </c>
      <c r="BC246" t="inlineStr">
        <is>
          <t>32285004682182</t>
        </is>
      </c>
      <c r="BD246" t="inlineStr">
        <is>
          <t>893259152</t>
        </is>
      </c>
    </row>
    <row r="247">
      <c r="A247" t="inlineStr">
        <is>
          <t>No</t>
        </is>
      </c>
      <c r="B247" t="inlineStr">
        <is>
          <t>PE1404 .W6929 1992</t>
        </is>
      </c>
      <c r="C247" t="inlineStr">
        <is>
          <t>0                      PE 1404000W  6929        1992</t>
        </is>
      </c>
      <c r="D247" t="inlineStr">
        <is>
          <t>Writing across the curriculum : a guide to developing programs / Susan H. McLeod, Margot Soven, editors.</t>
        </is>
      </c>
      <c r="F247" t="inlineStr">
        <is>
          <t>No</t>
        </is>
      </c>
      <c r="G247" t="inlineStr">
        <is>
          <t>1</t>
        </is>
      </c>
      <c r="H247" t="inlineStr">
        <is>
          <t>No</t>
        </is>
      </c>
      <c r="I247" t="inlineStr">
        <is>
          <t>No</t>
        </is>
      </c>
      <c r="J247" t="inlineStr">
        <is>
          <t>0</t>
        </is>
      </c>
      <c r="L247" t="inlineStr">
        <is>
          <t>Newbury Park, Calif. : Sage Publications, c1992.</t>
        </is>
      </c>
      <c r="M247" t="inlineStr">
        <is>
          <t>1992</t>
        </is>
      </c>
      <c r="O247" t="inlineStr">
        <is>
          <t>eng</t>
        </is>
      </c>
      <c r="P247" t="inlineStr">
        <is>
          <t>cau</t>
        </is>
      </c>
      <c r="R247" t="inlineStr">
        <is>
          <t xml:space="preserve">PE </t>
        </is>
      </c>
      <c r="S247" t="n">
        <v>10</v>
      </c>
      <c r="T247" t="n">
        <v>10</v>
      </c>
      <c r="U247" t="inlineStr">
        <is>
          <t>2003-08-19</t>
        </is>
      </c>
      <c r="V247" t="inlineStr">
        <is>
          <t>2003-08-19</t>
        </is>
      </c>
      <c r="W247" t="inlineStr">
        <is>
          <t>1993-07-20</t>
        </is>
      </c>
      <c r="X247" t="inlineStr">
        <is>
          <t>1993-07-20</t>
        </is>
      </c>
      <c r="Y247" t="n">
        <v>338</v>
      </c>
      <c r="Z247" t="n">
        <v>271</v>
      </c>
      <c r="AA247" t="n">
        <v>320</v>
      </c>
      <c r="AB247" t="n">
        <v>3</v>
      </c>
      <c r="AC247" t="n">
        <v>4</v>
      </c>
      <c r="AD247" t="n">
        <v>12</v>
      </c>
      <c r="AE247" t="n">
        <v>14</v>
      </c>
      <c r="AF247" t="n">
        <v>2</v>
      </c>
      <c r="AG247" t="n">
        <v>2</v>
      </c>
      <c r="AH247" t="n">
        <v>5</v>
      </c>
      <c r="AI247" t="n">
        <v>6</v>
      </c>
      <c r="AJ247" t="n">
        <v>6</v>
      </c>
      <c r="AK247" t="n">
        <v>6</v>
      </c>
      <c r="AL247" t="n">
        <v>2</v>
      </c>
      <c r="AM247" t="n">
        <v>3</v>
      </c>
      <c r="AN247" t="n">
        <v>0</v>
      </c>
      <c r="AO247" t="n">
        <v>0</v>
      </c>
      <c r="AP247" t="inlineStr">
        <is>
          <t>No</t>
        </is>
      </c>
      <c r="AQ247" t="inlineStr">
        <is>
          <t>Yes</t>
        </is>
      </c>
      <c r="AR247">
        <f>HYPERLINK("http://catalog.hathitrust.org/Record/002590195","HathiTrust Record")</f>
        <v/>
      </c>
      <c r="AS247">
        <f>HYPERLINK("https://creighton-primo.hosted.exlibrisgroup.com/primo-explore/search?tab=default_tab&amp;search_scope=EVERYTHING&amp;vid=01CRU&amp;lang=en_US&amp;offset=0&amp;query=any,contains,991002062889702656","Catalog Record")</f>
        <v/>
      </c>
      <c r="AT247">
        <f>HYPERLINK("http://www.worldcat.org/oclc/26398367","WorldCat Record")</f>
        <v/>
      </c>
      <c r="AU247" t="inlineStr">
        <is>
          <t>836746176:eng</t>
        </is>
      </c>
      <c r="AV247" t="inlineStr">
        <is>
          <t>26398367</t>
        </is>
      </c>
      <c r="AW247" t="inlineStr">
        <is>
          <t>991002062889702656</t>
        </is>
      </c>
      <c r="AX247" t="inlineStr">
        <is>
          <t>991002062889702656</t>
        </is>
      </c>
      <c r="AY247" t="inlineStr">
        <is>
          <t>2263196370002656</t>
        </is>
      </c>
      <c r="AZ247" t="inlineStr">
        <is>
          <t>BOOK</t>
        </is>
      </c>
      <c r="BB247" t="inlineStr">
        <is>
          <t>9780803945999</t>
        </is>
      </c>
      <c r="BC247" t="inlineStr">
        <is>
          <t>32285001702967</t>
        </is>
      </c>
      <c r="BD247" t="inlineStr">
        <is>
          <t>893773175</t>
        </is>
      </c>
    </row>
    <row r="248">
      <c r="A248" t="inlineStr">
        <is>
          <t>No</t>
        </is>
      </c>
      <c r="B248" t="inlineStr">
        <is>
          <t>PE1404 .W693 1986</t>
        </is>
      </c>
      <c r="C248" t="inlineStr">
        <is>
          <t>0                      PE 1404000W  693         1986</t>
        </is>
      </c>
      <c r="D248" t="inlineStr">
        <is>
          <t>Writing across the disciplines : research into practice / edited by Art Young and Toby Fulwiler.</t>
        </is>
      </c>
      <c r="F248" t="inlineStr">
        <is>
          <t>No</t>
        </is>
      </c>
      <c r="G248" t="inlineStr">
        <is>
          <t>1</t>
        </is>
      </c>
      <c r="H248" t="inlineStr">
        <is>
          <t>No</t>
        </is>
      </c>
      <c r="I248" t="inlineStr">
        <is>
          <t>No</t>
        </is>
      </c>
      <c r="J248" t="inlineStr">
        <is>
          <t>0</t>
        </is>
      </c>
      <c r="L248" t="inlineStr">
        <is>
          <t>Upper Montclair, N.J. : Boynton/Cook Publishers, c1986.</t>
        </is>
      </c>
      <c r="M248" t="inlineStr">
        <is>
          <t>1986</t>
        </is>
      </c>
      <c r="O248" t="inlineStr">
        <is>
          <t>eng</t>
        </is>
      </c>
      <c r="P248" t="inlineStr">
        <is>
          <t>nju</t>
        </is>
      </c>
      <c r="R248" t="inlineStr">
        <is>
          <t xml:space="preserve">PE </t>
        </is>
      </c>
      <c r="S248" t="n">
        <v>5</v>
      </c>
      <c r="T248" t="n">
        <v>5</v>
      </c>
      <c r="U248" t="inlineStr">
        <is>
          <t>2002-09-03</t>
        </is>
      </c>
      <c r="V248" t="inlineStr">
        <is>
          <t>2002-09-03</t>
        </is>
      </c>
      <c r="W248" t="inlineStr">
        <is>
          <t>1993-09-01</t>
        </is>
      </c>
      <c r="X248" t="inlineStr">
        <is>
          <t>1993-09-01</t>
        </is>
      </c>
      <c r="Y248" t="n">
        <v>543</v>
      </c>
      <c r="Z248" t="n">
        <v>496</v>
      </c>
      <c r="AA248" t="n">
        <v>504</v>
      </c>
      <c r="AB248" t="n">
        <v>5</v>
      </c>
      <c r="AC248" t="n">
        <v>5</v>
      </c>
      <c r="AD248" t="n">
        <v>19</v>
      </c>
      <c r="AE248" t="n">
        <v>19</v>
      </c>
      <c r="AF248" t="n">
        <v>6</v>
      </c>
      <c r="AG248" t="n">
        <v>6</v>
      </c>
      <c r="AH248" t="n">
        <v>6</v>
      </c>
      <c r="AI248" t="n">
        <v>6</v>
      </c>
      <c r="AJ248" t="n">
        <v>8</v>
      </c>
      <c r="AK248" t="n">
        <v>8</v>
      </c>
      <c r="AL248" t="n">
        <v>4</v>
      </c>
      <c r="AM248" t="n">
        <v>4</v>
      </c>
      <c r="AN248" t="n">
        <v>0</v>
      </c>
      <c r="AO248" t="n">
        <v>0</v>
      </c>
      <c r="AP248" t="inlineStr">
        <is>
          <t>No</t>
        </is>
      </c>
      <c r="AQ248" t="inlineStr">
        <is>
          <t>Yes</t>
        </is>
      </c>
      <c r="AR248">
        <f>HYPERLINK("http://catalog.hathitrust.org/Record/000627351","HathiTrust Record")</f>
        <v/>
      </c>
      <c r="AS248">
        <f>HYPERLINK("https://creighton-primo.hosted.exlibrisgroup.com/primo-explore/search?tab=default_tab&amp;search_scope=EVERYTHING&amp;vid=01CRU&amp;lang=en_US&amp;offset=0&amp;query=any,contains,991000724599702656","Catalog Record")</f>
        <v/>
      </c>
      <c r="AT248">
        <f>HYPERLINK("http://www.worldcat.org/oclc/12692836","WorldCat Record")</f>
        <v/>
      </c>
      <c r="AU248" t="inlineStr">
        <is>
          <t>375067790:eng</t>
        </is>
      </c>
      <c r="AV248" t="inlineStr">
        <is>
          <t>12692836</t>
        </is>
      </c>
      <c r="AW248" t="inlineStr">
        <is>
          <t>991000724599702656</t>
        </is>
      </c>
      <c r="AX248" t="inlineStr">
        <is>
          <t>991000724599702656</t>
        </is>
      </c>
      <c r="AY248" t="inlineStr">
        <is>
          <t>2259300010002656</t>
        </is>
      </c>
      <c r="AZ248" t="inlineStr">
        <is>
          <t>BOOK</t>
        </is>
      </c>
      <c r="BB248" t="inlineStr">
        <is>
          <t>9780867091311</t>
        </is>
      </c>
      <c r="BC248" t="inlineStr">
        <is>
          <t>32285001729275</t>
        </is>
      </c>
      <c r="BD248" t="inlineStr">
        <is>
          <t>893528335</t>
        </is>
      </c>
    </row>
    <row r="249">
      <c r="A249" t="inlineStr">
        <is>
          <t>No</t>
        </is>
      </c>
      <c r="B249" t="inlineStr">
        <is>
          <t>PE1404 .W694 1986</t>
        </is>
      </c>
      <c r="C249" t="inlineStr">
        <is>
          <t>0                      PE 1404000W  694         1986</t>
        </is>
      </c>
      <c r="D249" t="inlineStr">
        <is>
          <t>Writing assessment : issues and strategies / edited by Karen L. Greenberg, Harvey S. Wiener, Richard A. Donovan.</t>
        </is>
      </c>
      <c r="F249" t="inlineStr">
        <is>
          <t>No</t>
        </is>
      </c>
      <c r="G249" t="inlineStr">
        <is>
          <t>1</t>
        </is>
      </c>
      <c r="H249" t="inlineStr">
        <is>
          <t>No</t>
        </is>
      </c>
      <c r="I249" t="inlineStr">
        <is>
          <t>No</t>
        </is>
      </c>
      <c r="J249" t="inlineStr">
        <is>
          <t>0</t>
        </is>
      </c>
      <c r="L249" t="inlineStr">
        <is>
          <t>New York : Longman, c1986.</t>
        </is>
      </c>
      <c r="M249" t="inlineStr">
        <is>
          <t>1986</t>
        </is>
      </c>
      <c r="O249" t="inlineStr">
        <is>
          <t>eng</t>
        </is>
      </c>
      <c r="P249" t="inlineStr">
        <is>
          <t>nyu</t>
        </is>
      </c>
      <c r="Q249" t="inlineStr">
        <is>
          <t>Longman series in college composition and communication</t>
        </is>
      </c>
      <c r="R249" t="inlineStr">
        <is>
          <t xml:space="preserve">PE </t>
        </is>
      </c>
      <c r="S249" t="n">
        <v>3</v>
      </c>
      <c r="T249" t="n">
        <v>3</v>
      </c>
      <c r="U249" t="inlineStr">
        <is>
          <t>1997-03-06</t>
        </is>
      </c>
      <c r="V249" t="inlineStr">
        <is>
          <t>1997-03-06</t>
        </is>
      </c>
      <c r="W249" t="inlineStr">
        <is>
          <t>1992-05-14</t>
        </is>
      </c>
      <c r="X249" t="inlineStr">
        <is>
          <t>1992-05-14</t>
        </is>
      </c>
      <c r="Y249" t="n">
        <v>491</v>
      </c>
      <c r="Z249" t="n">
        <v>464</v>
      </c>
      <c r="AA249" t="n">
        <v>471</v>
      </c>
      <c r="AB249" t="n">
        <v>3</v>
      </c>
      <c r="AC249" t="n">
        <v>3</v>
      </c>
      <c r="AD249" t="n">
        <v>22</v>
      </c>
      <c r="AE249" t="n">
        <v>22</v>
      </c>
      <c r="AF249" t="n">
        <v>5</v>
      </c>
      <c r="AG249" t="n">
        <v>5</v>
      </c>
      <c r="AH249" t="n">
        <v>5</v>
      </c>
      <c r="AI249" t="n">
        <v>5</v>
      </c>
      <c r="AJ249" t="n">
        <v>15</v>
      </c>
      <c r="AK249" t="n">
        <v>15</v>
      </c>
      <c r="AL249" t="n">
        <v>2</v>
      </c>
      <c r="AM249" t="n">
        <v>2</v>
      </c>
      <c r="AN249" t="n">
        <v>0</v>
      </c>
      <c r="AO249" t="n">
        <v>0</v>
      </c>
      <c r="AP249" t="inlineStr">
        <is>
          <t>No</t>
        </is>
      </c>
      <c r="AQ249" t="inlineStr">
        <is>
          <t>Yes</t>
        </is>
      </c>
      <c r="AR249">
        <f>HYPERLINK("http://catalog.hathitrust.org/Record/000820334","HathiTrust Record")</f>
        <v/>
      </c>
      <c r="AS249">
        <f>HYPERLINK("https://creighton-primo.hosted.exlibrisgroup.com/primo-explore/search?tab=default_tab&amp;search_scope=EVERYTHING&amp;vid=01CRU&amp;lang=en_US&amp;offset=0&amp;query=any,contains,991000769069702656","Catalog Record")</f>
        <v/>
      </c>
      <c r="AT249">
        <f>HYPERLINK("http://www.worldcat.org/oclc/13009191","WorldCat Record")</f>
        <v/>
      </c>
      <c r="AU249" t="inlineStr">
        <is>
          <t>441446969:eng</t>
        </is>
      </c>
      <c r="AV249" t="inlineStr">
        <is>
          <t>13009191</t>
        </is>
      </c>
      <c r="AW249" t="inlineStr">
        <is>
          <t>991000769069702656</t>
        </is>
      </c>
      <c r="AX249" t="inlineStr">
        <is>
          <t>991000769069702656</t>
        </is>
      </c>
      <c r="AY249" t="inlineStr">
        <is>
          <t>2266692240002656</t>
        </is>
      </c>
      <c r="AZ249" t="inlineStr">
        <is>
          <t>BOOK</t>
        </is>
      </c>
      <c r="BB249" t="inlineStr">
        <is>
          <t>9780582285163</t>
        </is>
      </c>
      <c r="BC249" t="inlineStr">
        <is>
          <t>32285001110799</t>
        </is>
      </c>
      <c r="BD249" t="inlineStr">
        <is>
          <t>893595864</t>
        </is>
      </c>
    </row>
    <row r="250">
      <c r="A250" t="inlineStr">
        <is>
          <t>No</t>
        </is>
      </c>
      <c r="B250" t="inlineStr">
        <is>
          <t>PE1404 .W695 1984</t>
        </is>
      </c>
      <c r="C250" t="inlineStr">
        <is>
          <t>0                      PE 1404000W  695         1984</t>
        </is>
      </c>
      <c r="D250" t="inlineStr">
        <is>
          <t>Writing centers : theory and administration / edited by Gary A. Olson.</t>
        </is>
      </c>
      <c r="F250" t="inlineStr">
        <is>
          <t>No</t>
        </is>
      </c>
      <c r="G250" t="inlineStr">
        <is>
          <t>1</t>
        </is>
      </c>
      <c r="H250" t="inlineStr">
        <is>
          <t>No</t>
        </is>
      </c>
      <c r="I250" t="inlineStr">
        <is>
          <t>No</t>
        </is>
      </c>
      <c r="J250" t="inlineStr">
        <is>
          <t>0</t>
        </is>
      </c>
      <c r="L250" t="inlineStr">
        <is>
          <t>Urbana, Ill. : National Council of Teachers of English, c1984.</t>
        </is>
      </c>
      <c r="M250" t="inlineStr">
        <is>
          <t>1984</t>
        </is>
      </c>
      <c r="O250" t="inlineStr">
        <is>
          <t>eng</t>
        </is>
      </c>
      <c r="P250" t="inlineStr">
        <is>
          <t>ilu</t>
        </is>
      </c>
      <c r="R250" t="inlineStr">
        <is>
          <t xml:space="preserve">PE </t>
        </is>
      </c>
      <c r="S250" t="n">
        <v>21</v>
      </c>
      <c r="T250" t="n">
        <v>21</v>
      </c>
      <c r="U250" t="inlineStr">
        <is>
          <t>2000-08-28</t>
        </is>
      </c>
      <c r="V250" t="inlineStr">
        <is>
          <t>2000-08-28</t>
        </is>
      </c>
      <c r="W250" t="inlineStr">
        <is>
          <t>1992-03-11</t>
        </is>
      </c>
      <c r="X250" t="inlineStr">
        <is>
          <t>1992-03-11</t>
        </is>
      </c>
      <c r="Y250" t="n">
        <v>490</v>
      </c>
      <c r="Z250" t="n">
        <v>445</v>
      </c>
      <c r="AA250" t="n">
        <v>449</v>
      </c>
      <c r="AB250" t="n">
        <v>5</v>
      </c>
      <c r="AC250" t="n">
        <v>5</v>
      </c>
      <c r="AD250" t="n">
        <v>24</v>
      </c>
      <c r="AE250" t="n">
        <v>24</v>
      </c>
      <c r="AF250" t="n">
        <v>8</v>
      </c>
      <c r="AG250" t="n">
        <v>8</v>
      </c>
      <c r="AH250" t="n">
        <v>5</v>
      </c>
      <c r="AI250" t="n">
        <v>5</v>
      </c>
      <c r="AJ250" t="n">
        <v>12</v>
      </c>
      <c r="AK250" t="n">
        <v>12</v>
      </c>
      <c r="AL250" t="n">
        <v>4</v>
      </c>
      <c r="AM250" t="n">
        <v>4</v>
      </c>
      <c r="AN250" t="n">
        <v>1</v>
      </c>
      <c r="AO250" t="n">
        <v>1</v>
      </c>
      <c r="AP250" t="inlineStr">
        <is>
          <t>No</t>
        </is>
      </c>
      <c r="AQ250" t="inlineStr">
        <is>
          <t>Yes</t>
        </is>
      </c>
      <c r="AR250">
        <f>HYPERLINK("http://catalog.hathitrust.org/Record/001071213","HathiTrust Record")</f>
        <v/>
      </c>
      <c r="AS250">
        <f>HYPERLINK("https://creighton-primo.hosted.exlibrisgroup.com/primo-explore/search?tab=default_tab&amp;search_scope=EVERYTHING&amp;vid=01CRU&amp;lang=en_US&amp;offset=0&amp;query=any,contains,991005404319702656","Catalog Record")</f>
        <v/>
      </c>
      <c r="AT250">
        <f>HYPERLINK("http://www.worldcat.org/oclc/11030226","WorldCat Record")</f>
        <v/>
      </c>
      <c r="AU250" t="inlineStr">
        <is>
          <t>3876828:eng</t>
        </is>
      </c>
      <c r="AV250" t="inlineStr">
        <is>
          <t>11030226</t>
        </is>
      </c>
      <c r="AW250" t="inlineStr">
        <is>
          <t>991005404319702656</t>
        </is>
      </c>
      <c r="AX250" t="inlineStr">
        <is>
          <t>991005404319702656</t>
        </is>
      </c>
      <c r="AY250" t="inlineStr">
        <is>
          <t>2259983350002656</t>
        </is>
      </c>
      <c r="AZ250" t="inlineStr">
        <is>
          <t>BOOK</t>
        </is>
      </c>
      <c r="BB250" t="inlineStr">
        <is>
          <t>9780814158784</t>
        </is>
      </c>
      <c r="BC250" t="inlineStr">
        <is>
          <t>32285000939313</t>
        </is>
      </c>
      <c r="BD250" t="inlineStr">
        <is>
          <t>893808410</t>
        </is>
      </c>
    </row>
    <row r="251">
      <c r="A251" t="inlineStr">
        <is>
          <t>No</t>
        </is>
      </c>
      <c r="B251" t="inlineStr">
        <is>
          <t>PE1404 .W697 2001</t>
        </is>
      </c>
      <c r="C251" t="inlineStr">
        <is>
          <t>0                      PE 1404000W  697         2001</t>
        </is>
      </c>
      <c r="D251" t="inlineStr">
        <is>
          <t>Writing creative nonfiction : instruction and insights from the teachers of the Associated Writing Programs / [edited by] Carolyn Forché and Philip Gerard.</t>
        </is>
      </c>
      <c r="F251" t="inlineStr">
        <is>
          <t>No</t>
        </is>
      </c>
      <c r="G251" t="inlineStr">
        <is>
          <t>1</t>
        </is>
      </c>
      <c r="H251" t="inlineStr">
        <is>
          <t>No</t>
        </is>
      </c>
      <c r="I251" t="inlineStr">
        <is>
          <t>No</t>
        </is>
      </c>
      <c r="J251" t="inlineStr">
        <is>
          <t>0</t>
        </is>
      </c>
      <c r="L251" t="inlineStr">
        <is>
          <t>Cincinnati : Story Press, c2001.</t>
        </is>
      </c>
      <c r="M251" t="inlineStr">
        <is>
          <t>2001</t>
        </is>
      </c>
      <c r="O251" t="inlineStr">
        <is>
          <t>eng</t>
        </is>
      </c>
      <c r="P251" t="inlineStr">
        <is>
          <t>ohu</t>
        </is>
      </c>
      <c r="R251" t="inlineStr">
        <is>
          <t xml:space="preserve">PE </t>
        </is>
      </c>
      <c r="S251" t="n">
        <v>2</v>
      </c>
      <c r="T251" t="n">
        <v>2</v>
      </c>
      <c r="U251" t="inlineStr">
        <is>
          <t>2008-05-16</t>
        </is>
      </c>
      <c r="V251" t="inlineStr">
        <is>
          <t>2008-05-16</t>
        </is>
      </c>
      <c r="W251" t="inlineStr">
        <is>
          <t>2008-05-16</t>
        </is>
      </c>
      <c r="X251" t="inlineStr">
        <is>
          <t>2008-05-16</t>
        </is>
      </c>
      <c r="Y251" t="n">
        <v>779</v>
      </c>
      <c r="Z251" t="n">
        <v>702</v>
      </c>
      <c r="AA251" t="n">
        <v>742</v>
      </c>
      <c r="AB251" t="n">
        <v>6</v>
      </c>
      <c r="AC251" t="n">
        <v>6</v>
      </c>
      <c r="AD251" t="n">
        <v>18</v>
      </c>
      <c r="AE251" t="n">
        <v>18</v>
      </c>
      <c r="AF251" t="n">
        <v>8</v>
      </c>
      <c r="AG251" t="n">
        <v>8</v>
      </c>
      <c r="AH251" t="n">
        <v>3</v>
      </c>
      <c r="AI251" t="n">
        <v>3</v>
      </c>
      <c r="AJ251" t="n">
        <v>8</v>
      </c>
      <c r="AK251" t="n">
        <v>8</v>
      </c>
      <c r="AL251" t="n">
        <v>4</v>
      </c>
      <c r="AM251" t="n">
        <v>4</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HYPERLINK("https://creighton-primo.hosted.exlibrisgroup.com/primo-explore/search?tab=default_tab&amp;search_scope=EVERYTHING&amp;vid=01CRU&amp;lang=en_US&amp;offset=0&amp;query=any,contains,991005215139702656","Catalog Record")</f>
        <v/>
      </c>
      <c r="AT251">
        <f>HYPERLINK("http://www.worldcat.org/oclc/45821162","WorldCat Record")</f>
        <v/>
      </c>
      <c r="AU251" t="inlineStr">
        <is>
          <t>837020569:eng</t>
        </is>
      </c>
      <c r="AV251" t="inlineStr">
        <is>
          <t>45821162</t>
        </is>
      </c>
      <c r="AW251" t="inlineStr">
        <is>
          <t>991005215139702656</t>
        </is>
      </c>
      <c r="AX251" t="inlineStr">
        <is>
          <t>991005215139702656</t>
        </is>
      </c>
      <c r="AY251" t="inlineStr">
        <is>
          <t>2261759240002656</t>
        </is>
      </c>
      <c r="AZ251" t="inlineStr">
        <is>
          <t>BOOK</t>
        </is>
      </c>
      <c r="BB251" t="inlineStr">
        <is>
          <t>9781884910500</t>
        </is>
      </c>
      <c r="BC251" t="inlineStr">
        <is>
          <t>32285005408991</t>
        </is>
      </c>
      <c r="BD251" t="inlineStr">
        <is>
          <t>893694926</t>
        </is>
      </c>
    </row>
    <row r="252">
      <c r="A252" t="inlineStr">
        <is>
          <t>No</t>
        </is>
      </c>
      <c r="B252" t="inlineStr">
        <is>
          <t>PE1404 .W7</t>
        </is>
      </c>
      <c r="C252" t="inlineStr">
        <is>
          <t>0                      PE 1404000W  7</t>
        </is>
      </c>
      <c r="D252" t="inlineStr">
        <is>
          <t>Writing exercises from Exercise exchange / edited by Littleton Long.</t>
        </is>
      </c>
      <c r="F252" t="inlineStr">
        <is>
          <t>No</t>
        </is>
      </c>
      <c r="G252" t="inlineStr">
        <is>
          <t>1</t>
        </is>
      </c>
      <c r="H252" t="inlineStr">
        <is>
          <t>No</t>
        </is>
      </c>
      <c r="I252" t="inlineStr">
        <is>
          <t>No</t>
        </is>
      </c>
      <c r="J252" t="inlineStr">
        <is>
          <t>0</t>
        </is>
      </c>
      <c r="L252" t="inlineStr">
        <is>
          <t>Urbana, Ill. : National Council of Teachers of English, [c1976]</t>
        </is>
      </c>
      <c r="M252" t="inlineStr">
        <is>
          <t>1976</t>
        </is>
      </c>
      <c r="O252" t="inlineStr">
        <is>
          <t>eng</t>
        </is>
      </c>
      <c r="P252" t="inlineStr">
        <is>
          <t>ilu</t>
        </is>
      </c>
      <c r="R252" t="inlineStr">
        <is>
          <t xml:space="preserve">PE </t>
        </is>
      </c>
      <c r="S252" t="n">
        <v>3</v>
      </c>
      <c r="T252" t="n">
        <v>3</v>
      </c>
      <c r="U252" t="inlineStr">
        <is>
          <t>1993-01-28</t>
        </is>
      </c>
      <c r="V252" t="inlineStr">
        <is>
          <t>1993-01-28</t>
        </is>
      </c>
      <c r="W252" t="inlineStr">
        <is>
          <t>1990-08-15</t>
        </is>
      </c>
      <c r="X252" t="inlineStr">
        <is>
          <t>1990-08-15</t>
        </is>
      </c>
      <c r="Y252" t="n">
        <v>341</v>
      </c>
      <c r="Z252" t="n">
        <v>313</v>
      </c>
      <c r="AA252" t="n">
        <v>315</v>
      </c>
      <c r="AB252" t="n">
        <v>7</v>
      </c>
      <c r="AC252" t="n">
        <v>7</v>
      </c>
      <c r="AD252" t="n">
        <v>20</v>
      </c>
      <c r="AE252" t="n">
        <v>20</v>
      </c>
      <c r="AF252" t="n">
        <v>6</v>
      </c>
      <c r="AG252" t="n">
        <v>6</v>
      </c>
      <c r="AH252" t="n">
        <v>3</v>
      </c>
      <c r="AI252" t="n">
        <v>3</v>
      </c>
      <c r="AJ252" t="n">
        <v>10</v>
      </c>
      <c r="AK252" t="n">
        <v>10</v>
      </c>
      <c r="AL252" t="n">
        <v>6</v>
      </c>
      <c r="AM252" t="n">
        <v>6</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HYPERLINK("https://creighton-primo.hosted.exlibrisgroup.com/primo-explore/search?tab=default_tab&amp;search_scope=EVERYTHING&amp;vid=01CRU&amp;lang=en_US&amp;offset=0&amp;query=any,contains,991004019219702656","Catalog Record")</f>
        <v/>
      </c>
      <c r="AT252">
        <f>HYPERLINK("http://www.worldcat.org/oclc/2119456","WorldCat Record")</f>
        <v/>
      </c>
      <c r="AU252" t="inlineStr">
        <is>
          <t>2864170382:eng</t>
        </is>
      </c>
      <c r="AV252" t="inlineStr">
        <is>
          <t>2119456</t>
        </is>
      </c>
      <c r="AW252" t="inlineStr">
        <is>
          <t>991004019219702656</t>
        </is>
      </c>
      <c r="AX252" t="inlineStr">
        <is>
          <t>991004019219702656</t>
        </is>
      </c>
      <c r="AY252" t="inlineStr">
        <is>
          <t>2267993950002656</t>
        </is>
      </c>
      <c r="AZ252" t="inlineStr">
        <is>
          <t>BOOK</t>
        </is>
      </c>
      <c r="BB252" t="inlineStr">
        <is>
          <t>9780814159071</t>
        </is>
      </c>
      <c r="BC252" t="inlineStr">
        <is>
          <t>32285000281153</t>
        </is>
      </c>
      <c r="BD252" t="inlineStr">
        <is>
          <t>893781761</t>
        </is>
      </c>
    </row>
    <row r="253">
      <c r="A253" t="inlineStr">
        <is>
          <t>No</t>
        </is>
      </c>
      <c r="B253" t="inlineStr">
        <is>
          <t>PE1404 .W724 1988</t>
        </is>
      </c>
      <c r="C253" t="inlineStr">
        <is>
          <t>0                      PE 1404000W  724         1988</t>
        </is>
      </c>
      <c r="D253" t="inlineStr">
        <is>
          <t>Writing in academic disciplines / David A. Jolliffe, editor.</t>
        </is>
      </c>
      <c r="F253" t="inlineStr">
        <is>
          <t>No</t>
        </is>
      </c>
      <c r="G253" t="inlineStr">
        <is>
          <t>1</t>
        </is>
      </c>
      <c r="H253" t="inlineStr">
        <is>
          <t>No</t>
        </is>
      </c>
      <c r="I253" t="inlineStr">
        <is>
          <t>No</t>
        </is>
      </c>
      <c r="J253" t="inlineStr">
        <is>
          <t>0</t>
        </is>
      </c>
      <c r="L253" t="inlineStr">
        <is>
          <t>Norwood, N.J. : Ablex Pub. Corp., 1988.</t>
        </is>
      </c>
      <c r="M253" t="inlineStr">
        <is>
          <t>1988</t>
        </is>
      </c>
      <c r="O253" t="inlineStr">
        <is>
          <t>eng</t>
        </is>
      </c>
      <c r="P253" t="inlineStr">
        <is>
          <t>nju</t>
        </is>
      </c>
      <c r="Q253" t="inlineStr">
        <is>
          <t>Advances in writing research ; 2</t>
        </is>
      </c>
      <c r="R253" t="inlineStr">
        <is>
          <t xml:space="preserve">PE </t>
        </is>
      </c>
      <c r="S253" t="n">
        <v>3</v>
      </c>
      <c r="T253" t="n">
        <v>3</v>
      </c>
      <c r="U253" t="inlineStr">
        <is>
          <t>1994-09-01</t>
        </is>
      </c>
      <c r="V253" t="inlineStr">
        <is>
          <t>1994-09-01</t>
        </is>
      </c>
      <c r="W253" t="inlineStr">
        <is>
          <t>1991-03-28</t>
        </is>
      </c>
      <c r="X253" t="inlineStr">
        <is>
          <t>1991-03-28</t>
        </is>
      </c>
      <c r="Y253" t="n">
        <v>255</v>
      </c>
      <c r="Z253" t="n">
        <v>210</v>
      </c>
      <c r="AA253" t="n">
        <v>218</v>
      </c>
      <c r="AB253" t="n">
        <v>2</v>
      </c>
      <c r="AC253" t="n">
        <v>2</v>
      </c>
      <c r="AD253" t="n">
        <v>8</v>
      </c>
      <c r="AE253" t="n">
        <v>8</v>
      </c>
      <c r="AF253" t="n">
        <v>2</v>
      </c>
      <c r="AG253" t="n">
        <v>2</v>
      </c>
      <c r="AH253" t="n">
        <v>3</v>
      </c>
      <c r="AI253" t="n">
        <v>3</v>
      </c>
      <c r="AJ253" t="n">
        <v>4</v>
      </c>
      <c r="AK253" t="n">
        <v>4</v>
      </c>
      <c r="AL253" t="n">
        <v>1</v>
      </c>
      <c r="AM253" t="n">
        <v>1</v>
      </c>
      <c r="AN253" t="n">
        <v>0</v>
      </c>
      <c r="AO253" t="n">
        <v>0</v>
      </c>
      <c r="AP253" t="inlineStr">
        <is>
          <t>No</t>
        </is>
      </c>
      <c r="AQ253" t="inlineStr">
        <is>
          <t>Yes</t>
        </is>
      </c>
      <c r="AR253">
        <f>HYPERLINK("http://catalog.hathitrust.org/Record/001816165","HathiTrust Record")</f>
        <v/>
      </c>
      <c r="AS253">
        <f>HYPERLINK("https://creighton-primo.hosted.exlibrisgroup.com/primo-explore/search?tab=default_tab&amp;search_scope=EVERYTHING&amp;vid=01CRU&amp;lang=en_US&amp;offset=0&amp;query=any,contains,991001189379702656","Catalog Record")</f>
        <v/>
      </c>
      <c r="AT253">
        <f>HYPERLINK("http://www.worldcat.org/oclc/17234263","WorldCat Record")</f>
        <v/>
      </c>
      <c r="AU253" t="inlineStr">
        <is>
          <t>3212289:eng</t>
        </is>
      </c>
      <c r="AV253" t="inlineStr">
        <is>
          <t>17234263</t>
        </is>
      </c>
      <c r="AW253" t="inlineStr">
        <is>
          <t>991001189379702656</t>
        </is>
      </c>
      <c r="AX253" t="inlineStr">
        <is>
          <t>991001189379702656</t>
        </is>
      </c>
      <c r="AY253" t="inlineStr">
        <is>
          <t>2271852170002656</t>
        </is>
      </c>
      <c r="AZ253" t="inlineStr">
        <is>
          <t>BOOK</t>
        </is>
      </c>
      <c r="BB253" t="inlineStr">
        <is>
          <t>9780893914349</t>
        </is>
      </c>
      <c r="BC253" t="inlineStr">
        <is>
          <t>32285000513761</t>
        </is>
      </c>
      <c r="BD253" t="inlineStr">
        <is>
          <t>893772384</t>
        </is>
      </c>
    </row>
    <row r="254">
      <c r="A254" t="inlineStr">
        <is>
          <t>No</t>
        </is>
      </c>
      <c r="B254" t="inlineStr">
        <is>
          <t>PE1404 .W7276 1986</t>
        </is>
      </c>
      <c r="C254" t="inlineStr">
        <is>
          <t>0                      PE 1404000W  7276        1986</t>
        </is>
      </c>
      <c r="D254" t="inlineStr">
        <is>
          <t>The Writing of writing / edited by Andrew Wilkinson.</t>
        </is>
      </c>
      <c r="F254" t="inlineStr">
        <is>
          <t>No</t>
        </is>
      </c>
      <c r="G254" t="inlineStr">
        <is>
          <t>1</t>
        </is>
      </c>
      <c r="H254" t="inlineStr">
        <is>
          <t>No</t>
        </is>
      </c>
      <c r="I254" t="inlineStr">
        <is>
          <t>No</t>
        </is>
      </c>
      <c r="J254" t="inlineStr">
        <is>
          <t>0</t>
        </is>
      </c>
      <c r="L254" t="inlineStr">
        <is>
          <t>Milton Keynes, England ; Philadelphia, PA, USA : Open University Press, 1986.</t>
        </is>
      </c>
      <c r="M254" t="inlineStr">
        <is>
          <t>1986</t>
        </is>
      </c>
      <c r="O254" t="inlineStr">
        <is>
          <t>eng</t>
        </is>
      </c>
      <c r="P254" t="inlineStr">
        <is>
          <t>enk</t>
        </is>
      </c>
      <c r="Q254" t="inlineStr">
        <is>
          <t>English, language, and education series</t>
        </is>
      </c>
      <c r="R254" t="inlineStr">
        <is>
          <t xml:space="preserve">PE </t>
        </is>
      </c>
      <c r="S254" t="n">
        <v>5</v>
      </c>
      <c r="T254" t="n">
        <v>5</v>
      </c>
      <c r="U254" t="inlineStr">
        <is>
          <t>2007-02-28</t>
        </is>
      </c>
      <c r="V254" t="inlineStr">
        <is>
          <t>2007-02-28</t>
        </is>
      </c>
      <c r="W254" t="inlineStr">
        <is>
          <t>1993-04-23</t>
        </is>
      </c>
      <c r="X254" t="inlineStr">
        <is>
          <t>1993-04-23</t>
        </is>
      </c>
      <c r="Y254" t="n">
        <v>245</v>
      </c>
      <c r="Z254" t="n">
        <v>106</v>
      </c>
      <c r="AA254" t="n">
        <v>108</v>
      </c>
      <c r="AB254" t="n">
        <v>2</v>
      </c>
      <c r="AC254" t="n">
        <v>2</v>
      </c>
      <c r="AD254" t="n">
        <v>2</v>
      </c>
      <c r="AE254" t="n">
        <v>2</v>
      </c>
      <c r="AF254" t="n">
        <v>1</v>
      </c>
      <c r="AG254" t="n">
        <v>1</v>
      </c>
      <c r="AH254" t="n">
        <v>0</v>
      </c>
      <c r="AI254" t="n">
        <v>0</v>
      </c>
      <c r="AJ254" t="n">
        <v>0</v>
      </c>
      <c r="AK254" t="n">
        <v>0</v>
      </c>
      <c r="AL254" t="n">
        <v>1</v>
      </c>
      <c r="AM254" t="n">
        <v>1</v>
      </c>
      <c r="AN254" t="n">
        <v>0</v>
      </c>
      <c r="AO254" t="n">
        <v>0</v>
      </c>
      <c r="AP254" t="inlineStr">
        <is>
          <t>No</t>
        </is>
      </c>
      <c r="AQ254" t="inlineStr">
        <is>
          <t>Yes</t>
        </is>
      </c>
      <c r="AR254">
        <f>HYPERLINK("http://catalog.hathitrust.org/Record/000484449","HathiTrust Record")</f>
        <v/>
      </c>
      <c r="AS254">
        <f>HYPERLINK("https://creighton-primo.hosted.exlibrisgroup.com/primo-explore/search?tab=default_tab&amp;search_scope=EVERYTHING&amp;vid=01CRU&amp;lang=en_US&amp;offset=0&amp;query=any,contains,991000794809702656","Catalog Record")</f>
        <v/>
      </c>
      <c r="AT254">
        <f>HYPERLINK("http://www.worldcat.org/oclc/13184855","WorldCat Record")</f>
        <v/>
      </c>
      <c r="AU254" t="inlineStr">
        <is>
          <t>375371864:eng</t>
        </is>
      </c>
      <c r="AV254" t="inlineStr">
        <is>
          <t>13184855</t>
        </is>
      </c>
      <c r="AW254" t="inlineStr">
        <is>
          <t>991000794809702656</t>
        </is>
      </c>
      <c r="AX254" t="inlineStr">
        <is>
          <t>991000794809702656</t>
        </is>
      </c>
      <c r="AY254" t="inlineStr">
        <is>
          <t>2255064610002656</t>
        </is>
      </c>
      <c r="AZ254" t="inlineStr">
        <is>
          <t>BOOK</t>
        </is>
      </c>
      <c r="BB254" t="inlineStr">
        <is>
          <t>9780335152339</t>
        </is>
      </c>
      <c r="BC254" t="inlineStr">
        <is>
          <t>32285001646933</t>
        </is>
      </c>
      <c r="BD254" t="inlineStr">
        <is>
          <t>893413685</t>
        </is>
      </c>
    </row>
    <row r="255">
      <c r="A255" t="inlineStr">
        <is>
          <t>No</t>
        </is>
      </c>
      <c r="B255" t="inlineStr">
        <is>
          <t>PE1404 .W728 1985</t>
        </is>
      </c>
      <c r="C255" t="inlineStr">
        <is>
          <t>0                      PE 1404000W  728         1985</t>
        </is>
      </c>
      <c r="D255" t="inlineStr">
        <is>
          <t>Writing on-line : using computers in the teaching of writing / edited by James L. Collins and Elizabeth A. Sommers.</t>
        </is>
      </c>
      <c r="F255" t="inlineStr">
        <is>
          <t>No</t>
        </is>
      </c>
      <c r="G255" t="inlineStr">
        <is>
          <t>1</t>
        </is>
      </c>
      <c r="H255" t="inlineStr">
        <is>
          <t>No</t>
        </is>
      </c>
      <c r="I255" t="inlineStr">
        <is>
          <t>No</t>
        </is>
      </c>
      <c r="J255" t="inlineStr">
        <is>
          <t>0</t>
        </is>
      </c>
      <c r="L255" t="inlineStr">
        <is>
          <t>Upper Montclair, N.J. : Boynton/Cook Publishers, c1985.</t>
        </is>
      </c>
      <c r="M255" t="inlineStr">
        <is>
          <t>1985</t>
        </is>
      </c>
      <c r="O255" t="inlineStr">
        <is>
          <t>eng</t>
        </is>
      </c>
      <c r="P255" t="inlineStr">
        <is>
          <t>nju</t>
        </is>
      </c>
      <c r="R255" t="inlineStr">
        <is>
          <t xml:space="preserve">PE </t>
        </is>
      </c>
      <c r="S255" t="n">
        <v>2</v>
      </c>
      <c r="T255" t="n">
        <v>2</v>
      </c>
      <c r="U255" t="inlineStr">
        <is>
          <t>1997-04-15</t>
        </is>
      </c>
      <c r="V255" t="inlineStr">
        <is>
          <t>1997-04-15</t>
        </is>
      </c>
      <c r="W255" t="inlineStr">
        <is>
          <t>1989-12-05</t>
        </is>
      </c>
      <c r="X255" t="inlineStr">
        <is>
          <t>1989-12-05</t>
        </is>
      </c>
      <c r="Y255" t="n">
        <v>564</v>
      </c>
      <c r="Z255" t="n">
        <v>504</v>
      </c>
      <c r="AA255" t="n">
        <v>506</v>
      </c>
      <c r="AB255" t="n">
        <v>4</v>
      </c>
      <c r="AC255" t="n">
        <v>4</v>
      </c>
      <c r="AD255" t="n">
        <v>26</v>
      </c>
      <c r="AE255" t="n">
        <v>26</v>
      </c>
      <c r="AF255" t="n">
        <v>11</v>
      </c>
      <c r="AG255" t="n">
        <v>11</v>
      </c>
      <c r="AH255" t="n">
        <v>3</v>
      </c>
      <c r="AI255" t="n">
        <v>3</v>
      </c>
      <c r="AJ255" t="n">
        <v>16</v>
      </c>
      <c r="AK255" t="n">
        <v>16</v>
      </c>
      <c r="AL255" t="n">
        <v>3</v>
      </c>
      <c r="AM255" t="n">
        <v>3</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HYPERLINK("https://creighton-primo.hosted.exlibrisgroup.com/primo-explore/search?tab=default_tab&amp;search_scope=EVERYTHING&amp;vid=01CRU&amp;lang=en_US&amp;offset=0&amp;query=any,contains,991000590949702656","Catalog Record")</f>
        <v/>
      </c>
      <c r="AT255">
        <f>HYPERLINK("http://www.worldcat.org/oclc/11785175","WorldCat Record")</f>
        <v/>
      </c>
      <c r="AU255" t="inlineStr">
        <is>
          <t>899404871:eng</t>
        </is>
      </c>
      <c r="AV255" t="inlineStr">
        <is>
          <t>11785175</t>
        </is>
      </c>
      <c r="AW255" t="inlineStr">
        <is>
          <t>991000590949702656</t>
        </is>
      </c>
      <c r="AX255" t="inlineStr">
        <is>
          <t>991000590949702656</t>
        </is>
      </c>
      <c r="AY255" t="inlineStr">
        <is>
          <t>2255844010002656</t>
        </is>
      </c>
      <c r="AZ255" t="inlineStr">
        <is>
          <t>BOOK</t>
        </is>
      </c>
      <c r="BB255" t="inlineStr">
        <is>
          <t>9780867091298</t>
        </is>
      </c>
      <c r="BC255" t="inlineStr">
        <is>
          <t>32285000016898</t>
        </is>
      </c>
      <c r="BD255" t="inlineStr">
        <is>
          <t>893502611</t>
        </is>
      </c>
    </row>
    <row r="256">
      <c r="A256" t="inlineStr">
        <is>
          <t>No</t>
        </is>
      </c>
      <c r="B256" t="inlineStr">
        <is>
          <t>PE1404 .W74</t>
        </is>
      </c>
      <c r="C256" t="inlineStr">
        <is>
          <t>0                      PE 1404000W  74</t>
        </is>
      </c>
      <c r="D256" t="inlineStr">
        <is>
          <t>The Writing teacher's sourcebook / [compiled by] Gary Tate, Edward P. J. Corbett.</t>
        </is>
      </c>
      <c r="F256" t="inlineStr">
        <is>
          <t>No</t>
        </is>
      </c>
      <c r="G256" t="inlineStr">
        <is>
          <t>1</t>
        </is>
      </c>
      <c r="H256" t="inlineStr">
        <is>
          <t>No</t>
        </is>
      </c>
      <c r="I256" t="inlineStr">
        <is>
          <t>Yes</t>
        </is>
      </c>
      <c r="J256" t="inlineStr">
        <is>
          <t>0</t>
        </is>
      </c>
      <c r="L256" t="inlineStr">
        <is>
          <t>New York : Oxford University Press, 1981.</t>
        </is>
      </c>
      <c r="M256" t="inlineStr">
        <is>
          <t>1981</t>
        </is>
      </c>
      <c r="O256" t="inlineStr">
        <is>
          <t>eng</t>
        </is>
      </c>
      <c r="P256" t="inlineStr">
        <is>
          <t>nyu</t>
        </is>
      </c>
      <c r="R256" t="inlineStr">
        <is>
          <t xml:space="preserve">PE </t>
        </is>
      </c>
      <c r="S256" t="n">
        <v>2</v>
      </c>
      <c r="T256" t="n">
        <v>2</v>
      </c>
      <c r="U256" t="inlineStr">
        <is>
          <t>1993-08-25</t>
        </is>
      </c>
      <c r="V256" t="inlineStr">
        <is>
          <t>1993-08-25</t>
        </is>
      </c>
      <c r="W256" t="inlineStr">
        <is>
          <t>1993-04-23</t>
        </is>
      </c>
      <c r="X256" t="inlineStr">
        <is>
          <t>1993-04-23</t>
        </is>
      </c>
      <c r="Y256" t="n">
        <v>426</v>
      </c>
      <c r="Z256" t="n">
        <v>402</v>
      </c>
      <c r="AA256" t="n">
        <v>885</v>
      </c>
      <c r="AB256" t="n">
        <v>4</v>
      </c>
      <c r="AC256" t="n">
        <v>8</v>
      </c>
      <c r="AD256" t="n">
        <v>17</v>
      </c>
      <c r="AE256" t="n">
        <v>42</v>
      </c>
      <c r="AF256" t="n">
        <v>5</v>
      </c>
      <c r="AG256" t="n">
        <v>17</v>
      </c>
      <c r="AH256" t="n">
        <v>3</v>
      </c>
      <c r="AI256" t="n">
        <v>8</v>
      </c>
      <c r="AJ256" t="n">
        <v>8</v>
      </c>
      <c r="AK256" t="n">
        <v>16</v>
      </c>
      <c r="AL256" t="n">
        <v>3</v>
      </c>
      <c r="AM256" t="n">
        <v>7</v>
      </c>
      <c r="AN256" t="n">
        <v>1</v>
      </c>
      <c r="AO256" t="n">
        <v>2</v>
      </c>
      <c r="AP256" t="inlineStr">
        <is>
          <t>No</t>
        </is>
      </c>
      <c r="AQ256" t="inlineStr">
        <is>
          <t>Yes</t>
        </is>
      </c>
      <c r="AR256">
        <f>HYPERLINK("http://catalog.hathitrust.org/Record/000143595","HathiTrust Record")</f>
        <v/>
      </c>
      <c r="AS256">
        <f>HYPERLINK("https://creighton-primo.hosted.exlibrisgroup.com/primo-explore/search?tab=default_tab&amp;search_scope=EVERYTHING&amp;vid=01CRU&amp;lang=en_US&amp;offset=0&amp;query=any,contains,991005027419702656","Catalog Record")</f>
        <v/>
      </c>
      <c r="AT256">
        <f>HYPERLINK("http://www.worldcat.org/oclc/6707364","WorldCat Record")</f>
        <v/>
      </c>
      <c r="AU256" t="inlineStr">
        <is>
          <t>353976435:eng</t>
        </is>
      </c>
      <c r="AV256" t="inlineStr">
        <is>
          <t>6707364</t>
        </is>
      </c>
      <c r="AW256" t="inlineStr">
        <is>
          <t>991005027419702656</t>
        </is>
      </c>
      <c r="AX256" t="inlineStr">
        <is>
          <t>991005027419702656</t>
        </is>
      </c>
      <c r="AY256" t="inlineStr">
        <is>
          <t>2257684430002656</t>
        </is>
      </c>
      <c r="AZ256" t="inlineStr">
        <is>
          <t>BOOK</t>
        </is>
      </c>
      <c r="BB256" t="inlineStr">
        <is>
          <t>9780195028782</t>
        </is>
      </c>
      <c r="BC256" t="inlineStr">
        <is>
          <t>32285001646941</t>
        </is>
      </c>
      <c r="BD256" t="inlineStr">
        <is>
          <t>893801610</t>
        </is>
      </c>
    </row>
    <row r="257">
      <c r="A257" t="inlineStr">
        <is>
          <t>No</t>
        </is>
      </c>
      <c r="B257" t="inlineStr">
        <is>
          <t>PE1404 .W74 1988</t>
        </is>
      </c>
      <c r="C257" t="inlineStr">
        <is>
          <t>0                      PE 1404000W  74          1988</t>
        </is>
      </c>
      <c r="D257" t="inlineStr">
        <is>
          <t>The Writing teacher's sourcebook / [edited by] Gary Tate, Edward P.J. Corbett.</t>
        </is>
      </c>
      <c r="F257" t="inlineStr">
        <is>
          <t>No</t>
        </is>
      </c>
      <c r="G257" t="inlineStr">
        <is>
          <t>1</t>
        </is>
      </c>
      <c r="H257" t="inlineStr">
        <is>
          <t>No</t>
        </is>
      </c>
      <c r="I257" t="inlineStr">
        <is>
          <t>Yes</t>
        </is>
      </c>
      <c r="J257" t="inlineStr">
        <is>
          <t>0</t>
        </is>
      </c>
      <c r="L257" t="inlineStr">
        <is>
          <t>New York : Oxford University Press, 1988.</t>
        </is>
      </c>
      <c r="M257" t="inlineStr">
        <is>
          <t>1988</t>
        </is>
      </c>
      <c r="N257" t="inlineStr">
        <is>
          <t>2nd ed.</t>
        </is>
      </c>
      <c r="O257" t="inlineStr">
        <is>
          <t>eng</t>
        </is>
      </c>
      <c r="P257" t="inlineStr">
        <is>
          <t>nyu</t>
        </is>
      </c>
      <c r="R257" t="inlineStr">
        <is>
          <t xml:space="preserve">PE </t>
        </is>
      </c>
      <c r="S257" t="n">
        <v>9</v>
      </c>
      <c r="T257" t="n">
        <v>9</v>
      </c>
      <c r="U257" t="inlineStr">
        <is>
          <t>1999-02-02</t>
        </is>
      </c>
      <c r="V257" t="inlineStr">
        <is>
          <t>1999-02-02</t>
        </is>
      </c>
      <c r="W257" t="inlineStr">
        <is>
          <t>1992-03-26</t>
        </is>
      </c>
      <c r="X257" t="inlineStr">
        <is>
          <t>1992-03-26</t>
        </is>
      </c>
      <c r="Y257" t="n">
        <v>338</v>
      </c>
      <c r="Z257" t="n">
        <v>296</v>
      </c>
      <c r="AA257" t="n">
        <v>885</v>
      </c>
      <c r="AB257" t="n">
        <v>1</v>
      </c>
      <c r="AC257" t="n">
        <v>8</v>
      </c>
      <c r="AD257" t="n">
        <v>13</v>
      </c>
      <c r="AE257" t="n">
        <v>42</v>
      </c>
      <c r="AF257" t="n">
        <v>7</v>
      </c>
      <c r="AG257" t="n">
        <v>17</v>
      </c>
      <c r="AH257" t="n">
        <v>5</v>
      </c>
      <c r="AI257" t="n">
        <v>8</v>
      </c>
      <c r="AJ257" t="n">
        <v>6</v>
      </c>
      <c r="AK257" t="n">
        <v>16</v>
      </c>
      <c r="AL257" t="n">
        <v>0</v>
      </c>
      <c r="AM257" t="n">
        <v>7</v>
      </c>
      <c r="AN257" t="n">
        <v>0</v>
      </c>
      <c r="AO257" t="n">
        <v>2</v>
      </c>
      <c r="AP257" t="inlineStr">
        <is>
          <t>No</t>
        </is>
      </c>
      <c r="AQ257" t="inlineStr">
        <is>
          <t>Yes</t>
        </is>
      </c>
      <c r="AR257">
        <f>HYPERLINK("http://catalog.hathitrust.org/Record/000918784","HathiTrust Record")</f>
        <v/>
      </c>
      <c r="AS257">
        <f>HYPERLINK("https://creighton-primo.hosted.exlibrisgroup.com/primo-explore/search?tab=default_tab&amp;search_scope=EVERYTHING&amp;vid=01CRU&amp;lang=en_US&amp;offset=0&amp;query=any,contains,991001177209702656","Catalog Record")</f>
        <v/>
      </c>
      <c r="AT257">
        <f>HYPERLINK("http://www.worldcat.org/oclc/17103987","WorldCat Record")</f>
        <v/>
      </c>
      <c r="AU257" t="inlineStr">
        <is>
          <t>353976435:eng</t>
        </is>
      </c>
      <c r="AV257" t="inlineStr">
        <is>
          <t>17103987</t>
        </is>
      </c>
      <c r="AW257" t="inlineStr">
        <is>
          <t>991001177209702656</t>
        </is>
      </c>
      <c r="AX257" t="inlineStr">
        <is>
          <t>991001177209702656</t>
        </is>
      </c>
      <c r="AY257" t="inlineStr">
        <is>
          <t>2270748770002656</t>
        </is>
      </c>
      <c r="AZ257" t="inlineStr">
        <is>
          <t>BOOK</t>
        </is>
      </c>
      <c r="BB257" t="inlineStr">
        <is>
          <t>9780195053388</t>
        </is>
      </c>
      <c r="BC257" t="inlineStr">
        <is>
          <t>32285001040848</t>
        </is>
      </c>
      <c r="BD257" t="inlineStr">
        <is>
          <t>893407916</t>
        </is>
      </c>
    </row>
    <row r="258">
      <c r="A258" t="inlineStr">
        <is>
          <t>No</t>
        </is>
      </c>
      <c r="B258" t="inlineStr">
        <is>
          <t>PE1404 .W757 1989</t>
        </is>
      </c>
      <c r="C258" t="inlineStr">
        <is>
          <t>0                      PE 1404000W  757         1989</t>
        </is>
      </c>
      <c r="D258" t="inlineStr">
        <is>
          <t>Writing to learn mathematics and science / edited by Paul Connolly, Teresa Vilardi.</t>
        </is>
      </c>
      <c r="F258" t="inlineStr">
        <is>
          <t>No</t>
        </is>
      </c>
      <c r="G258" t="inlineStr">
        <is>
          <t>1</t>
        </is>
      </c>
      <c r="H258" t="inlineStr">
        <is>
          <t>No</t>
        </is>
      </c>
      <c r="I258" t="inlineStr">
        <is>
          <t>No</t>
        </is>
      </c>
      <c r="J258" t="inlineStr">
        <is>
          <t>0</t>
        </is>
      </c>
      <c r="L258" t="inlineStr">
        <is>
          <t>New York : Teachers College, Columbia University, c1989.</t>
        </is>
      </c>
      <c r="M258" t="inlineStr">
        <is>
          <t>1989</t>
        </is>
      </c>
      <c r="O258" t="inlineStr">
        <is>
          <t>eng</t>
        </is>
      </c>
      <c r="P258" t="inlineStr">
        <is>
          <t>nyu</t>
        </is>
      </c>
      <c r="R258" t="inlineStr">
        <is>
          <t xml:space="preserve">PE </t>
        </is>
      </c>
      <c r="S258" t="n">
        <v>7</v>
      </c>
      <c r="T258" t="n">
        <v>7</v>
      </c>
      <c r="U258" t="inlineStr">
        <is>
          <t>1999-04-15</t>
        </is>
      </c>
      <c r="V258" t="inlineStr">
        <is>
          <t>1999-04-15</t>
        </is>
      </c>
      <c r="W258" t="inlineStr">
        <is>
          <t>1993-04-23</t>
        </is>
      </c>
      <c r="X258" t="inlineStr">
        <is>
          <t>1993-04-23</t>
        </is>
      </c>
      <c r="Y258" t="n">
        <v>740</v>
      </c>
      <c r="Z258" t="n">
        <v>682</v>
      </c>
      <c r="AA258" t="n">
        <v>689</v>
      </c>
      <c r="AB258" t="n">
        <v>6</v>
      </c>
      <c r="AC258" t="n">
        <v>6</v>
      </c>
      <c r="AD258" t="n">
        <v>32</v>
      </c>
      <c r="AE258" t="n">
        <v>32</v>
      </c>
      <c r="AF258" t="n">
        <v>11</v>
      </c>
      <c r="AG258" t="n">
        <v>11</v>
      </c>
      <c r="AH258" t="n">
        <v>7</v>
      </c>
      <c r="AI258" t="n">
        <v>7</v>
      </c>
      <c r="AJ258" t="n">
        <v>16</v>
      </c>
      <c r="AK258" t="n">
        <v>16</v>
      </c>
      <c r="AL258" t="n">
        <v>5</v>
      </c>
      <c r="AM258" t="n">
        <v>5</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HYPERLINK("https://creighton-primo.hosted.exlibrisgroup.com/primo-explore/search?tab=default_tab&amp;search_scope=EVERYTHING&amp;vid=01CRU&amp;lang=en_US&amp;offset=0&amp;query=any,contains,991001466149702656","Catalog Record")</f>
        <v/>
      </c>
      <c r="AT258">
        <f>HYPERLINK("http://www.worldcat.org/oclc/19512247","WorldCat Record")</f>
        <v/>
      </c>
      <c r="AU258" t="inlineStr">
        <is>
          <t>355795944:eng</t>
        </is>
      </c>
      <c r="AV258" t="inlineStr">
        <is>
          <t>19512247</t>
        </is>
      </c>
      <c r="AW258" t="inlineStr">
        <is>
          <t>991001466149702656</t>
        </is>
      </c>
      <c r="AX258" t="inlineStr">
        <is>
          <t>991001466149702656</t>
        </is>
      </c>
      <c r="AY258" t="inlineStr">
        <is>
          <t>2258654990002656</t>
        </is>
      </c>
      <c r="AZ258" t="inlineStr">
        <is>
          <t>BOOK</t>
        </is>
      </c>
      <c r="BB258" t="inlineStr">
        <is>
          <t>9780807729625</t>
        </is>
      </c>
      <c r="BC258" t="inlineStr">
        <is>
          <t>32285001646966</t>
        </is>
      </c>
      <c r="BD258" t="inlineStr">
        <is>
          <t>893866249</t>
        </is>
      </c>
    </row>
    <row r="259">
      <c r="A259" t="inlineStr">
        <is>
          <t>No</t>
        </is>
      </c>
      <c r="B259" t="inlineStr">
        <is>
          <t>PE1405.U6 A37 1999</t>
        </is>
      </c>
      <c r="C259" t="inlineStr">
        <is>
          <t>0                      PE 1405000U  6                  A  37          1999</t>
        </is>
      </c>
      <c r="D259" t="inlineStr">
        <is>
          <t>Administrative problem-solving for writing programs and writing centers : scenarios in effective program management / edited by Linda Myers-Breslin.</t>
        </is>
      </c>
      <c r="F259" t="inlineStr">
        <is>
          <t>No</t>
        </is>
      </c>
      <c r="G259" t="inlineStr">
        <is>
          <t>1</t>
        </is>
      </c>
      <c r="H259" t="inlineStr">
        <is>
          <t>No</t>
        </is>
      </c>
      <c r="I259" t="inlineStr">
        <is>
          <t>No</t>
        </is>
      </c>
      <c r="J259" t="inlineStr">
        <is>
          <t>0</t>
        </is>
      </c>
      <c r="L259" t="inlineStr">
        <is>
          <t>Urbana, Ill. : National Council of Teachers of English, c1999.</t>
        </is>
      </c>
      <c r="M259" t="inlineStr">
        <is>
          <t>1999</t>
        </is>
      </c>
      <c r="O259" t="inlineStr">
        <is>
          <t>eng</t>
        </is>
      </c>
      <c r="P259" t="inlineStr">
        <is>
          <t>ilu</t>
        </is>
      </c>
      <c r="R259" t="inlineStr">
        <is>
          <t xml:space="preserve">PE </t>
        </is>
      </c>
      <c r="S259" t="n">
        <v>4</v>
      </c>
      <c r="T259" t="n">
        <v>4</v>
      </c>
      <c r="U259" t="inlineStr">
        <is>
          <t>2010-09-16</t>
        </is>
      </c>
      <c r="V259" t="inlineStr">
        <is>
          <t>2010-09-16</t>
        </is>
      </c>
      <c r="W259" t="inlineStr">
        <is>
          <t>2003-10-09</t>
        </is>
      </c>
      <c r="X259" t="inlineStr">
        <is>
          <t>2003-10-09</t>
        </is>
      </c>
      <c r="Y259" t="n">
        <v>302</v>
      </c>
      <c r="Z259" t="n">
        <v>278</v>
      </c>
      <c r="AA259" t="n">
        <v>285</v>
      </c>
      <c r="AB259" t="n">
        <v>3</v>
      </c>
      <c r="AC259" t="n">
        <v>3</v>
      </c>
      <c r="AD259" t="n">
        <v>12</v>
      </c>
      <c r="AE259" t="n">
        <v>12</v>
      </c>
      <c r="AF259" t="n">
        <v>5</v>
      </c>
      <c r="AG259" t="n">
        <v>5</v>
      </c>
      <c r="AH259" t="n">
        <v>3</v>
      </c>
      <c r="AI259" t="n">
        <v>3</v>
      </c>
      <c r="AJ259" t="n">
        <v>4</v>
      </c>
      <c r="AK259" t="n">
        <v>4</v>
      </c>
      <c r="AL259" t="n">
        <v>2</v>
      </c>
      <c r="AM259" t="n">
        <v>2</v>
      </c>
      <c r="AN259" t="n">
        <v>0</v>
      </c>
      <c r="AO259" t="n">
        <v>0</v>
      </c>
      <c r="AP259" t="inlineStr">
        <is>
          <t>No</t>
        </is>
      </c>
      <c r="AQ259" t="inlineStr">
        <is>
          <t>Yes</t>
        </is>
      </c>
      <c r="AR259">
        <f>HYPERLINK("http://catalog.hathitrust.org/Record/007143075","HathiTrust Record")</f>
        <v/>
      </c>
      <c r="AS259">
        <f>HYPERLINK("https://creighton-primo.hosted.exlibrisgroup.com/primo-explore/search?tab=default_tab&amp;search_scope=EVERYTHING&amp;vid=01CRU&amp;lang=en_US&amp;offset=0&amp;query=any,contains,991004140869702656","Catalog Record")</f>
        <v/>
      </c>
      <c r="AT259">
        <f>HYPERLINK("http://www.worldcat.org/oclc/40762564","WorldCat Record")</f>
        <v/>
      </c>
      <c r="AU259" t="inlineStr">
        <is>
          <t>23748096:eng</t>
        </is>
      </c>
      <c r="AV259" t="inlineStr">
        <is>
          <t>40762564</t>
        </is>
      </c>
      <c r="AW259" t="inlineStr">
        <is>
          <t>991004140869702656</t>
        </is>
      </c>
      <c r="AX259" t="inlineStr">
        <is>
          <t>991004140869702656</t>
        </is>
      </c>
      <c r="AY259" t="inlineStr">
        <is>
          <t>2267211790002656</t>
        </is>
      </c>
      <c r="AZ259" t="inlineStr">
        <is>
          <t>BOOK</t>
        </is>
      </c>
      <c r="BB259" t="inlineStr">
        <is>
          <t>9780814100516</t>
        </is>
      </c>
      <c r="BC259" t="inlineStr">
        <is>
          <t>32285004787601</t>
        </is>
      </c>
      <c r="BD259" t="inlineStr">
        <is>
          <t>893512861</t>
        </is>
      </c>
    </row>
    <row r="260">
      <c r="A260" t="inlineStr">
        <is>
          <t>No</t>
        </is>
      </c>
      <c r="B260" t="inlineStr">
        <is>
          <t>PE1405.U6 C665 2003</t>
        </is>
      </c>
      <c r="C260" t="inlineStr">
        <is>
          <t>0                      PE 1405000U  6                  C  665         2003</t>
        </is>
      </c>
      <c r="D260" t="inlineStr">
        <is>
          <t>Selected essays of Robert J. Connors / edited by Lisa Ede, Andrea A. Lunsford.</t>
        </is>
      </c>
      <c r="F260" t="inlineStr">
        <is>
          <t>No</t>
        </is>
      </c>
      <c r="G260" t="inlineStr">
        <is>
          <t>1</t>
        </is>
      </c>
      <c r="H260" t="inlineStr">
        <is>
          <t>No</t>
        </is>
      </c>
      <c r="I260" t="inlineStr">
        <is>
          <t>No</t>
        </is>
      </c>
      <c r="J260" t="inlineStr">
        <is>
          <t>0</t>
        </is>
      </c>
      <c r="K260" t="inlineStr">
        <is>
          <t>Connors, Robert J., 1951-</t>
        </is>
      </c>
      <c r="L260" t="inlineStr">
        <is>
          <t>Boston : Bedford/St. Martin's, c2003.</t>
        </is>
      </c>
      <c r="M260" t="inlineStr">
        <is>
          <t>2003</t>
        </is>
      </c>
      <c r="O260" t="inlineStr">
        <is>
          <t>eng</t>
        </is>
      </c>
      <c r="P260" t="inlineStr">
        <is>
          <t>mau</t>
        </is>
      </c>
      <c r="R260" t="inlineStr">
        <is>
          <t xml:space="preserve">PE </t>
        </is>
      </c>
      <c r="S260" t="n">
        <v>2</v>
      </c>
      <c r="T260" t="n">
        <v>2</v>
      </c>
      <c r="U260" t="inlineStr">
        <is>
          <t>2003-11-06</t>
        </is>
      </c>
      <c r="V260" t="inlineStr">
        <is>
          <t>2003-11-06</t>
        </is>
      </c>
      <c r="W260" t="inlineStr">
        <is>
          <t>2003-11-06</t>
        </is>
      </c>
      <c r="X260" t="inlineStr">
        <is>
          <t>2003-11-06</t>
        </is>
      </c>
      <c r="Y260" t="n">
        <v>98</v>
      </c>
      <c r="Z260" t="n">
        <v>91</v>
      </c>
      <c r="AA260" t="n">
        <v>96</v>
      </c>
      <c r="AB260" t="n">
        <v>1</v>
      </c>
      <c r="AC260" t="n">
        <v>1</v>
      </c>
      <c r="AD260" t="n">
        <v>5</v>
      </c>
      <c r="AE260" t="n">
        <v>5</v>
      </c>
      <c r="AF260" t="n">
        <v>2</v>
      </c>
      <c r="AG260" t="n">
        <v>2</v>
      </c>
      <c r="AH260" t="n">
        <v>2</v>
      </c>
      <c r="AI260" t="n">
        <v>2</v>
      </c>
      <c r="AJ260" t="n">
        <v>2</v>
      </c>
      <c r="AK260" t="n">
        <v>2</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HYPERLINK("https://creighton-primo.hosted.exlibrisgroup.com/primo-explore/search?tab=default_tab&amp;search_scope=EVERYTHING&amp;vid=01CRU&amp;lang=en_US&amp;offset=0&amp;query=any,contains,991004148259702656","Catalog Record")</f>
        <v/>
      </c>
      <c r="AT260">
        <f>HYPERLINK("http://www.worldcat.org/oclc/51858327","WorldCat Record")</f>
        <v/>
      </c>
      <c r="AU260" t="inlineStr">
        <is>
          <t>354752409:eng</t>
        </is>
      </c>
      <c r="AV260" t="inlineStr">
        <is>
          <t>51858327</t>
        </is>
      </c>
      <c r="AW260" t="inlineStr">
        <is>
          <t>991004148259702656</t>
        </is>
      </c>
      <c r="AX260" t="inlineStr">
        <is>
          <t>991004148259702656</t>
        </is>
      </c>
      <c r="AY260" t="inlineStr">
        <is>
          <t>2255039170002656</t>
        </is>
      </c>
      <c r="AZ260" t="inlineStr">
        <is>
          <t>BOOK</t>
        </is>
      </c>
      <c r="BB260" t="inlineStr">
        <is>
          <t>9780312402792</t>
        </is>
      </c>
      <c r="BC260" t="inlineStr">
        <is>
          <t>32285004795190</t>
        </is>
      </c>
      <c r="BD260" t="inlineStr">
        <is>
          <t>893900869</t>
        </is>
      </c>
    </row>
    <row r="261">
      <c r="A261" t="inlineStr">
        <is>
          <t>No</t>
        </is>
      </c>
      <c r="B261" t="inlineStr">
        <is>
          <t>PE1405.U6 E93 1994</t>
        </is>
      </c>
      <c r="C261" t="inlineStr">
        <is>
          <t>0                      PE 1405000U  6                  E  93          1994</t>
        </is>
      </c>
      <c r="D261" t="inlineStr">
        <is>
          <t>Evaluating teachers of writing / edited by Christine A. Hult.</t>
        </is>
      </c>
      <c r="F261" t="inlineStr">
        <is>
          <t>No</t>
        </is>
      </c>
      <c r="G261" t="inlineStr">
        <is>
          <t>1</t>
        </is>
      </c>
      <c r="H261" t="inlineStr">
        <is>
          <t>No</t>
        </is>
      </c>
      <c r="I261" t="inlineStr">
        <is>
          <t>No</t>
        </is>
      </c>
      <c r="J261" t="inlineStr">
        <is>
          <t>0</t>
        </is>
      </c>
      <c r="L261" t="inlineStr">
        <is>
          <t>Urbana, Ill. : National Council of Teachers of English, c1994.</t>
        </is>
      </c>
      <c r="M261" t="inlineStr">
        <is>
          <t>1994</t>
        </is>
      </c>
      <c r="O261" t="inlineStr">
        <is>
          <t>eng</t>
        </is>
      </c>
      <c r="P261" t="inlineStr">
        <is>
          <t>ilu</t>
        </is>
      </c>
      <c r="R261" t="inlineStr">
        <is>
          <t xml:space="preserve">PE </t>
        </is>
      </c>
      <c r="S261" t="n">
        <v>4</v>
      </c>
      <c r="T261" t="n">
        <v>4</v>
      </c>
      <c r="U261" t="inlineStr">
        <is>
          <t>2008-06-19</t>
        </is>
      </c>
      <c r="V261" t="inlineStr">
        <is>
          <t>2008-06-19</t>
        </is>
      </c>
      <c r="W261" t="inlineStr">
        <is>
          <t>1996-05-16</t>
        </is>
      </c>
      <c r="X261" t="inlineStr">
        <is>
          <t>1996-05-16</t>
        </is>
      </c>
      <c r="Y261" t="n">
        <v>233</v>
      </c>
      <c r="Z261" t="n">
        <v>217</v>
      </c>
      <c r="AA261" t="n">
        <v>220</v>
      </c>
      <c r="AB261" t="n">
        <v>3</v>
      </c>
      <c r="AC261" t="n">
        <v>3</v>
      </c>
      <c r="AD261" t="n">
        <v>11</v>
      </c>
      <c r="AE261" t="n">
        <v>11</v>
      </c>
      <c r="AF261" t="n">
        <v>3</v>
      </c>
      <c r="AG261" t="n">
        <v>3</v>
      </c>
      <c r="AH261" t="n">
        <v>3</v>
      </c>
      <c r="AI261" t="n">
        <v>3</v>
      </c>
      <c r="AJ261" t="n">
        <v>6</v>
      </c>
      <c r="AK261" t="n">
        <v>6</v>
      </c>
      <c r="AL261" t="n">
        <v>2</v>
      </c>
      <c r="AM261" t="n">
        <v>2</v>
      </c>
      <c r="AN261" t="n">
        <v>0</v>
      </c>
      <c r="AO261" t="n">
        <v>0</v>
      </c>
      <c r="AP261" t="inlineStr">
        <is>
          <t>No</t>
        </is>
      </c>
      <c r="AQ261" t="inlineStr">
        <is>
          <t>Yes</t>
        </is>
      </c>
      <c r="AR261">
        <f>HYPERLINK("http://catalog.hathitrust.org/Record/007143200","HathiTrust Record")</f>
        <v/>
      </c>
      <c r="AS261">
        <f>HYPERLINK("https://creighton-primo.hosted.exlibrisgroup.com/primo-explore/search?tab=default_tab&amp;search_scope=EVERYTHING&amp;vid=01CRU&amp;lang=en_US&amp;offset=0&amp;query=any,contains,991002223609702656","Catalog Record")</f>
        <v/>
      </c>
      <c r="AT261">
        <f>HYPERLINK("http://www.worldcat.org/oclc/28634577","WorldCat Record")</f>
        <v/>
      </c>
      <c r="AU261" t="inlineStr">
        <is>
          <t>30845093:eng</t>
        </is>
      </c>
      <c r="AV261" t="inlineStr">
        <is>
          <t>28634577</t>
        </is>
      </c>
      <c r="AW261" t="inlineStr">
        <is>
          <t>991002223609702656</t>
        </is>
      </c>
      <c r="AX261" t="inlineStr">
        <is>
          <t>991002223609702656</t>
        </is>
      </c>
      <c r="AY261" t="inlineStr">
        <is>
          <t>2257248240002656</t>
        </is>
      </c>
      <c r="AZ261" t="inlineStr">
        <is>
          <t>BOOK</t>
        </is>
      </c>
      <c r="BB261" t="inlineStr">
        <is>
          <t>9780814116210</t>
        </is>
      </c>
      <c r="BC261" t="inlineStr">
        <is>
          <t>32285002169216</t>
        </is>
      </c>
      <c r="BD261" t="inlineStr">
        <is>
          <t>893703832</t>
        </is>
      </c>
    </row>
    <row r="262">
      <c r="A262" t="inlineStr">
        <is>
          <t>No</t>
        </is>
      </c>
      <c r="B262" t="inlineStr">
        <is>
          <t>PE1405.U6 F37 1986</t>
        </is>
      </c>
      <c r="C262" t="inlineStr">
        <is>
          <t>0                      PE 1405000U  6                  F  37          1986</t>
        </is>
      </c>
      <c r="D262" t="inlineStr">
        <is>
          <t>Language diversity and writing instruction / Marcia Farr, Harvey Daniels.</t>
        </is>
      </c>
      <c r="F262" t="inlineStr">
        <is>
          <t>No</t>
        </is>
      </c>
      <c r="G262" t="inlineStr">
        <is>
          <t>1</t>
        </is>
      </c>
      <c r="H262" t="inlineStr">
        <is>
          <t>No</t>
        </is>
      </c>
      <c r="I262" t="inlineStr">
        <is>
          <t>No</t>
        </is>
      </c>
      <c r="J262" t="inlineStr">
        <is>
          <t>0</t>
        </is>
      </c>
      <c r="K262" t="inlineStr">
        <is>
          <t>Farr, Marcia.</t>
        </is>
      </c>
      <c r="L262" t="inlineStr">
        <is>
          <t>New York, N.Y. : ERIC Clearinghouse on Urban Education ; Urbana, Ill. : ERIC Clearinghouse on Reading and Communication Skills, 1986.</t>
        </is>
      </c>
      <c r="M262" t="inlineStr">
        <is>
          <t>1986</t>
        </is>
      </c>
      <c r="O262" t="inlineStr">
        <is>
          <t>eng</t>
        </is>
      </c>
      <c r="P262" t="inlineStr">
        <is>
          <t>nyu</t>
        </is>
      </c>
      <c r="R262" t="inlineStr">
        <is>
          <t xml:space="preserve">PE </t>
        </is>
      </c>
      <c r="S262" t="n">
        <v>5</v>
      </c>
      <c r="T262" t="n">
        <v>5</v>
      </c>
      <c r="U262" t="inlineStr">
        <is>
          <t>1995-12-12</t>
        </is>
      </c>
      <c r="V262" t="inlineStr">
        <is>
          <t>1995-12-12</t>
        </is>
      </c>
      <c r="W262" t="inlineStr">
        <is>
          <t>1993-04-23</t>
        </is>
      </c>
      <c r="X262" t="inlineStr">
        <is>
          <t>1993-04-23</t>
        </is>
      </c>
      <c r="Y262" t="n">
        <v>661</v>
      </c>
      <c r="Z262" t="n">
        <v>621</v>
      </c>
      <c r="AA262" t="n">
        <v>634</v>
      </c>
      <c r="AB262" t="n">
        <v>8</v>
      </c>
      <c r="AC262" t="n">
        <v>8</v>
      </c>
      <c r="AD262" t="n">
        <v>38</v>
      </c>
      <c r="AE262" t="n">
        <v>38</v>
      </c>
      <c r="AF262" t="n">
        <v>14</v>
      </c>
      <c r="AG262" t="n">
        <v>14</v>
      </c>
      <c r="AH262" t="n">
        <v>5</v>
      </c>
      <c r="AI262" t="n">
        <v>5</v>
      </c>
      <c r="AJ262" t="n">
        <v>19</v>
      </c>
      <c r="AK262" t="n">
        <v>19</v>
      </c>
      <c r="AL262" t="n">
        <v>7</v>
      </c>
      <c r="AM262" t="n">
        <v>7</v>
      </c>
      <c r="AN262" t="n">
        <v>0</v>
      </c>
      <c r="AO262" t="n">
        <v>0</v>
      </c>
      <c r="AP262" t="inlineStr">
        <is>
          <t>No</t>
        </is>
      </c>
      <c r="AQ262" t="inlineStr">
        <is>
          <t>Yes</t>
        </is>
      </c>
      <c r="AR262">
        <f>HYPERLINK("http://catalog.hathitrust.org/Record/000876938","HathiTrust Record")</f>
        <v/>
      </c>
      <c r="AS262">
        <f>HYPERLINK("https://creighton-primo.hosted.exlibrisgroup.com/primo-explore/search?tab=default_tab&amp;search_scope=EVERYTHING&amp;vid=01CRU&amp;lang=en_US&amp;offset=0&amp;query=any,contains,991000928279702656","Catalog Record")</f>
        <v/>
      </c>
      <c r="AT262">
        <f>HYPERLINK("http://www.worldcat.org/oclc/14242476","WorldCat Record")</f>
        <v/>
      </c>
      <c r="AU262" t="inlineStr">
        <is>
          <t>9077197:eng</t>
        </is>
      </c>
      <c r="AV262" t="inlineStr">
        <is>
          <t>14242476</t>
        </is>
      </c>
      <c r="AW262" t="inlineStr">
        <is>
          <t>991000928279702656</t>
        </is>
      </c>
      <c r="AX262" t="inlineStr">
        <is>
          <t>991000928279702656</t>
        </is>
      </c>
      <c r="AY262" t="inlineStr">
        <is>
          <t>2270011940002656</t>
        </is>
      </c>
      <c r="AZ262" t="inlineStr">
        <is>
          <t>BOOK</t>
        </is>
      </c>
      <c r="BB262" t="inlineStr">
        <is>
          <t>9780814126592</t>
        </is>
      </c>
      <c r="BC262" t="inlineStr">
        <is>
          <t>32285001646974</t>
        </is>
      </c>
      <c r="BD262" t="inlineStr">
        <is>
          <t>893249810</t>
        </is>
      </c>
    </row>
    <row r="263">
      <c r="A263" t="inlineStr">
        <is>
          <t>No</t>
        </is>
      </c>
      <c r="B263" t="inlineStr">
        <is>
          <t>PE1405.U6 M34 1995</t>
        </is>
      </c>
      <c r="C263" t="inlineStr">
        <is>
          <t>0                      PE 1405000U  6                  M  34          1995</t>
        </is>
      </c>
      <c r="D263" t="inlineStr">
        <is>
          <t>Textual orientations : lesbian and gay students and the making of discourse communities / Harriet Malinowitz.</t>
        </is>
      </c>
      <c r="F263" t="inlineStr">
        <is>
          <t>No</t>
        </is>
      </c>
      <c r="G263" t="inlineStr">
        <is>
          <t>1</t>
        </is>
      </c>
      <c r="H263" t="inlineStr">
        <is>
          <t>No</t>
        </is>
      </c>
      <c r="I263" t="inlineStr">
        <is>
          <t>No</t>
        </is>
      </c>
      <c r="J263" t="inlineStr">
        <is>
          <t>0</t>
        </is>
      </c>
      <c r="K263" t="inlineStr">
        <is>
          <t>Malinowitz, Harriet.</t>
        </is>
      </c>
      <c r="L263" t="inlineStr">
        <is>
          <t>Portsmouth, NH : Boynton/Cook Publishers : Heinemann, c1995.</t>
        </is>
      </c>
      <c r="M263" t="inlineStr">
        <is>
          <t>1995</t>
        </is>
      </c>
      <c r="O263" t="inlineStr">
        <is>
          <t>eng</t>
        </is>
      </c>
      <c r="P263" t="inlineStr">
        <is>
          <t>nhu</t>
        </is>
      </c>
      <c r="R263" t="inlineStr">
        <is>
          <t xml:space="preserve">PE </t>
        </is>
      </c>
      <c r="S263" t="n">
        <v>4</v>
      </c>
      <c r="T263" t="n">
        <v>4</v>
      </c>
      <c r="U263" t="inlineStr">
        <is>
          <t>2007-11-20</t>
        </is>
      </c>
      <c r="V263" t="inlineStr">
        <is>
          <t>2007-11-20</t>
        </is>
      </c>
      <c r="W263" t="inlineStr">
        <is>
          <t>1996-11-14</t>
        </is>
      </c>
      <c r="X263" t="inlineStr">
        <is>
          <t>1996-11-14</t>
        </is>
      </c>
      <c r="Y263" t="n">
        <v>332</v>
      </c>
      <c r="Z263" t="n">
        <v>308</v>
      </c>
      <c r="AA263" t="n">
        <v>311</v>
      </c>
      <c r="AB263" t="n">
        <v>5</v>
      </c>
      <c r="AC263" t="n">
        <v>5</v>
      </c>
      <c r="AD263" t="n">
        <v>23</v>
      </c>
      <c r="AE263" t="n">
        <v>23</v>
      </c>
      <c r="AF263" t="n">
        <v>5</v>
      </c>
      <c r="AG263" t="n">
        <v>5</v>
      </c>
      <c r="AH263" t="n">
        <v>7</v>
      </c>
      <c r="AI263" t="n">
        <v>7</v>
      </c>
      <c r="AJ263" t="n">
        <v>11</v>
      </c>
      <c r="AK263" t="n">
        <v>11</v>
      </c>
      <c r="AL263" t="n">
        <v>4</v>
      </c>
      <c r="AM263" t="n">
        <v>4</v>
      </c>
      <c r="AN263" t="n">
        <v>0</v>
      </c>
      <c r="AO263" t="n">
        <v>0</v>
      </c>
      <c r="AP263" t="inlineStr">
        <is>
          <t>No</t>
        </is>
      </c>
      <c r="AQ263" t="inlineStr">
        <is>
          <t>Yes</t>
        </is>
      </c>
      <c r="AR263">
        <f>HYPERLINK("http://catalog.hathitrust.org/Record/002977241","HathiTrust Record")</f>
        <v/>
      </c>
      <c r="AS263">
        <f>HYPERLINK("https://creighton-primo.hosted.exlibrisgroup.com/primo-explore/search?tab=default_tab&amp;search_scope=EVERYTHING&amp;vid=01CRU&amp;lang=en_US&amp;offset=0&amp;query=any,contains,991002398219702656","Catalog Record")</f>
        <v/>
      </c>
      <c r="AT263">
        <f>HYPERLINK("http://www.worldcat.org/oclc/31166827","WorldCat Record")</f>
        <v/>
      </c>
      <c r="AU263" t="inlineStr">
        <is>
          <t>32872395:eng</t>
        </is>
      </c>
      <c r="AV263" t="inlineStr">
        <is>
          <t>31166827</t>
        </is>
      </c>
      <c r="AW263" t="inlineStr">
        <is>
          <t>991002398219702656</t>
        </is>
      </c>
      <c r="AX263" t="inlineStr">
        <is>
          <t>991002398219702656</t>
        </is>
      </c>
      <c r="AY263" t="inlineStr">
        <is>
          <t>2271766070002656</t>
        </is>
      </c>
      <c r="AZ263" t="inlineStr">
        <is>
          <t>BOOK</t>
        </is>
      </c>
      <c r="BB263" t="inlineStr">
        <is>
          <t>9780867093537</t>
        </is>
      </c>
      <c r="BC263" t="inlineStr">
        <is>
          <t>32285002373099</t>
        </is>
      </c>
      <c r="BD263" t="inlineStr">
        <is>
          <t>893603551</t>
        </is>
      </c>
    </row>
    <row r="264">
      <c r="A264" t="inlineStr">
        <is>
          <t>No</t>
        </is>
      </c>
      <c r="B264" t="inlineStr">
        <is>
          <t>PE1405.U6 M66 2004</t>
        </is>
      </c>
      <c r="C264" t="inlineStr">
        <is>
          <t>0                      PE 1405000U  6                  M  66          2004</t>
        </is>
      </c>
      <c r="D264" t="inlineStr">
        <is>
          <t>Crossing the digital divide : race, writing, and technology in the classroom / Barbara Monroe ; foreword by Victor Villanueva.</t>
        </is>
      </c>
      <c r="F264" t="inlineStr">
        <is>
          <t>No</t>
        </is>
      </c>
      <c r="G264" t="inlineStr">
        <is>
          <t>1</t>
        </is>
      </c>
      <c r="H264" t="inlineStr">
        <is>
          <t>No</t>
        </is>
      </c>
      <c r="I264" t="inlineStr">
        <is>
          <t>No</t>
        </is>
      </c>
      <c r="J264" t="inlineStr">
        <is>
          <t>0</t>
        </is>
      </c>
      <c r="K264" t="inlineStr">
        <is>
          <t>Monroe, Barbara Jean, 1948-</t>
        </is>
      </c>
      <c r="L264" t="inlineStr">
        <is>
          <t>New York ; Teachers College Press, c2004.</t>
        </is>
      </c>
      <c r="M264" t="inlineStr">
        <is>
          <t>2004</t>
        </is>
      </c>
      <c r="O264" t="inlineStr">
        <is>
          <t>eng</t>
        </is>
      </c>
      <c r="P264" t="inlineStr">
        <is>
          <t>nyu</t>
        </is>
      </c>
      <c r="Q264" t="inlineStr">
        <is>
          <t>Language and literacy series</t>
        </is>
      </c>
      <c r="R264" t="inlineStr">
        <is>
          <t xml:space="preserve">PE </t>
        </is>
      </c>
      <c r="S264" t="n">
        <v>4</v>
      </c>
      <c r="T264" t="n">
        <v>4</v>
      </c>
      <c r="U264" t="inlineStr">
        <is>
          <t>2007-04-16</t>
        </is>
      </c>
      <c r="V264" t="inlineStr">
        <is>
          <t>2007-04-16</t>
        </is>
      </c>
      <c r="W264" t="inlineStr">
        <is>
          <t>2004-07-20</t>
        </is>
      </c>
      <c r="X264" t="inlineStr">
        <is>
          <t>2004-07-20</t>
        </is>
      </c>
      <c r="Y264" t="n">
        <v>686</v>
      </c>
      <c r="Z264" t="n">
        <v>615</v>
      </c>
      <c r="AA264" t="n">
        <v>677</v>
      </c>
      <c r="AB264" t="n">
        <v>4</v>
      </c>
      <c r="AC264" t="n">
        <v>4</v>
      </c>
      <c r="AD264" t="n">
        <v>32</v>
      </c>
      <c r="AE264" t="n">
        <v>32</v>
      </c>
      <c r="AF264" t="n">
        <v>14</v>
      </c>
      <c r="AG264" t="n">
        <v>14</v>
      </c>
      <c r="AH264" t="n">
        <v>7</v>
      </c>
      <c r="AI264" t="n">
        <v>7</v>
      </c>
      <c r="AJ264" t="n">
        <v>15</v>
      </c>
      <c r="AK264" t="n">
        <v>15</v>
      </c>
      <c r="AL264" t="n">
        <v>3</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HYPERLINK("https://creighton-primo.hosted.exlibrisgroup.com/primo-explore/search?tab=default_tab&amp;search_scope=EVERYTHING&amp;vid=01CRU&amp;lang=en_US&amp;offset=0&amp;query=any,contains,991004313979702656","Catalog Record")</f>
        <v/>
      </c>
      <c r="AT264">
        <f>HYPERLINK("http://www.worldcat.org/oclc/54046351","WorldCat Record")</f>
        <v/>
      </c>
      <c r="AU264" t="inlineStr">
        <is>
          <t>800392213:eng</t>
        </is>
      </c>
      <c r="AV264" t="inlineStr">
        <is>
          <t>54046351</t>
        </is>
      </c>
      <c r="AW264" t="inlineStr">
        <is>
          <t>991004313979702656</t>
        </is>
      </c>
      <c r="AX264" t="inlineStr">
        <is>
          <t>991004313979702656</t>
        </is>
      </c>
      <c r="AY264" t="inlineStr">
        <is>
          <t>2259400450002656</t>
        </is>
      </c>
      <c r="AZ264" t="inlineStr">
        <is>
          <t>BOOK</t>
        </is>
      </c>
      <c r="BB264" t="inlineStr">
        <is>
          <t>9780807744628</t>
        </is>
      </c>
      <c r="BC264" t="inlineStr">
        <is>
          <t>32285004924162</t>
        </is>
      </c>
      <c r="BD264" t="inlineStr">
        <is>
          <t>893535912</t>
        </is>
      </c>
    </row>
    <row r="265">
      <c r="A265" t="inlineStr">
        <is>
          <t>No</t>
        </is>
      </c>
      <c r="B265" t="inlineStr">
        <is>
          <t>PE1405.U6 N48 1994</t>
        </is>
      </c>
      <c r="C265" t="inlineStr">
        <is>
          <t>0                      PE 1405000U  6                  N  48          1994</t>
        </is>
      </c>
      <c r="D265" t="inlineStr">
        <is>
          <t>Conversations on writing fiction : interviews with thirteen distinguished teachers of fiction writing in America / Alexander Neubauer.</t>
        </is>
      </c>
      <c r="F265" t="inlineStr">
        <is>
          <t>No</t>
        </is>
      </c>
      <c r="G265" t="inlineStr">
        <is>
          <t>1</t>
        </is>
      </c>
      <c r="H265" t="inlineStr">
        <is>
          <t>No</t>
        </is>
      </c>
      <c r="I265" t="inlineStr">
        <is>
          <t>No</t>
        </is>
      </c>
      <c r="J265" t="inlineStr">
        <is>
          <t>0</t>
        </is>
      </c>
      <c r="K265" t="inlineStr">
        <is>
          <t>Neubauer, Alexander.</t>
        </is>
      </c>
      <c r="L265" t="inlineStr">
        <is>
          <t>New York : HarperPerennial, c1994.</t>
        </is>
      </c>
      <c r="M265" t="inlineStr">
        <is>
          <t>1994</t>
        </is>
      </c>
      <c r="N265" t="inlineStr">
        <is>
          <t>1st ed.</t>
        </is>
      </c>
      <c r="O265" t="inlineStr">
        <is>
          <t>eng</t>
        </is>
      </c>
      <c r="P265" t="inlineStr">
        <is>
          <t>nyu</t>
        </is>
      </c>
      <c r="R265" t="inlineStr">
        <is>
          <t xml:space="preserve">PE </t>
        </is>
      </c>
      <c r="S265" t="n">
        <v>3</v>
      </c>
      <c r="T265" t="n">
        <v>3</v>
      </c>
      <c r="U265" t="inlineStr">
        <is>
          <t>1999-07-02</t>
        </is>
      </c>
      <c r="V265" t="inlineStr">
        <is>
          <t>1999-07-02</t>
        </is>
      </c>
      <c r="W265" t="inlineStr">
        <is>
          <t>1999-04-28</t>
        </is>
      </c>
      <c r="X265" t="inlineStr">
        <is>
          <t>1999-04-28</t>
        </is>
      </c>
      <c r="Y265" t="n">
        <v>303</v>
      </c>
      <c r="Z265" t="n">
        <v>292</v>
      </c>
      <c r="AA265" t="n">
        <v>295</v>
      </c>
      <c r="AB265" t="n">
        <v>3</v>
      </c>
      <c r="AC265" t="n">
        <v>3</v>
      </c>
      <c r="AD265" t="n">
        <v>13</v>
      </c>
      <c r="AE265" t="n">
        <v>13</v>
      </c>
      <c r="AF265" t="n">
        <v>4</v>
      </c>
      <c r="AG265" t="n">
        <v>4</v>
      </c>
      <c r="AH265" t="n">
        <v>4</v>
      </c>
      <c r="AI265" t="n">
        <v>4</v>
      </c>
      <c r="AJ265" t="n">
        <v>5</v>
      </c>
      <c r="AK265" t="n">
        <v>5</v>
      </c>
      <c r="AL265" t="n">
        <v>2</v>
      </c>
      <c r="AM265" t="n">
        <v>2</v>
      </c>
      <c r="AN265" t="n">
        <v>0</v>
      </c>
      <c r="AO265" t="n">
        <v>0</v>
      </c>
      <c r="AP265" t="inlineStr">
        <is>
          <t>No</t>
        </is>
      </c>
      <c r="AQ265" t="inlineStr">
        <is>
          <t>Yes</t>
        </is>
      </c>
      <c r="AR265">
        <f>HYPERLINK("http://catalog.hathitrust.org/Record/004532096","HathiTrust Record")</f>
        <v/>
      </c>
      <c r="AS265">
        <f>HYPERLINK("https://creighton-primo.hosted.exlibrisgroup.com/primo-explore/search?tab=default_tab&amp;search_scope=EVERYTHING&amp;vid=01CRU&amp;lang=en_US&amp;offset=0&amp;query=any,contains,991002202009702656","Catalog Record")</f>
        <v/>
      </c>
      <c r="AT265">
        <f>HYPERLINK("http://www.worldcat.org/oclc/28332467","WorldCat Record")</f>
        <v/>
      </c>
      <c r="AU265" t="inlineStr">
        <is>
          <t>30792907:eng</t>
        </is>
      </c>
      <c r="AV265" t="inlineStr">
        <is>
          <t>28332467</t>
        </is>
      </c>
      <c r="AW265" t="inlineStr">
        <is>
          <t>991002202009702656</t>
        </is>
      </c>
      <c r="AX265" t="inlineStr">
        <is>
          <t>991002202009702656</t>
        </is>
      </c>
      <c r="AY265" t="inlineStr">
        <is>
          <t>2263148420002656</t>
        </is>
      </c>
      <c r="AZ265" t="inlineStr">
        <is>
          <t>BOOK</t>
        </is>
      </c>
      <c r="BB265" t="inlineStr">
        <is>
          <t>9780062715685</t>
        </is>
      </c>
      <c r="BC265" t="inlineStr">
        <is>
          <t>32285003557468</t>
        </is>
      </c>
      <c r="BD265" t="inlineStr">
        <is>
          <t>893873221</t>
        </is>
      </c>
    </row>
    <row r="266">
      <c r="A266" t="inlineStr">
        <is>
          <t>No</t>
        </is>
      </c>
      <c r="B266" t="inlineStr">
        <is>
          <t>PE1405.U6 P3 2000</t>
        </is>
      </c>
      <c r="C266" t="inlineStr">
        <is>
          <t>0                      PE 1405000U  6                  P  3           2000</t>
        </is>
      </c>
      <c r="D266" t="inlineStr">
        <is>
          <t>Class politics : the movement for the students' right to their own language / Stephen Parks.</t>
        </is>
      </c>
      <c r="F266" t="inlineStr">
        <is>
          <t>No</t>
        </is>
      </c>
      <c r="G266" t="inlineStr">
        <is>
          <t>1</t>
        </is>
      </c>
      <c r="H266" t="inlineStr">
        <is>
          <t>No</t>
        </is>
      </c>
      <c r="I266" t="inlineStr">
        <is>
          <t>No</t>
        </is>
      </c>
      <c r="J266" t="inlineStr">
        <is>
          <t>0</t>
        </is>
      </c>
      <c r="K266" t="inlineStr">
        <is>
          <t>Parks, Stephen, 1963-</t>
        </is>
      </c>
      <c r="L266" t="inlineStr">
        <is>
          <t>Urbana, Ill. : National Council of Teachers of English, c2000.</t>
        </is>
      </c>
      <c r="M266" t="inlineStr">
        <is>
          <t>2000</t>
        </is>
      </c>
      <c r="O266" t="inlineStr">
        <is>
          <t>eng</t>
        </is>
      </c>
      <c r="P266" t="inlineStr">
        <is>
          <t>ilu</t>
        </is>
      </c>
      <c r="Q266" t="inlineStr">
        <is>
          <t>Refiguring English studies, 1037-9637</t>
        </is>
      </c>
      <c r="R266" t="inlineStr">
        <is>
          <t xml:space="preserve">PE </t>
        </is>
      </c>
      <c r="S266" t="n">
        <v>2</v>
      </c>
      <c r="T266" t="n">
        <v>2</v>
      </c>
      <c r="U266" t="inlineStr">
        <is>
          <t>2003-10-16</t>
        </is>
      </c>
      <c r="V266" t="inlineStr">
        <is>
          <t>2003-10-16</t>
        </is>
      </c>
      <c r="W266" t="inlineStr">
        <is>
          <t>2003-10-16</t>
        </is>
      </c>
      <c r="X266" t="inlineStr">
        <is>
          <t>2003-10-16</t>
        </is>
      </c>
      <c r="Y266" t="n">
        <v>305</v>
      </c>
      <c r="Z266" t="n">
        <v>285</v>
      </c>
      <c r="AA266" t="n">
        <v>358</v>
      </c>
      <c r="AB266" t="n">
        <v>4</v>
      </c>
      <c r="AC266" t="n">
        <v>4</v>
      </c>
      <c r="AD266" t="n">
        <v>13</v>
      </c>
      <c r="AE266" t="n">
        <v>16</v>
      </c>
      <c r="AF266" t="n">
        <v>4</v>
      </c>
      <c r="AG266" t="n">
        <v>4</v>
      </c>
      <c r="AH266" t="n">
        <v>3</v>
      </c>
      <c r="AI266" t="n">
        <v>5</v>
      </c>
      <c r="AJ266" t="n">
        <v>5</v>
      </c>
      <c r="AK266" t="n">
        <v>7</v>
      </c>
      <c r="AL266" t="n">
        <v>3</v>
      </c>
      <c r="AM266" t="n">
        <v>3</v>
      </c>
      <c r="AN266" t="n">
        <v>0</v>
      </c>
      <c r="AO266" t="n">
        <v>0</v>
      </c>
      <c r="AP266" t="inlineStr">
        <is>
          <t>No</t>
        </is>
      </c>
      <c r="AQ266" t="inlineStr">
        <is>
          <t>Yes</t>
        </is>
      </c>
      <c r="AR266">
        <f>HYPERLINK("http://catalog.hathitrust.org/Record/004576472","HathiTrust Record")</f>
        <v/>
      </c>
      <c r="AS266">
        <f>HYPERLINK("https://creighton-primo.hosted.exlibrisgroup.com/primo-explore/search?tab=default_tab&amp;search_scope=EVERYTHING&amp;vid=01CRU&amp;lang=en_US&amp;offset=0&amp;query=any,contains,991004140679702656","Catalog Record")</f>
        <v/>
      </c>
      <c r="AT266">
        <f>HYPERLINK("http://www.worldcat.org/oclc/42861582","WorldCat Record")</f>
        <v/>
      </c>
      <c r="AU266" t="inlineStr">
        <is>
          <t>330726505:eng</t>
        </is>
      </c>
      <c r="AV266" t="inlineStr">
        <is>
          <t>42861582</t>
        </is>
      </c>
      <c r="AW266" t="inlineStr">
        <is>
          <t>991004140679702656</t>
        </is>
      </c>
      <c r="AX266" t="inlineStr">
        <is>
          <t>991004140679702656</t>
        </is>
      </c>
      <c r="AY266" t="inlineStr">
        <is>
          <t>2262106850002656</t>
        </is>
      </c>
      <c r="AZ266" t="inlineStr">
        <is>
          <t>BOOK</t>
        </is>
      </c>
      <c r="BB266" t="inlineStr">
        <is>
          <t>9780814106785</t>
        </is>
      </c>
      <c r="BC266" t="inlineStr">
        <is>
          <t>32285004789375</t>
        </is>
      </c>
      <c r="BD266" t="inlineStr">
        <is>
          <t>893806711</t>
        </is>
      </c>
    </row>
    <row r="267">
      <c r="A267" t="inlineStr">
        <is>
          <t>No</t>
        </is>
      </c>
      <c r="B267" t="inlineStr">
        <is>
          <t>PE1405.U6 S45 2004</t>
        </is>
      </c>
      <c r="C267" t="inlineStr">
        <is>
          <t>0                      PE 1405000U  6                  S  45          2004</t>
        </is>
      </c>
      <c r="D267" t="inlineStr">
        <is>
          <t>Who can afford critical consciousness? : practicing a pedagogy of humility / David Seitz.</t>
        </is>
      </c>
      <c r="F267" t="inlineStr">
        <is>
          <t>No</t>
        </is>
      </c>
      <c r="G267" t="inlineStr">
        <is>
          <t>1</t>
        </is>
      </c>
      <c r="H267" t="inlineStr">
        <is>
          <t>No</t>
        </is>
      </c>
      <c r="I267" t="inlineStr">
        <is>
          <t>No</t>
        </is>
      </c>
      <c r="J267" t="inlineStr">
        <is>
          <t>0</t>
        </is>
      </c>
      <c r="K267" t="inlineStr">
        <is>
          <t>Seitz, David.</t>
        </is>
      </c>
      <c r="L267" t="inlineStr">
        <is>
          <t>Cresskill, N.J. : Hampton Press, c2004.</t>
        </is>
      </c>
      <c r="M267" t="inlineStr">
        <is>
          <t>2004</t>
        </is>
      </c>
      <c r="O267" t="inlineStr">
        <is>
          <t>eng</t>
        </is>
      </c>
      <c r="P267" t="inlineStr">
        <is>
          <t>nju</t>
        </is>
      </c>
      <c r="Q267" t="inlineStr">
        <is>
          <t>Research and teaching in rhetoric and composition</t>
        </is>
      </c>
      <c r="R267" t="inlineStr">
        <is>
          <t xml:space="preserve">PE </t>
        </is>
      </c>
      <c r="S267" t="n">
        <v>2</v>
      </c>
      <c r="T267" t="n">
        <v>2</v>
      </c>
      <c r="U267" t="inlineStr">
        <is>
          <t>2006-05-11</t>
        </is>
      </c>
      <c r="V267" t="inlineStr">
        <is>
          <t>2006-05-11</t>
        </is>
      </c>
      <c r="W267" t="inlineStr">
        <is>
          <t>2006-05-11</t>
        </is>
      </c>
      <c r="X267" t="inlineStr">
        <is>
          <t>2006-05-11</t>
        </is>
      </c>
      <c r="Y267" t="n">
        <v>130</v>
      </c>
      <c r="Z267" t="n">
        <v>119</v>
      </c>
      <c r="AA267" t="n">
        <v>120</v>
      </c>
      <c r="AB267" t="n">
        <v>2</v>
      </c>
      <c r="AC267" t="n">
        <v>2</v>
      </c>
      <c r="AD267" t="n">
        <v>6</v>
      </c>
      <c r="AE267" t="n">
        <v>6</v>
      </c>
      <c r="AF267" t="n">
        <v>2</v>
      </c>
      <c r="AG267" t="n">
        <v>2</v>
      </c>
      <c r="AH267" t="n">
        <v>2</v>
      </c>
      <c r="AI267" t="n">
        <v>2</v>
      </c>
      <c r="AJ267" t="n">
        <v>4</v>
      </c>
      <c r="AK267" t="n">
        <v>4</v>
      </c>
      <c r="AL267" t="n">
        <v>1</v>
      </c>
      <c r="AM267" t="n">
        <v>1</v>
      </c>
      <c r="AN267" t="n">
        <v>0</v>
      </c>
      <c r="AO267" t="n">
        <v>0</v>
      </c>
      <c r="AP267" t="inlineStr">
        <is>
          <t>No</t>
        </is>
      </c>
      <c r="AQ267" t="inlineStr">
        <is>
          <t>Yes</t>
        </is>
      </c>
      <c r="AR267">
        <f>HYPERLINK("http://catalog.hathitrust.org/Record/004920178","HathiTrust Record")</f>
        <v/>
      </c>
      <c r="AS267">
        <f>HYPERLINK("https://creighton-primo.hosted.exlibrisgroup.com/primo-explore/search?tab=default_tab&amp;search_scope=EVERYTHING&amp;vid=01CRU&amp;lang=en_US&amp;offset=0&amp;query=any,contains,991004778209702656","Catalog Record")</f>
        <v/>
      </c>
      <c r="AT267">
        <f>HYPERLINK("http://www.worldcat.org/oclc/55729931","WorldCat Record")</f>
        <v/>
      </c>
      <c r="AU267" t="inlineStr">
        <is>
          <t>16223572:eng</t>
        </is>
      </c>
      <c r="AV267" t="inlineStr">
        <is>
          <t>55729931</t>
        </is>
      </c>
      <c r="AW267" t="inlineStr">
        <is>
          <t>991004778209702656</t>
        </is>
      </c>
      <c r="AX267" t="inlineStr">
        <is>
          <t>991004778209702656</t>
        </is>
      </c>
      <c r="AY267" t="inlineStr">
        <is>
          <t>2271911910002656</t>
        </is>
      </c>
      <c r="AZ267" t="inlineStr">
        <is>
          <t>BOOK</t>
        </is>
      </c>
      <c r="BB267" t="inlineStr">
        <is>
          <t>9781572735804</t>
        </is>
      </c>
      <c r="BC267" t="inlineStr">
        <is>
          <t>32285005186126</t>
        </is>
      </c>
      <c r="BD267" t="inlineStr">
        <is>
          <t>893430485</t>
        </is>
      </c>
    </row>
    <row r="268">
      <c r="A268" t="inlineStr">
        <is>
          <t>No</t>
        </is>
      </c>
      <c r="B268" t="inlineStr">
        <is>
          <t>PE1405.U6 S53 1997</t>
        </is>
      </c>
      <c r="C268" t="inlineStr">
        <is>
          <t>0                      PE 1405000U  6                  S  53          1997</t>
        </is>
      </c>
      <c r="D268" t="inlineStr">
        <is>
          <t>Sharing pedagogies : students &amp; teachers write about dialogic practices / edited and with an introduction by Gail Tayko and John Paul Tassoni ; foreword by Ira Shor.</t>
        </is>
      </c>
      <c r="F268" t="inlineStr">
        <is>
          <t>No</t>
        </is>
      </c>
      <c r="G268" t="inlineStr">
        <is>
          <t>1</t>
        </is>
      </c>
      <c r="H268" t="inlineStr">
        <is>
          <t>No</t>
        </is>
      </c>
      <c r="I268" t="inlineStr">
        <is>
          <t>No</t>
        </is>
      </c>
      <c r="J268" t="inlineStr">
        <is>
          <t>0</t>
        </is>
      </c>
      <c r="L268" t="inlineStr">
        <is>
          <t>Portsmouth, NH : Boynton/Cook Publishers, c1997.</t>
        </is>
      </c>
      <c r="M268" t="inlineStr">
        <is>
          <t>1997</t>
        </is>
      </c>
      <c r="O268" t="inlineStr">
        <is>
          <t>eng</t>
        </is>
      </c>
      <c r="P268" t="inlineStr">
        <is>
          <t>nhu</t>
        </is>
      </c>
      <c r="R268" t="inlineStr">
        <is>
          <t xml:space="preserve">PE </t>
        </is>
      </c>
      <c r="S268" t="n">
        <v>6</v>
      </c>
      <c r="T268" t="n">
        <v>6</v>
      </c>
      <c r="U268" t="inlineStr">
        <is>
          <t>2005-02-15</t>
        </is>
      </c>
      <c r="V268" t="inlineStr">
        <is>
          <t>2005-02-15</t>
        </is>
      </c>
      <c r="W268" t="inlineStr">
        <is>
          <t>1997-03-18</t>
        </is>
      </c>
      <c r="X268" t="inlineStr">
        <is>
          <t>1997-03-18</t>
        </is>
      </c>
      <c r="Y268" t="n">
        <v>174</v>
      </c>
      <c r="Z268" t="n">
        <v>163</v>
      </c>
      <c r="AA268" t="n">
        <v>165</v>
      </c>
      <c r="AB268" t="n">
        <v>3</v>
      </c>
      <c r="AC268" t="n">
        <v>3</v>
      </c>
      <c r="AD268" t="n">
        <v>9</v>
      </c>
      <c r="AE268" t="n">
        <v>9</v>
      </c>
      <c r="AF268" t="n">
        <v>1</v>
      </c>
      <c r="AG268" t="n">
        <v>1</v>
      </c>
      <c r="AH268" t="n">
        <v>3</v>
      </c>
      <c r="AI268" t="n">
        <v>3</v>
      </c>
      <c r="AJ268" t="n">
        <v>6</v>
      </c>
      <c r="AK268" t="n">
        <v>6</v>
      </c>
      <c r="AL268" t="n">
        <v>2</v>
      </c>
      <c r="AM268" t="n">
        <v>2</v>
      </c>
      <c r="AN268" t="n">
        <v>0</v>
      </c>
      <c r="AO268" t="n">
        <v>0</v>
      </c>
      <c r="AP268" t="inlineStr">
        <is>
          <t>No</t>
        </is>
      </c>
      <c r="AQ268" t="inlineStr">
        <is>
          <t>Yes</t>
        </is>
      </c>
      <c r="AR268">
        <f>HYPERLINK("http://catalog.hathitrust.org/Record/003978300","HathiTrust Record")</f>
        <v/>
      </c>
      <c r="AS268">
        <f>HYPERLINK("https://creighton-primo.hosted.exlibrisgroup.com/primo-explore/search?tab=default_tab&amp;search_scope=EVERYTHING&amp;vid=01CRU&amp;lang=en_US&amp;offset=0&amp;query=any,contains,991002691779702656","Catalog Record")</f>
        <v/>
      </c>
      <c r="AT268">
        <f>HYPERLINK("http://www.worldcat.org/oclc/35159194","WorldCat Record")</f>
        <v/>
      </c>
      <c r="AU268" t="inlineStr">
        <is>
          <t>39669653:eng</t>
        </is>
      </c>
      <c r="AV268" t="inlineStr">
        <is>
          <t>35159194</t>
        </is>
      </c>
      <c r="AW268" t="inlineStr">
        <is>
          <t>991002691779702656</t>
        </is>
      </c>
      <c r="AX268" t="inlineStr">
        <is>
          <t>991002691779702656</t>
        </is>
      </c>
      <c r="AY268" t="inlineStr">
        <is>
          <t>2262252240002656</t>
        </is>
      </c>
      <c r="AZ268" t="inlineStr">
        <is>
          <t>BOOK</t>
        </is>
      </c>
      <c r="BB268" t="inlineStr">
        <is>
          <t>9780867094121</t>
        </is>
      </c>
      <c r="BC268" t="inlineStr">
        <is>
          <t>32285002443868</t>
        </is>
      </c>
      <c r="BD268" t="inlineStr">
        <is>
          <t>893710556</t>
        </is>
      </c>
    </row>
    <row r="269">
      <c r="A269" t="inlineStr">
        <is>
          <t>No</t>
        </is>
      </c>
      <c r="B269" t="inlineStr">
        <is>
          <t>PE1405.U6 V37 1996</t>
        </is>
      </c>
      <c r="C269" t="inlineStr">
        <is>
          <t>0                      PE 1405000U  6                  V  37          1996</t>
        </is>
      </c>
      <c r="D269" t="inlineStr">
        <is>
          <t>Fencing with words : a history of writing instruction at Amherst College during the era of Theodore Baird, 1938-1966 / Robin Varnum.</t>
        </is>
      </c>
      <c r="F269" t="inlineStr">
        <is>
          <t>No</t>
        </is>
      </c>
      <c r="G269" t="inlineStr">
        <is>
          <t>1</t>
        </is>
      </c>
      <c r="H269" t="inlineStr">
        <is>
          <t>No</t>
        </is>
      </c>
      <c r="I269" t="inlineStr">
        <is>
          <t>No</t>
        </is>
      </c>
      <c r="J269" t="inlineStr">
        <is>
          <t>0</t>
        </is>
      </c>
      <c r="K269" t="inlineStr">
        <is>
          <t>Varnum, Robin, 1950-</t>
        </is>
      </c>
      <c r="L269" t="inlineStr">
        <is>
          <t>Urbana, Ill. : National Council of Teachers of English, c1996.</t>
        </is>
      </c>
      <c r="M269" t="inlineStr">
        <is>
          <t>1996</t>
        </is>
      </c>
      <c r="O269" t="inlineStr">
        <is>
          <t>eng</t>
        </is>
      </c>
      <c r="P269" t="inlineStr">
        <is>
          <t>ilu</t>
        </is>
      </c>
      <c r="Q269" t="inlineStr">
        <is>
          <t>Refiguring English studies</t>
        </is>
      </c>
      <c r="R269" t="inlineStr">
        <is>
          <t xml:space="preserve">PE </t>
        </is>
      </c>
      <c r="S269" t="n">
        <v>7</v>
      </c>
      <c r="T269" t="n">
        <v>7</v>
      </c>
      <c r="U269" t="inlineStr">
        <is>
          <t>2006-03-09</t>
        </is>
      </c>
      <c r="V269" t="inlineStr">
        <is>
          <t>2006-03-09</t>
        </is>
      </c>
      <c r="W269" t="inlineStr">
        <is>
          <t>1996-05-16</t>
        </is>
      </c>
      <c r="X269" t="inlineStr">
        <is>
          <t>1996-05-16</t>
        </is>
      </c>
      <c r="Y269" t="n">
        <v>119</v>
      </c>
      <c r="Z269" t="n">
        <v>115</v>
      </c>
      <c r="AA269" t="n">
        <v>117</v>
      </c>
      <c r="AB269" t="n">
        <v>1</v>
      </c>
      <c r="AC269" t="n">
        <v>1</v>
      </c>
      <c r="AD269" t="n">
        <v>7</v>
      </c>
      <c r="AE269" t="n">
        <v>7</v>
      </c>
      <c r="AF269" t="n">
        <v>2</v>
      </c>
      <c r="AG269" t="n">
        <v>2</v>
      </c>
      <c r="AH269" t="n">
        <v>3</v>
      </c>
      <c r="AI269" t="n">
        <v>3</v>
      </c>
      <c r="AJ269" t="n">
        <v>3</v>
      </c>
      <c r="AK269" t="n">
        <v>3</v>
      </c>
      <c r="AL269" t="n">
        <v>0</v>
      </c>
      <c r="AM269" t="n">
        <v>0</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HYPERLINK("https://creighton-primo.hosted.exlibrisgroup.com/primo-explore/search?tab=default_tab&amp;search_scope=EVERYTHING&amp;vid=01CRU&amp;lang=en_US&amp;offset=0&amp;query=any,contains,991002605259702656","Catalog Record")</f>
        <v/>
      </c>
      <c r="AT269">
        <f>HYPERLINK("http://www.worldcat.org/oclc/34117601","WorldCat Record")</f>
        <v/>
      </c>
      <c r="AU269" t="inlineStr">
        <is>
          <t>3740830358:eng</t>
        </is>
      </c>
      <c r="AV269" t="inlineStr">
        <is>
          <t>34117601</t>
        </is>
      </c>
      <c r="AW269" t="inlineStr">
        <is>
          <t>991002605259702656</t>
        </is>
      </c>
      <c r="AX269" t="inlineStr">
        <is>
          <t>991002605259702656</t>
        </is>
      </c>
      <c r="AY269" t="inlineStr">
        <is>
          <t>2272116960002656</t>
        </is>
      </c>
      <c r="AZ269" t="inlineStr">
        <is>
          <t>BOOK</t>
        </is>
      </c>
      <c r="BB269" t="inlineStr">
        <is>
          <t>9780814116777</t>
        </is>
      </c>
      <c r="BC269" t="inlineStr">
        <is>
          <t>32285002169299</t>
        </is>
      </c>
      <c r="BD269" t="inlineStr">
        <is>
          <t>893245374</t>
        </is>
      </c>
    </row>
    <row r="270">
      <c r="A270" t="inlineStr">
        <is>
          <t>No</t>
        </is>
      </c>
      <c r="B270" t="inlineStr">
        <is>
          <t>PE1405.U6 W47 2005</t>
        </is>
      </c>
      <c r="C270" t="inlineStr">
        <is>
          <t>0                      PE 1405000U  6                  W  47          2005</t>
        </is>
      </c>
      <c r="D270" t="inlineStr">
        <is>
          <t>Teaching and evaluating writing in the age of computers and high-stakes testing / Carl Whithaus.</t>
        </is>
      </c>
      <c r="F270" t="inlineStr">
        <is>
          <t>No</t>
        </is>
      </c>
      <c r="G270" t="inlineStr">
        <is>
          <t>1</t>
        </is>
      </c>
      <c r="H270" t="inlineStr">
        <is>
          <t>No</t>
        </is>
      </c>
      <c r="I270" t="inlineStr">
        <is>
          <t>No</t>
        </is>
      </c>
      <c r="J270" t="inlineStr">
        <is>
          <t>0</t>
        </is>
      </c>
      <c r="K270" t="inlineStr">
        <is>
          <t>Whithaus, Carl.</t>
        </is>
      </c>
      <c r="L270" t="inlineStr">
        <is>
          <t>Mahwah, N.J. : Lawrence Erlbaum Associates, 2005.</t>
        </is>
      </c>
      <c r="M270" t="inlineStr">
        <is>
          <t>2005</t>
        </is>
      </c>
      <c r="O270" t="inlineStr">
        <is>
          <t>eng</t>
        </is>
      </c>
      <c r="P270" t="inlineStr">
        <is>
          <t>nju</t>
        </is>
      </c>
      <c r="R270" t="inlineStr">
        <is>
          <t xml:space="preserve">PE </t>
        </is>
      </c>
      <c r="S270" t="n">
        <v>5</v>
      </c>
      <c r="T270" t="n">
        <v>5</v>
      </c>
      <c r="U270" t="inlineStr">
        <is>
          <t>2009-02-28</t>
        </is>
      </c>
      <c r="V270" t="inlineStr">
        <is>
          <t>2009-02-28</t>
        </is>
      </c>
      <c r="W270" t="inlineStr">
        <is>
          <t>2005-06-22</t>
        </is>
      </c>
      <c r="X270" t="inlineStr">
        <is>
          <t>2005-06-22</t>
        </is>
      </c>
      <c r="Y270" t="n">
        <v>444</v>
      </c>
      <c r="Z270" t="n">
        <v>398</v>
      </c>
      <c r="AA270" t="n">
        <v>419</v>
      </c>
      <c r="AB270" t="n">
        <v>3</v>
      </c>
      <c r="AC270" t="n">
        <v>3</v>
      </c>
      <c r="AD270" t="n">
        <v>19</v>
      </c>
      <c r="AE270" t="n">
        <v>19</v>
      </c>
      <c r="AF270" t="n">
        <v>10</v>
      </c>
      <c r="AG270" t="n">
        <v>10</v>
      </c>
      <c r="AH270" t="n">
        <v>3</v>
      </c>
      <c r="AI270" t="n">
        <v>3</v>
      </c>
      <c r="AJ270" t="n">
        <v>8</v>
      </c>
      <c r="AK270" t="n">
        <v>8</v>
      </c>
      <c r="AL270" t="n">
        <v>2</v>
      </c>
      <c r="AM270" t="n">
        <v>2</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HYPERLINK("https://creighton-primo.hosted.exlibrisgroup.com/primo-explore/search?tab=default_tab&amp;search_scope=EVERYTHING&amp;vid=01CRU&amp;lang=en_US&amp;offset=0&amp;query=any,contains,991004581059702656","Catalog Record")</f>
        <v/>
      </c>
      <c r="AT270">
        <f>HYPERLINK("http://www.worldcat.org/oclc/60193518","WorldCat Record")</f>
        <v/>
      </c>
      <c r="AU270" t="inlineStr">
        <is>
          <t>2116276:eng</t>
        </is>
      </c>
      <c r="AV270" t="inlineStr">
        <is>
          <t>60193518</t>
        </is>
      </c>
      <c r="AW270" t="inlineStr">
        <is>
          <t>991004581059702656</t>
        </is>
      </c>
      <c r="AX270" t="inlineStr">
        <is>
          <t>991004581059702656</t>
        </is>
      </c>
      <c r="AY270" t="inlineStr">
        <is>
          <t>2256654570002656</t>
        </is>
      </c>
      <c r="AZ270" t="inlineStr">
        <is>
          <t>BOOK</t>
        </is>
      </c>
      <c r="BB270" t="inlineStr">
        <is>
          <t>9780805847994</t>
        </is>
      </c>
      <c r="BC270" t="inlineStr">
        <is>
          <t>32285005094114</t>
        </is>
      </c>
      <c r="BD270" t="inlineStr">
        <is>
          <t>893442773</t>
        </is>
      </c>
    </row>
    <row r="271">
      <c r="A271" t="inlineStr">
        <is>
          <t>No</t>
        </is>
      </c>
      <c r="B271" t="inlineStr">
        <is>
          <t>PE1405.U6 W55 2005</t>
        </is>
      </c>
      <c r="C271" t="inlineStr">
        <is>
          <t>0                      PE 1405000U  6                  W  55          2005</t>
        </is>
      </c>
      <c r="D271" t="inlineStr">
        <is>
          <t>Storyteller : writing lessons and more from 27 years of the Clarion Writers' Workshop / Kate Wilhelm.</t>
        </is>
      </c>
      <c r="F271" t="inlineStr">
        <is>
          <t>No</t>
        </is>
      </c>
      <c r="G271" t="inlineStr">
        <is>
          <t>1</t>
        </is>
      </c>
      <c r="H271" t="inlineStr">
        <is>
          <t>No</t>
        </is>
      </c>
      <c r="I271" t="inlineStr">
        <is>
          <t>No</t>
        </is>
      </c>
      <c r="J271" t="inlineStr">
        <is>
          <t>0</t>
        </is>
      </c>
      <c r="K271" t="inlineStr">
        <is>
          <t>Wilhelm, Kate.</t>
        </is>
      </c>
      <c r="L271" t="inlineStr">
        <is>
          <t>Northampton, MA : Small Beer Press : Distributed to the trade by SCB Distributors, c2005.</t>
        </is>
      </c>
      <c r="M271" t="inlineStr">
        <is>
          <t>2005</t>
        </is>
      </c>
      <c r="O271" t="inlineStr">
        <is>
          <t>eng</t>
        </is>
      </c>
      <c r="P271" t="inlineStr">
        <is>
          <t>mau</t>
        </is>
      </c>
      <c r="R271" t="inlineStr">
        <is>
          <t xml:space="preserve">PE </t>
        </is>
      </c>
      <c r="S271" t="n">
        <v>2</v>
      </c>
      <c r="T271" t="n">
        <v>2</v>
      </c>
      <c r="U271" t="inlineStr">
        <is>
          <t>2007-08-29</t>
        </is>
      </c>
      <c r="V271" t="inlineStr">
        <is>
          <t>2007-08-29</t>
        </is>
      </c>
      <c r="W271" t="inlineStr">
        <is>
          <t>2007-08-29</t>
        </is>
      </c>
      <c r="X271" t="inlineStr">
        <is>
          <t>2007-08-29</t>
        </is>
      </c>
      <c r="Y271" t="n">
        <v>168</v>
      </c>
      <c r="Z271" t="n">
        <v>152</v>
      </c>
      <c r="AA271" t="n">
        <v>169</v>
      </c>
      <c r="AB271" t="n">
        <v>1</v>
      </c>
      <c r="AC271" t="n">
        <v>2</v>
      </c>
      <c r="AD271" t="n">
        <v>5</v>
      </c>
      <c r="AE271" t="n">
        <v>7</v>
      </c>
      <c r="AF271" t="n">
        <v>1</v>
      </c>
      <c r="AG271" t="n">
        <v>2</v>
      </c>
      <c r="AH271" t="n">
        <v>3</v>
      </c>
      <c r="AI271" t="n">
        <v>4</v>
      </c>
      <c r="AJ271" t="n">
        <v>3</v>
      </c>
      <c r="AK271" t="n">
        <v>3</v>
      </c>
      <c r="AL271" t="n">
        <v>0</v>
      </c>
      <c r="AM271" t="n">
        <v>1</v>
      </c>
      <c r="AN271" t="n">
        <v>0</v>
      </c>
      <c r="AO271" t="n">
        <v>0</v>
      </c>
      <c r="AP271" t="inlineStr">
        <is>
          <t>No</t>
        </is>
      </c>
      <c r="AQ271" t="inlineStr">
        <is>
          <t>Yes</t>
        </is>
      </c>
      <c r="AR271">
        <f>HYPERLINK("http://catalog.hathitrust.org/Record/005089545","HathiTrust Record")</f>
        <v/>
      </c>
      <c r="AS271">
        <f>HYPERLINK("https://creighton-primo.hosted.exlibrisgroup.com/primo-explore/search?tab=default_tab&amp;search_scope=EVERYTHING&amp;vid=01CRU&amp;lang=en_US&amp;offset=0&amp;query=any,contains,991004976909702656","Catalog Record")</f>
        <v/>
      </c>
      <c r="AT271">
        <f>HYPERLINK("http://www.worldcat.org/oclc/60375391","WorldCat Record")</f>
        <v/>
      </c>
      <c r="AU271" t="inlineStr">
        <is>
          <t>198248605:eng</t>
        </is>
      </c>
      <c r="AV271" t="inlineStr">
        <is>
          <t>60375391</t>
        </is>
      </c>
      <c r="AW271" t="inlineStr">
        <is>
          <t>991004976909702656</t>
        </is>
      </c>
      <c r="AX271" t="inlineStr">
        <is>
          <t>991004976909702656</t>
        </is>
      </c>
      <c r="AY271" t="inlineStr">
        <is>
          <t>2270673160002656</t>
        </is>
      </c>
      <c r="AZ271" t="inlineStr">
        <is>
          <t>BOOK</t>
        </is>
      </c>
      <c r="BB271" t="inlineStr">
        <is>
          <t>9781931520164</t>
        </is>
      </c>
      <c r="BC271" t="inlineStr">
        <is>
          <t>32285005323323</t>
        </is>
      </c>
      <c r="BD271" t="inlineStr">
        <is>
          <t>893688432</t>
        </is>
      </c>
    </row>
    <row r="272">
      <c r="A272" t="inlineStr">
        <is>
          <t>No</t>
        </is>
      </c>
      <c r="B272" t="inlineStr">
        <is>
          <t>PE1405.U6 W75 1997</t>
        </is>
      </c>
      <c r="C272" t="inlineStr">
        <is>
          <t>0                      PE 1405000U  6                  W  75          1997</t>
        </is>
      </c>
      <c r="D272" t="inlineStr">
        <is>
          <t>Writing in multicultural settings / edited by Carol Severino, Juan C. Guerra, and Johnnella E. Butler.</t>
        </is>
      </c>
      <c r="F272" t="inlineStr">
        <is>
          <t>No</t>
        </is>
      </c>
      <c r="G272" t="inlineStr">
        <is>
          <t>1</t>
        </is>
      </c>
      <c r="H272" t="inlineStr">
        <is>
          <t>No</t>
        </is>
      </c>
      <c r="I272" t="inlineStr">
        <is>
          <t>No</t>
        </is>
      </c>
      <c r="J272" t="inlineStr">
        <is>
          <t>0</t>
        </is>
      </c>
      <c r="L272" t="inlineStr">
        <is>
          <t>New York : Modern Language Association of America, 1997.</t>
        </is>
      </c>
      <c r="M272" t="inlineStr">
        <is>
          <t>1997</t>
        </is>
      </c>
      <c r="O272" t="inlineStr">
        <is>
          <t>eng</t>
        </is>
      </c>
      <c r="P272" t="inlineStr">
        <is>
          <t>nyu</t>
        </is>
      </c>
      <c r="Q272" t="inlineStr">
        <is>
          <t>Research and scholarship in composition ; 5</t>
        </is>
      </c>
      <c r="R272" t="inlineStr">
        <is>
          <t xml:space="preserve">PE </t>
        </is>
      </c>
      <c r="S272" t="n">
        <v>2</v>
      </c>
      <c r="T272" t="n">
        <v>2</v>
      </c>
      <c r="U272" t="inlineStr">
        <is>
          <t>2008-06-05</t>
        </is>
      </c>
      <c r="V272" t="inlineStr">
        <is>
          <t>2008-06-05</t>
        </is>
      </c>
      <c r="W272" t="inlineStr">
        <is>
          <t>2008-06-05</t>
        </is>
      </c>
      <c r="X272" t="inlineStr">
        <is>
          <t>2008-06-05</t>
        </is>
      </c>
      <c r="Y272" t="n">
        <v>672</v>
      </c>
      <c r="Z272" t="n">
        <v>591</v>
      </c>
      <c r="AA272" t="n">
        <v>592</v>
      </c>
      <c r="AB272" t="n">
        <v>5</v>
      </c>
      <c r="AC272" t="n">
        <v>5</v>
      </c>
      <c r="AD272" t="n">
        <v>35</v>
      </c>
      <c r="AE272" t="n">
        <v>35</v>
      </c>
      <c r="AF272" t="n">
        <v>14</v>
      </c>
      <c r="AG272" t="n">
        <v>14</v>
      </c>
      <c r="AH272" t="n">
        <v>9</v>
      </c>
      <c r="AI272" t="n">
        <v>9</v>
      </c>
      <c r="AJ272" t="n">
        <v>16</v>
      </c>
      <c r="AK272" t="n">
        <v>16</v>
      </c>
      <c r="AL272" t="n">
        <v>4</v>
      </c>
      <c r="AM272" t="n">
        <v>4</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HYPERLINK("https://creighton-primo.hosted.exlibrisgroup.com/primo-explore/search?tab=default_tab&amp;search_scope=EVERYTHING&amp;vid=01CRU&amp;lang=en_US&amp;offset=0&amp;query=any,contains,991005227249702656","Catalog Record")</f>
        <v/>
      </c>
      <c r="AT272">
        <f>HYPERLINK("http://www.worldcat.org/oclc/35990307","WorldCat Record")</f>
        <v/>
      </c>
      <c r="AU272" t="inlineStr">
        <is>
          <t>356003798:eng</t>
        </is>
      </c>
      <c r="AV272" t="inlineStr">
        <is>
          <t>35990307</t>
        </is>
      </c>
      <c r="AW272" t="inlineStr">
        <is>
          <t>991005227249702656</t>
        </is>
      </c>
      <c r="AX272" t="inlineStr">
        <is>
          <t>991005227249702656</t>
        </is>
      </c>
      <c r="AY272" t="inlineStr">
        <is>
          <t>2264458190002656</t>
        </is>
      </c>
      <c r="AZ272" t="inlineStr">
        <is>
          <t>BOOK</t>
        </is>
      </c>
      <c r="BB272" t="inlineStr">
        <is>
          <t>9780873525831</t>
        </is>
      </c>
      <c r="BC272" t="inlineStr">
        <is>
          <t>32285005442875</t>
        </is>
      </c>
      <c r="BD272" t="inlineStr">
        <is>
          <t>893260768</t>
        </is>
      </c>
    </row>
    <row r="273">
      <c r="A273" t="inlineStr">
        <is>
          <t>No</t>
        </is>
      </c>
      <c r="B273" t="inlineStr">
        <is>
          <t>PE1405.U6 W757 2007</t>
        </is>
      </c>
      <c r="C273" t="inlineStr">
        <is>
          <t>0                      PE 1405000U  6                  W  757         2007</t>
        </is>
      </c>
      <c r="D273" t="inlineStr">
        <is>
          <t>Writing program administration / [edited by] Susan H. McLeod.</t>
        </is>
      </c>
      <c r="F273" t="inlineStr">
        <is>
          <t>No</t>
        </is>
      </c>
      <c r="G273" t="inlineStr">
        <is>
          <t>1</t>
        </is>
      </c>
      <c r="H273" t="inlineStr">
        <is>
          <t>No</t>
        </is>
      </c>
      <c r="I273" t="inlineStr">
        <is>
          <t>No</t>
        </is>
      </c>
      <c r="J273" t="inlineStr">
        <is>
          <t>0</t>
        </is>
      </c>
      <c r="L273" t="inlineStr">
        <is>
          <t>West Lafayette, Ind. : Parlor Press ; [Colo.] : WAC Clearinghouse, c2007.</t>
        </is>
      </c>
      <c r="M273" t="inlineStr">
        <is>
          <t>2007</t>
        </is>
      </c>
      <c r="O273" t="inlineStr">
        <is>
          <t>eng</t>
        </is>
      </c>
      <c r="P273" t="inlineStr">
        <is>
          <t>inu</t>
        </is>
      </c>
      <c r="Q273" t="inlineStr">
        <is>
          <t>Reference guides to rhetoric and composition</t>
        </is>
      </c>
      <c r="R273" t="inlineStr">
        <is>
          <t xml:space="preserve">PE </t>
        </is>
      </c>
      <c r="S273" t="n">
        <v>2</v>
      </c>
      <c r="T273" t="n">
        <v>2</v>
      </c>
      <c r="U273" t="inlineStr">
        <is>
          <t>2009-03-26</t>
        </is>
      </c>
      <c r="V273" t="inlineStr">
        <is>
          <t>2009-03-26</t>
        </is>
      </c>
      <c r="W273" t="inlineStr">
        <is>
          <t>2007-11-13</t>
        </is>
      </c>
      <c r="X273" t="inlineStr">
        <is>
          <t>2007-11-13</t>
        </is>
      </c>
      <c r="Y273" t="n">
        <v>77</v>
      </c>
      <c r="Z273" t="n">
        <v>60</v>
      </c>
      <c r="AA273" t="n">
        <v>151</v>
      </c>
      <c r="AB273" t="n">
        <v>1</v>
      </c>
      <c r="AC273" t="n">
        <v>2</v>
      </c>
      <c r="AD273" t="n">
        <v>1</v>
      </c>
      <c r="AE273" t="n">
        <v>4</v>
      </c>
      <c r="AF273" t="n">
        <v>1</v>
      </c>
      <c r="AG273" t="n">
        <v>1</v>
      </c>
      <c r="AH273" t="n">
        <v>0</v>
      </c>
      <c r="AI273" t="n">
        <v>1</v>
      </c>
      <c r="AJ273" t="n">
        <v>0</v>
      </c>
      <c r="AK273" t="n">
        <v>1</v>
      </c>
      <c r="AL273" t="n">
        <v>0</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HYPERLINK("https://creighton-primo.hosted.exlibrisgroup.com/primo-explore/search?tab=default_tab&amp;search_scope=EVERYTHING&amp;vid=01CRU&amp;lang=en_US&amp;offset=0&amp;query=any,contains,991005143939702656","Catalog Record")</f>
        <v/>
      </c>
      <c r="AT273">
        <f>HYPERLINK("http://www.worldcat.org/oclc/85862254","WorldCat Record")</f>
        <v/>
      </c>
      <c r="AU273" t="inlineStr">
        <is>
          <t>69758289:eng</t>
        </is>
      </c>
      <c r="AV273" t="inlineStr">
        <is>
          <t>85862254</t>
        </is>
      </c>
      <c r="AW273" t="inlineStr">
        <is>
          <t>991005143939702656</t>
        </is>
      </c>
      <c r="AX273" t="inlineStr">
        <is>
          <t>991005143939702656</t>
        </is>
      </c>
      <c r="AY273" t="inlineStr">
        <is>
          <t>2267426740002656</t>
        </is>
      </c>
      <c r="AZ273" t="inlineStr">
        <is>
          <t>BOOK</t>
        </is>
      </c>
      <c r="BB273" t="inlineStr">
        <is>
          <t>9781602350076</t>
        </is>
      </c>
      <c r="BC273" t="inlineStr">
        <is>
          <t>32285005366892</t>
        </is>
      </c>
      <c r="BD273" t="inlineStr">
        <is>
          <t>893776907</t>
        </is>
      </c>
    </row>
    <row r="274">
      <c r="A274" t="inlineStr">
        <is>
          <t>No</t>
        </is>
      </c>
      <c r="B274" t="inlineStr">
        <is>
          <t>PE1407 .S65 1983</t>
        </is>
      </c>
      <c r="C274" t="inlineStr">
        <is>
          <t>0                      PE 1407000S  65          1983</t>
        </is>
      </c>
      <c r="D274" t="inlineStr">
        <is>
          <t>Lectures on rhetoric and belles lettres / Adam Smith ; edited by J.C. Bryce.</t>
        </is>
      </c>
      <c r="F274" t="inlineStr">
        <is>
          <t>No</t>
        </is>
      </c>
      <c r="G274" t="inlineStr">
        <is>
          <t>1</t>
        </is>
      </c>
      <c r="H274" t="inlineStr">
        <is>
          <t>No</t>
        </is>
      </c>
      <c r="I274" t="inlineStr">
        <is>
          <t>No</t>
        </is>
      </c>
      <c r="J274" t="inlineStr">
        <is>
          <t>0</t>
        </is>
      </c>
      <c r="K274" t="inlineStr">
        <is>
          <t>Smith, Adam, 1723-1790.</t>
        </is>
      </c>
      <c r="L274" t="inlineStr">
        <is>
          <t>Oxford [Oxfordshire] : Clarendon Press ; New York : Oxford University Press, 1983.</t>
        </is>
      </c>
      <c r="M274" t="inlineStr">
        <is>
          <t>1983</t>
        </is>
      </c>
      <c r="O274" t="inlineStr">
        <is>
          <t>eng</t>
        </is>
      </c>
      <c r="P274" t="inlineStr">
        <is>
          <t>enk</t>
        </is>
      </c>
      <c r="Q274" t="inlineStr">
        <is>
          <t>The Glasgow edition of the works and correspondence of Adam Smith ; v. 4</t>
        </is>
      </c>
      <c r="R274" t="inlineStr">
        <is>
          <t xml:space="preserve">PE </t>
        </is>
      </c>
      <c r="S274" t="n">
        <v>2</v>
      </c>
      <c r="T274" t="n">
        <v>2</v>
      </c>
      <c r="U274" t="inlineStr">
        <is>
          <t>2004-12-08</t>
        </is>
      </c>
      <c r="V274" t="inlineStr">
        <is>
          <t>2004-12-08</t>
        </is>
      </c>
      <c r="W274" t="inlineStr">
        <is>
          <t>2004-12-08</t>
        </is>
      </c>
      <c r="X274" t="inlineStr">
        <is>
          <t>2004-12-08</t>
        </is>
      </c>
      <c r="Y274" t="n">
        <v>357</v>
      </c>
      <c r="Z274" t="n">
        <v>217</v>
      </c>
      <c r="AA274" t="n">
        <v>541</v>
      </c>
      <c r="AB274" t="n">
        <v>3</v>
      </c>
      <c r="AC274" t="n">
        <v>5</v>
      </c>
      <c r="AD274" t="n">
        <v>14</v>
      </c>
      <c r="AE274" t="n">
        <v>29</v>
      </c>
      <c r="AF274" t="n">
        <v>3</v>
      </c>
      <c r="AG274" t="n">
        <v>10</v>
      </c>
      <c r="AH274" t="n">
        <v>5</v>
      </c>
      <c r="AI274" t="n">
        <v>7</v>
      </c>
      <c r="AJ274" t="n">
        <v>8</v>
      </c>
      <c r="AK274" t="n">
        <v>14</v>
      </c>
      <c r="AL274" t="n">
        <v>2</v>
      </c>
      <c r="AM274" t="n">
        <v>4</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HYPERLINK("https://creighton-primo.hosted.exlibrisgroup.com/primo-explore/search?tab=default_tab&amp;search_scope=EVERYTHING&amp;vid=01CRU&amp;lang=en_US&amp;offset=0&amp;query=any,contains,991004432809702656","Catalog Record")</f>
        <v/>
      </c>
      <c r="AT274">
        <f>HYPERLINK("http://www.worldcat.org/oclc/7946427","WorldCat Record")</f>
        <v/>
      </c>
      <c r="AU274" t="inlineStr">
        <is>
          <t>4918090171:eng</t>
        </is>
      </c>
      <c r="AV274" t="inlineStr">
        <is>
          <t>7946427</t>
        </is>
      </c>
      <c r="AW274" t="inlineStr">
        <is>
          <t>991004432809702656</t>
        </is>
      </c>
      <c r="AX274" t="inlineStr">
        <is>
          <t>991004432809702656</t>
        </is>
      </c>
      <c r="AY274" t="inlineStr">
        <is>
          <t>2272629440002656</t>
        </is>
      </c>
      <c r="AZ274" t="inlineStr">
        <is>
          <t>BOOK</t>
        </is>
      </c>
      <c r="BB274" t="inlineStr">
        <is>
          <t>9780198281863</t>
        </is>
      </c>
      <c r="BC274" t="inlineStr">
        <is>
          <t>32285005012942</t>
        </is>
      </c>
      <c r="BD274" t="inlineStr">
        <is>
          <t>893788693</t>
        </is>
      </c>
    </row>
    <row r="275">
      <c r="A275" t="inlineStr">
        <is>
          <t>No</t>
        </is>
      </c>
      <c r="B275" t="inlineStr">
        <is>
          <t>PE1408 .A6</t>
        </is>
      </c>
      <c r="C275" t="inlineStr">
        <is>
          <t>0                      PE 1408000A  6</t>
        </is>
      </c>
      <c r="D275" t="inlineStr">
        <is>
          <t>Writing; growth through structure [by] Clarence A. Andrews.</t>
        </is>
      </c>
      <c r="F275" t="inlineStr">
        <is>
          <t>No</t>
        </is>
      </c>
      <c r="G275" t="inlineStr">
        <is>
          <t>1</t>
        </is>
      </c>
      <c r="H275" t="inlineStr">
        <is>
          <t>No</t>
        </is>
      </c>
      <c r="I275" t="inlineStr">
        <is>
          <t>No</t>
        </is>
      </c>
      <c r="J275" t="inlineStr">
        <is>
          <t>0</t>
        </is>
      </c>
      <c r="K275" t="inlineStr">
        <is>
          <t>Andrews, Clarence A.</t>
        </is>
      </c>
      <c r="L275" t="inlineStr">
        <is>
          <t>Beverly Hills, Calif., Glencoe Press [1972]</t>
        </is>
      </c>
      <c r="M275" t="inlineStr">
        <is>
          <t>1972</t>
        </is>
      </c>
      <c r="O275" t="inlineStr">
        <is>
          <t>eng</t>
        </is>
      </c>
      <c r="P275" t="inlineStr">
        <is>
          <t>cau</t>
        </is>
      </c>
      <c r="R275" t="inlineStr">
        <is>
          <t xml:space="preserve">PE </t>
        </is>
      </c>
      <c r="S275" t="n">
        <v>5</v>
      </c>
      <c r="T275" t="n">
        <v>5</v>
      </c>
      <c r="U275" t="inlineStr">
        <is>
          <t>2000-04-02</t>
        </is>
      </c>
      <c r="V275" t="inlineStr">
        <is>
          <t>2000-04-02</t>
        </is>
      </c>
      <c r="W275" t="inlineStr">
        <is>
          <t>1993-04-23</t>
        </is>
      </c>
      <c r="X275" t="inlineStr">
        <is>
          <t>1993-04-23</t>
        </is>
      </c>
      <c r="Y275" t="n">
        <v>79</v>
      </c>
      <c r="Z275" t="n">
        <v>68</v>
      </c>
      <c r="AA275" t="n">
        <v>68</v>
      </c>
      <c r="AB275" t="n">
        <v>2</v>
      </c>
      <c r="AC275" t="n">
        <v>2</v>
      </c>
      <c r="AD275" t="n">
        <v>2</v>
      </c>
      <c r="AE275" t="n">
        <v>2</v>
      </c>
      <c r="AF275" t="n">
        <v>0</v>
      </c>
      <c r="AG275" t="n">
        <v>0</v>
      </c>
      <c r="AH275" t="n">
        <v>0</v>
      </c>
      <c r="AI275" t="n">
        <v>0</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HYPERLINK("https://creighton-primo.hosted.exlibrisgroup.com/primo-explore/search?tab=default_tab&amp;search_scope=EVERYTHING&amp;vid=01CRU&amp;lang=en_US&amp;offset=0&amp;query=any,contains,991002175369702656","Catalog Record")</f>
        <v/>
      </c>
      <c r="AT275">
        <f>HYPERLINK("http://www.worldcat.org/oclc/277949","WorldCat Record")</f>
        <v/>
      </c>
      <c r="AU275" t="inlineStr">
        <is>
          <t>1418112:eng</t>
        </is>
      </c>
      <c r="AV275" t="inlineStr">
        <is>
          <t>277949</t>
        </is>
      </c>
      <c r="AW275" t="inlineStr">
        <is>
          <t>991002175369702656</t>
        </is>
      </c>
      <c r="AX275" t="inlineStr">
        <is>
          <t>991002175369702656</t>
        </is>
      </c>
      <c r="AY275" t="inlineStr">
        <is>
          <t>2260387260002656</t>
        </is>
      </c>
      <c r="AZ275" t="inlineStr">
        <is>
          <t>BOOK</t>
        </is>
      </c>
      <c r="BC275" t="inlineStr">
        <is>
          <t>32285001647014</t>
        </is>
      </c>
      <c r="BD275" t="inlineStr">
        <is>
          <t>893892239</t>
        </is>
      </c>
    </row>
    <row r="276">
      <c r="A276" t="inlineStr">
        <is>
          <t>No</t>
        </is>
      </c>
      <c r="B276" t="inlineStr">
        <is>
          <t>PE1408 .A62</t>
        </is>
      </c>
      <c r="C276" t="inlineStr">
        <is>
          <t>0                      PE 1408000A  62</t>
        </is>
      </c>
      <c r="D276" t="inlineStr">
        <is>
          <t>The way to creative writing.</t>
        </is>
      </c>
      <c r="F276" t="inlineStr">
        <is>
          <t>No</t>
        </is>
      </c>
      <c r="G276" t="inlineStr">
        <is>
          <t>1</t>
        </is>
      </c>
      <c r="H276" t="inlineStr">
        <is>
          <t>No</t>
        </is>
      </c>
      <c r="I276" t="inlineStr">
        <is>
          <t>No</t>
        </is>
      </c>
      <c r="J276" t="inlineStr">
        <is>
          <t>0</t>
        </is>
      </c>
      <c r="K276" t="inlineStr">
        <is>
          <t>App, Austin J. (Austin Joseph), 1902-</t>
        </is>
      </c>
      <c r="L276" t="inlineStr">
        <is>
          <t>Milwaukee, Bruce Pub. Co. [1954]</t>
        </is>
      </c>
      <c r="M276" t="inlineStr">
        <is>
          <t>1954</t>
        </is>
      </c>
      <c r="O276" t="inlineStr">
        <is>
          <t>eng</t>
        </is>
      </c>
      <c r="P276" t="inlineStr">
        <is>
          <t>wiu</t>
        </is>
      </c>
      <c r="R276" t="inlineStr">
        <is>
          <t xml:space="preserve">PE </t>
        </is>
      </c>
      <c r="S276" t="n">
        <v>2</v>
      </c>
      <c r="T276" t="n">
        <v>2</v>
      </c>
      <c r="U276" t="inlineStr">
        <is>
          <t>2003-02-03</t>
        </is>
      </c>
      <c r="V276" t="inlineStr">
        <is>
          <t>2003-02-03</t>
        </is>
      </c>
      <c r="W276" t="inlineStr">
        <is>
          <t>1997-09-24</t>
        </is>
      </c>
      <c r="X276" t="inlineStr">
        <is>
          <t>1997-09-24</t>
        </is>
      </c>
      <c r="Y276" t="n">
        <v>86</v>
      </c>
      <c r="Z276" t="n">
        <v>75</v>
      </c>
      <c r="AA276" t="n">
        <v>77</v>
      </c>
      <c r="AB276" t="n">
        <v>1</v>
      </c>
      <c r="AC276" t="n">
        <v>1</v>
      </c>
      <c r="AD276" t="n">
        <v>12</v>
      </c>
      <c r="AE276" t="n">
        <v>12</v>
      </c>
      <c r="AF276" t="n">
        <v>6</v>
      </c>
      <c r="AG276" t="n">
        <v>6</v>
      </c>
      <c r="AH276" t="n">
        <v>3</v>
      </c>
      <c r="AI276" t="n">
        <v>3</v>
      </c>
      <c r="AJ276" t="n">
        <v>9</v>
      </c>
      <c r="AK276" t="n">
        <v>9</v>
      </c>
      <c r="AL276" t="n">
        <v>0</v>
      </c>
      <c r="AM276" t="n">
        <v>0</v>
      </c>
      <c r="AN276" t="n">
        <v>0</v>
      </c>
      <c r="AO276" t="n">
        <v>0</v>
      </c>
      <c r="AP276" t="inlineStr">
        <is>
          <t>No</t>
        </is>
      </c>
      <c r="AQ276" t="inlineStr">
        <is>
          <t>Yes</t>
        </is>
      </c>
      <c r="AR276">
        <f>HYPERLINK("http://catalog.hathitrust.org/Record/009529675","HathiTrust Record")</f>
        <v/>
      </c>
      <c r="AS276">
        <f>HYPERLINK("https://creighton-primo.hosted.exlibrisgroup.com/primo-explore/search?tab=default_tab&amp;search_scope=EVERYTHING&amp;vid=01CRU&amp;lang=en_US&amp;offset=0&amp;query=any,contains,991003933319702656","Catalog Record")</f>
        <v/>
      </c>
      <c r="AT276">
        <f>HYPERLINK("http://www.worldcat.org/oclc/1905099","WorldCat Record")</f>
        <v/>
      </c>
      <c r="AU276" t="inlineStr">
        <is>
          <t>2600199:eng</t>
        </is>
      </c>
      <c r="AV276" t="inlineStr">
        <is>
          <t>1905099</t>
        </is>
      </c>
      <c r="AW276" t="inlineStr">
        <is>
          <t>991003933319702656</t>
        </is>
      </c>
      <c r="AX276" t="inlineStr">
        <is>
          <t>991003933319702656</t>
        </is>
      </c>
      <c r="AY276" t="inlineStr">
        <is>
          <t>2258170480002656</t>
        </is>
      </c>
      <c r="AZ276" t="inlineStr">
        <is>
          <t>BOOK</t>
        </is>
      </c>
      <c r="BC276" t="inlineStr">
        <is>
          <t>32285003246062</t>
        </is>
      </c>
      <c r="BD276" t="inlineStr">
        <is>
          <t>893318600</t>
        </is>
      </c>
    </row>
    <row r="277">
      <c r="A277" t="inlineStr">
        <is>
          <t>No</t>
        </is>
      </c>
      <c r="B277" t="inlineStr">
        <is>
          <t>PE1408 .B23</t>
        </is>
      </c>
      <c r="C277" t="inlineStr">
        <is>
          <t>0                      PE 1408000B  23</t>
        </is>
      </c>
      <c r="D277" t="inlineStr">
        <is>
          <t>Proper words in proper places.</t>
        </is>
      </c>
      <c r="F277" t="inlineStr">
        <is>
          <t>No</t>
        </is>
      </c>
      <c r="G277" t="inlineStr">
        <is>
          <t>1</t>
        </is>
      </c>
      <c r="H277" t="inlineStr">
        <is>
          <t>No</t>
        </is>
      </c>
      <c r="I277" t="inlineStr">
        <is>
          <t>No</t>
        </is>
      </c>
      <c r="J277" t="inlineStr">
        <is>
          <t>0</t>
        </is>
      </c>
      <c r="K277" t="inlineStr">
        <is>
          <t>Bailey, J. O. (James Osler), 1903-1979.</t>
        </is>
      </c>
      <c r="L277" t="inlineStr">
        <is>
          <t>New York, American Book Co. [1952]</t>
        </is>
      </c>
      <c r="M277" t="inlineStr">
        <is>
          <t>1952</t>
        </is>
      </c>
      <c r="O277" t="inlineStr">
        <is>
          <t>eng</t>
        </is>
      </c>
      <c r="P277" t="inlineStr">
        <is>
          <t>nyu</t>
        </is>
      </c>
      <c r="R277" t="inlineStr">
        <is>
          <t xml:space="preserve">PE </t>
        </is>
      </c>
      <c r="S277" t="n">
        <v>7</v>
      </c>
      <c r="T277" t="n">
        <v>7</v>
      </c>
      <c r="U277" t="inlineStr">
        <is>
          <t>2002-04-16</t>
        </is>
      </c>
      <c r="V277" t="inlineStr">
        <is>
          <t>2002-04-16</t>
        </is>
      </c>
      <c r="W277" t="inlineStr">
        <is>
          <t>1997-09-24</t>
        </is>
      </c>
      <c r="X277" t="inlineStr">
        <is>
          <t>1997-09-24</t>
        </is>
      </c>
      <c r="Y277" t="n">
        <v>88</v>
      </c>
      <c r="Z277" t="n">
        <v>71</v>
      </c>
      <c r="AA277" t="n">
        <v>73</v>
      </c>
      <c r="AB277" t="n">
        <v>1</v>
      </c>
      <c r="AC277" t="n">
        <v>1</v>
      </c>
      <c r="AD277" t="n">
        <v>3</v>
      </c>
      <c r="AE277" t="n">
        <v>3</v>
      </c>
      <c r="AF277" t="n">
        <v>0</v>
      </c>
      <c r="AG277" t="n">
        <v>0</v>
      </c>
      <c r="AH277" t="n">
        <v>1</v>
      </c>
      <c r="AI277" t="n">
        <v>1</v>
      </c>
      <c r="AJ277" t="n">
        <v>1</v>
      </c>
      <c r="AK277" t="n">
        <v>1</v>
      </c>
      <c r="AL277" t="n">
        <v>0</v>
      </c>
      <c r="AM277" t="n">
        <v>0</v>
      </c>
      <c r="AN277" t="n">
        <v>1</v>
      </c>
      <c r="AO277" t="n">
        <v>1</v>
      </c>
      <c r="AP277" t="inlineStr">
        <is>
          <t>No</t>
        </is>
      </c>
      <c r="AQ277" t="inlineStr">
        <is>
          <t>Yes</t>
        </is>
      </c>
      <c r="AR277">
        <f>HYPERLINK("http://catalog.hathitrust.org/Record/012269824","HathiTrust Record")</f>
        <v/>
      </c>
      <c r="AS277">
        <f>HYPERLINK("https://creighton-primo.hosted.exlibrisgroup.com/primo-explore/search?tab=default_tab&amp;search_scope=EVERYTHING&amp;vid=01CRU&amp;lang=en_US&amp;offset=0&amp;query=any,contains,991004027569702656","Catalog Record")</f>
        <v/>
      </c>
      <c r="AT277">
        <f>HYPERLINK("http://www.worldcat.org/oclc/2141920","WorldCat Record")</f>
        <v/>
      </c>
      <c r="AU277" t="inlineStr">
        <is>
          <t>4283087:eng</t>
        </is>
      </c>
      <c r="AV277" t="inlineStr">
        <is>
          <t>2141920</t>
        </is>
      </c>
      <c r="AW277" t="inlineStr">
        <is>
          <t>991004027569702656</t>
        </is>
      </c>
      <c r="AX277" t="inlineStr">
        <is>
          <t>991004027569702656</t>
        </is>
      </c>
      <c r="AY277" t="inlineStr">
        <is>
          <t>2258090710002656</t>
        </is>
      </c>
      <c r="AZ277" t="inlineStr">
        <is>
          <t>BOOK</t>
        </is>
      </c>
      <c r="BC277" t="inlineStr">
        <is>
          <t>32285003246070</t>
        </is>
      </c>
      <c r="BD277" t="inlineStr">
        <is>
          <t>893611829</t>
        </is>
      </c>
    </row>
    <row r="278">
      <c r="A278" t="inlineStr">
        <is>
          <t>No</t>
        </is>
      </c>
      <c r="B278" t="inlineStr">
        <is>
          <t>PE1408 .B283</t>
        </is>
      </c>
      <c r="C278" t="inlineStr">
        <is>
          <t>0                      PE 1408000B  283</t>
        </is>
      </c>
      <c r="D278" t="inlineStr">
        <is>
          <t>The complete stylist / by Sheridan Baker.</t>
        </is>
      </c>
      <c r="F278" t="inlineStr">
        <is>
          <t>No</t>
        </is>
      </c>
      <c r="G278" t="inlineStr">
        <is>
          <t>1</t>
        </is>
      </c>
      <c r="H278" t="inlineStr">
        <is>
          <t>No</t>
        </is>
      </c>
      <c r="I278" t="inlineStr">
        <is>
          <t>No</t>
        </is>
      </c>
      <c r="J278" t="inlineStr">
        <is>
          <t>0</t>
        </is>
      </c>
      <c r="K278" t="inlineStr">
        <is>
          <t>Baker, Sheridan Warner, 1918-2000.</t>
        </is>
      </c>
      <c r="L278" t="inlineStr">
        <is>
          <t>New York : T. Y. Crowell, [1966]</t>
        </is>
      </c>
      <c r="M278" t="inlineStr">
        <is>
          <t>1966</t>
        </is>
      </c>
      <c r="O278" t="inlineStr">
        <is>
          <t>eng</t>
        </is>
      </c>
      <c r="P278" t="inlineStr">
        <is>
          <t>nyu</t>
        </is>
      </c>
      <c r="R278" t="inlineStr">
        <is>
          <t xml:space="preserve">PE </t>
        </is>
      </c>
      <c r="S278" t="n">
        <v>6</v>
      </c>
      <c r="T278" t="n">
        <v>6</v>
      </c>
      <c r="U278" t="inlineStr">
        <is>
          <t>2002-04-16</t>
        </is>
      </c>
      <c r="V278" t="inlineStr">
        <is>
          <t>2002-04-16</t>
        </is>
      </c>
      <c r="W278" t="inlineStr">
        <is>
          <t>1993-01-08</t>
        </is>
      </c>
      <c r="X278" t="inlineStr">
        <is>
          <t>1993-01-08</t>
        </is>
      </c>
      <c r="Y278" t="n">
        <v>538</v>
      </c>
      <c r="Z278" t="n">
        <v>508</v>
      </c>
      <c r="AA278" t="n">
        <v>659</v>
      </c>
      <c r="AB278" t="n">
        <v>7</v>
      </c>
      <c r="AC278" t="n">
        <v>9</v>
      </c>
      <c r="AD278" t="n">
        <v>14</v>
      </c>
      <c r="AE278" t="n">
        <v>17</v>
      </c>
      <c r="AF278" t="n">
        <v>3</v>
      </c>
      <c r="AG278" t="n">
        <v>4</v>
      </c>
      <c r="AH278" t="n">
        <v>3</v>
      </c>
      <c r="AI278" t="n">
        <v>3</v>
      </c>
      <c r="AJ278" t="n">
        <v>6</v>
      </c>
      <c r="AK278" t="n">
        <v>7</v>
      </c>
      <c r="AL278" t="n">
        <v>6</v>
      </c>
      <c r="AM278" t="n">
        <v>7</v>
      </c>
      <c r="AN278" t="n">
        <v>0</v>
      </c>
      <c r="AO278" t="n">
        <v>0</v>
      </c>
      <c r="AP278" t="inlineStr">
        <is>
          <t>No</t>
        </is>
      </c>
      <c r="AQ278" t="inlineStr">
        <is>
          <t>Yes</t>
        </is>
      </c>
      <c r="AR278">
        <f>HYPERLINK("http://catalog.hathitrust.org/Record/001183081","HathiTrust Record")</f>
        <v/>
      </c>
      <c r="AS278">
        <f>HYPERLINK("https://creighton-primo.hosted.exlibrisgroup.com/primo-explore/search?tab=default_tab&amp;search_scope=EVERYTHING&amp;vid=01CRU&amp;lang=en_US&amp;offset=0&amp;query=any,contains,991003182559702656","Catalog Record")</f>
        <v/>
      </c>
      <c r="AT278">
        <f>HYPERLINK("http://www.worldcat.org/oclc/712062","WorldCat Record")</f>
        <v/>
      </c>
      <c r="AU278" t="inlineStr">
        <is>
          <t>3373229424:eng</t>
        </is>
      </c>
      <c r="AV278" t="inlineStr">
        <is>
          <t>712062</t>
        </is>
      </c>
      <c r="AW278" t="inlineStr">
        <is>
          <t>991003182559702656</t>
        </is>
      </c>
      <c r="AX278" t="inlineStr">
        <is>
          <t>991003182559702656</t>
        </is>
      </c>
      <c r="AY278" t="inlineStr">
        <is>
          <t>2256814820002656</t>
        </is>
      </c>
      <c r="AZ278" t="inlineStr">
        <is>
          <t>BOOK</t>
        </is>
      </c>
      <c r="BC278" t="inlineStr">
        <is>
          <t>32285001474096</t>
        </is>
      </c>
      <c r="BD278" t="inlineStr">
        <is>
          <t>893252121</t>
        </is>
      </c>
    </row>
    <row r="279">
      <c r="A279" t="inlineStr">
        <is>
          <t>No</t>
        </is>
      </c>
      <c r="B279" t="inlineStr">
        <is>
          <t>PE1408 .B436</t>
        </is>
      </c>
      <c r="C279" t="inlineStr">
        <is>
          <t>0                      PE 1408000B  436</t>
        </is>
      </c>
      <c r="D279" t="inlineStr">
        <is>
          <t>Simple &amp; direct : a rhetoric for writers / Jacques Barzun.</t>
        </is>
      </c>
      <c r="F279" t="inlineStr">
        <is>
          <t>No</t>
        </is>
      </c>
      <c r="G279" t="inlineStr">
        <is>
          <t>1</t>
        </is>
      </c>
      <c r="H279" t="inlineStr">
        <is>
          <t>No</t>
        </is>
      </c>
      <c r="I279" t="inlineStr">
        <is>
          <t>No</t>
        </is>
      </c>
      <c r="J279" t="inlineStr">
        <is>
          <t>0</t>
        </is>
      </c>
      <c r="K279" t="inlineStr">
        <is>
          <t>Barzun, Jacques, 1907-2012.</t>
        </is>
      </c>
      <c r="L279" t="inlineStr">
        <is>
          <t>New York : Harper &amp; Row, [1975]</t>
        </is>
      </c>
      <c r="M279" t="inlineStr">
        <is>
          <t>1975</t>
        </is>
      </c>
      <c r="N279" t="inlineStr">
        <is>
          <t>1st ed.</t>
        </is>
      </c>
      <c r="O279" t="inlineStr">
        <is>
          <t>eng</t>
        </is>
      </c>
      <c r="P279" t="inlineStr">
        <is>
          <t>nyu</t>
        </is>
      </c>
      <c r="Q279" t="inlineStr">
        <is>
          <t>A Cass Canfield book</t>
        </is>
      </c>
      <c r="R279" t="inlineStr">
        <is>
          <t xml:space="preserve">PE </t>
        </is>
      </c>
      <c r="S279" t="n">
        <v>7</v>
      </c>
      <c r="T279" t="n">
        <v>7</v>
      </c>
      <c r="U279" t="inlineStr">
        <is>
          <t>2010-12-04</t>
        </is>
      </c>
      <c r="V279" t="inlineStr">
        <is>
          <t>2010-12-04</t>
        </is>
      </c>
      <c r="W279" t="inlineStr">
        <is>
          <t>1991-10-21</t>
        </is>
      </c>
      <c r="X279" t="inlineStr">
        <is>
          <t>1991-10-21</t>
        </is>
      </c>
      <c r="Y279" t="n">
        <v>1114</v>
      </c>
      <c r="Z279" t="n">
        <v>1036</v>
      </c>
      <c r="AA279" t="n">
        <v>1431</v>
      </c>
      <c r="AB279" t="n">
        <v>7</v>
      </c>
      <c r="AC279" t="n">
        <v>10</v>
      </c>
      <c r="AD279" t="n">
        <v>27</v>
      </c>
      <c r="AE279" t="n">
        <v>41</v>
      </c>
      <c r="AF279" t="n">
        <v>7</v>
      </c>
      <c r="AG279" t="n">
        <v>14</v>
      </c>
      <c r="AH279" t="n">
        <v>6</v>
      </c>
      <c r="AI279" t="n">
        <v>7</v>
      </c>
      <c r="AJ279" t="n">
        <v>13</v>
      </c>
      <c r="AK279" t="n">
        <v>19</v>
      </c>
      <c r="AL279" t="n">
        <v>4</v>
      </c>
      <c r="AM279" t="n">
        <v>4</v>
      </c>
      <c r="AN279" t="n">
        <v>1</v>
      </c>
      <c r="AO279" t="n">
        <v>4</v>
      </c>
      <c r="AP279" t="inlineStr">
        <is>
          <t>No</t>
        </is>
      </c>
      <c r="AQ279" t="inlineStr">
        <is>
          <t>Yes</t>
        </is>
      </c>
      <c r="AR279">
        <f>HYPERLINK("http://catalog.hathitrust.org/Record/000035529","HathiTrust Record")</f>
        <v/>
      </c>
      <c r="AS279">
        <f>HYPERLINK("https://creighton-primo.hosted.exlibrisgroup.com/primo-explore/search?tab=default_tab&amp;search_scope=EVERYTHING&amp;vid=01CRU&amp;lang=en_US&amp;offset=0&amp;query=any,contains,991003786059702656","Catalog Record")</f>
        <v/>
      </c>
      <c r="AT279">
        <f>HYPERLINK("http://www.worldcat.org/oclc/1502206","WorldCat Record")</f>
        <v/>
      </c>
      <c r="AU279" t="inlineStr">
        <is>
          <t>2299740:eng</t>
        </is>
      </c>
      <c r="AV279" t="inlineStr">
        <is>
          <t>1502206</t>
        </is>
      </c>
      <c r="AW279" t="inlineStr">
        <is>
          <t>991003786059702656</t>
        </is>
      </c>
      <c r="AX279" t="inlineStr">
        <is>
          <t>991003786059702656</t>
        </is>
      </c>
      <c r="AY279" t="inlineStr">
        <is>
          <t>2263434200002656</t>
        </is>
      </c>
      <c r="AZ279" t="inlineStr">
        <is>
          <t>BOOK</t>
        </is>
      </c>
      <c r="BB279" t="inlineStr">
        <is>
          <t>9780060102364</t>
        </is>
      </c>
      <c r="BC279" t="inlineStr">
        <is>
          <t>32285000775246</t>
        </is>
      </c>
      <c r="BD279" t="inlineStr">
        <is>
          <t>893699416</t>
        </is>
      </c>
    </row>
    <row r="280">
      <c r="A280" t="inlineStr">
        <is>
          <t>No</t>
        </is>
      </c>
      <c r="B280" t="inlineStr">
        <is>
          <t>PE1408 .B4935 1985</t>
        </is>
      </c>
      <c r="C280" t="inlineStr">
        <is>
          <t>0                      PE 1408000B  4935        1985</t>
        </is>
      </c>
      <c r="D280" t="inlineStr">
        <is>
          <t>Writer to writer / Arthur W. Biddle.</t>
        </is>
      </c>
      <c r="F280" t="inlineStr">
        <is>
          <t>No</t>
        </is>
      </c>
      <c r="G280" t="inlineStr">
        <is>
          <t>1</t>
        </is>
      </c>
      <c r="H280" t="inlineStr">
        <is>
          <t>No</t>
        </is>
      </c>
      <c r="I280" t="inlineStr">
        <is>
          <t>No</t>
        </is>
      </c>
      <c r="J280" t="inlineStr">
        <is>
          <t>0</t>
        </is>
      </c>
      <c r="K280" t="inlineStr">
        <is>
          <t>Biddle, Arthur W.</t>
        </is>
      </c>
      <c r="L280" t="inlineStr">
        <is>
          <t>New York : McGraw-Hill, c1985.</t>
        </is>
      </c>
      <c r="M280" t="inlineStr">
        <is>
          <t>1985</t>
        </is>
      </c>
      <c r="O280" t="inlineStr">
        <is>
          <t>eng</t>
        </is>
      </c>
      <c r="P280" t="inlineStr">
        <is>
          <t>nyu</t>
        </is>
      </c>
      <c r="R280" t="inlineStr">
        <is>
          <t xml:space="preserve">PE </t>
        </is>
      </c>
      <c r="S280" t="n">
        <v>8</v>
      </c>
      <c r="T280" t="n">
        <v>8</v>
      </c>
      <c r="U280" t="inlineStr">
        <is>
          <t>2007-02-28</t>
        </is>
      </c>
      <c r="V280" t="inlineStr">
        <is>
          <t>2007-02-28</t>
        </is>
      </c>
      <c r="W280" t="inlineStr">
        <is>
          <t>1993-04-23</t>
        </is>
      </c>
      <c r="X280" t="inlineStr">
        <is>
          <t>1993-04-23</t>
        </is>
      </c>
      <c r="Y280" t="n">
        <v>69</v>
      </c>
      <c r="Z280" t="n">
        <v>42</v>
      </c>
      <c r="AA280" t="n">
        <v>47</v>
      </c>
      <c r="AB280" t="n">
        <v>1</v>
      </c>
      <c r="AC280" t="n">
        <v>1</v>
      </c>
      <c r="AD280" t="n">
        <v>1</v>
      </c>
      <c r="AE280" t="n">
        <v>1</v>
      </c>
      <c r="AF280" t="n">
        <v>1</v>
      </c>
      <c r="AG280" t="n">
        <v>1</v>
      </c>
      <c r="AH280" t="n">
        <v>0</v>
      </c>
      <c r="AI280" t="n">
        <v>0</v>
      </c>
      <c r="AJ280" t="n">
        <v>0</v>
      </c>
      <c r="AK280" t="n">
        <v>0</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HYPERLINK("https://creighton-primo.hosted.exlibrisgroup.com/primo-explore/search?tab=default_tab&amp;search_scope=EVERYTHING&amp;vid=01CRU&amp;lang=en_US&amp;offset=0&amp;query=any,contains,991000437459702656","Catalog Record")</f>
        <v/>
      </c>
      <c r="AT280">
        <f>HYPERLINK("http://www.worldcat.org/oclc/10799670","WorldCat Record")</f>
        <v/>
      </c>
      <c r="AU280" t="inlineStr">
        <is>
          <t>3827505:eng</t>
        </is>
      </c>
      <c r="AV280" t="inlineStr">
        <is>
          <t>10799670</t>
        </is>
      </c>
      <c r="AW280" t="inlineStr">
        <is>
          <t>991000437459702656</t>
        </is>
      </c>
      <c r="AX280" t="inlineStr">
        <is>
          <t>991000437459702656</t>
        </is>
      </c>
      <c r="AY280" t="inlineStr">
        <is>
          <t>2269721750002656</t>
        </is>
      </c>
      <c r="AZ280" t="inlineStr">
        <is>
          <t>BOOK</t>
        </is>
      </c>
      <c r="BB280" t="inlineStr">
        <is>
          <t>9780070052130</t>
        </is>
      </c>
      <c r="BC280" t="inlineStr">
        <is>
          <t>32285001647022</t>
        </is>
      </c>
      <c r="BD280" t="inlineStr">
        <is>
          <t>893249344</t>
        </is>
      </c>
    </row>
    <row r="281">
      <c r="A281" t="inlineStr">
        <is>
          <t>No</t>
        </is>
      </c>
      <c r="B281" t="inlineStr">
        <is>
          <t>PE1408 .C587 1987</t>
        </is>
      </c>
      <c r="C281" t="inlineStr">
        <is>
          <t>0                      PE 1408000C  587         1987</t>
        </is>
      </c>
      <c r="D281" t="inlineStr">
        <is>
          <t>The little English handbook : choices and conventions / Edward P.J. Corbett.</t>
        </is>
      </c>
      <c r="F281" t="inlineStr">
        <is>
          <t>No</t>
        </is>
      </c>
      <c r="G281" t="inlineStr">
        <is>
          <t>1</t>
        </is>
      </c>
      <c r="H281" t="inlineStr">
        <is>
          <t>No</t>
        </is>
      </c>
      <c r="I281" t="inlineStr">
        <is>
          <t>No</t>
        </is>
      </c>
      <c r="J281" t="inlineStr">
        <is>
          <t>0</t>
        </is>
      </c>
      <c r="K281" t="inlineStr">
        <is>
          <t>Corbett, Edward P. J.</t>
        </is>
      </c>
      <c r="L281" t="inlineStr">
        <is>
          <t>Glenview, Ill. : Scott, Foresman, c1987.</t>
        </is>
      </c>
      <c r="M281" t="inlineStr">
        <is>
          <t>1987</t>
        </is>
      </c>
      <c r="N281" t="inlineStr">
        <is>
          <t>5th ed.</t>
        </is>
      </c>
      <c r="O281" t="inlineStr">
        <is>
          <t>eng</t>
        </is>
      </c>
      <c r="P281" t="inlineStr">
        <is>
          <t>ilu</t>
        </is>
      </c>
      <c r="R281" t="inlineStr">
        <is>
          <t xml:space="preserve">PE </t>
        </is>
      </c>
      <c r="S281" t="n">
        <v>5</v>
      </c>
      <c r="T281" t="n">
        <v>5</v>
      </c>
      <c r="U281" t="inlineStr">
        <is>
          <t>2001-04-01</t>
        </is>
      </c>
      <c r="V281" t="inlineStr">
        <is>
          <t>2001-04-01</t>
        </is>
      </c>
      <c r="W281" t="inlineStr">
        <is>
          <t>1992-08-04</t>
        </is>
      </c>
      <c r="X281" t="inlineStr">
        <is>
          <t>1992-08-04</t>
        </is>
      </c>
      <c r="Y281" t="n">
        <v>119</v>
      </c>
      <c r="Z281" t="n">
        <v>107</v>
      </c>
      <c r="AA281" t="n">
        <v>588</v>
      </c>
      <c r="AB281" t="n">
        <v>1</v>
      </c>
      <c r="AC281" t="n">
        <v>3</v>
      </c>
      <c r="AD281" t="n">
        <v>2</v>
      </c>
      <c r="AE281" t="n">
        <v>14</v>
      </c>
      <c r="AF281" t="n">
        <v>1</v>
      </c>
      <c r="AG281" t="n">
        <v>2</v>
      </c>
      <c r="AH281" t="n">
        <v>0</v>
      </c>
      <c r="AI281" t="n">
        <v>2</v>
      </c>
      <c r="AJ281" t="n">
        <v>2</v>
      </c>
      <c r="AK281" t="n">
        <v>9</v>
      </c>
      <c r="AL281" t="n">
        <v>0</v>
      </c>
      <c r="AM281" t="n">
        <v>2</v>
      </c>
      <c r="AN281" t="n">
        <v>0</v>
      </c>
      <c r="AO281" t="n">
        <v>1</v>
      </c>
      <c r="AP281" t="inlineStr">
        <is>
          <t>No</t>
        </is>
      </c>
      <c r="AQ281" t="inlineStr">
        <is>
          <t>No</t>
        </is>
      </c>
      <c r="AS281">
        <f>HYPERLINK("https://creighton-primo.hosted.exlibrisgroup.com/primo-explore/search?tab=default_tab&amp;search_scope=EVERYTHING&amp;vid=01CRU&amp;lang=en_US&amp;offset=0&amp;query=any,contains,991002076739702656","Catalog Record")</f>
        <v/>
      </c>
      <c r="AT281">
        <f>HYPERLINK("http://www.worldcat.org/oclc/14167022","WorldCat Record")</f>
        <v/>
      </c>
      <c r="AU281" t="inlineStr">
        <is>
          <t>569120:eng</t>
        </is>
      </c>
      <c r="AV281" t="inlineStr">
        <is>
          <t>14167022</t>
        </is>
      </c>
      <c r="AW281" t="inlineStr">
        <is>
          <t>991002076739702656</t>
        </is>
      </c>
      <c r="AX281" t="inlineStr">
        <is>
          <t>991002076739702656</t>
        </is>
      </c>
      <c r="AY281" t="inlineStr">
        <is>
          <t>2267365720002656</t>
        </is>
      </c>
      <c r="AZ281" t="inlineStr">
        <is>
          <t>BOOK</t>
        </is>
      </c>
      <c r="BB281" t="inlineStr">
        <is>
          <t>9780673184740</t>
        </is>
      </c>
      <c r="BC281" t="inlineStr">
        <is>
          <t>32285001241339</t>
        </is>
      </c>
      <c r="BD281" t="inlineStr">
        <is>
          <t>893523163</t>
        </is>
      </c>
    </row>
    <row r="282">
      <c r="A282" t="inlineStr">
        <is>
          <t>No</t>
        </is>
      </c>
      <c r="B282" t="inlineStr">
        <is>
          <t>PE1408 .C664 1991</t>
        </is>
      </c>
      <c r="C282" t="inlineStr">
        <is>
          <t>0                      PE 1408000C  664         1991</t>
        </is>
      </c>
      <c r="D282" t="inlineStr">
        <is>
          <t>Crafting prose / Don Richard Cox, Elizabeth Giddens.</t>
        </is>
      </c>
      <c r="F282" t="inlineStr">
        <is>
          <t>No</t>
        </is>
      </c>
      <c r="G282" t="inlineStr">
        <is>
          <t>1</t>
        </is>
      </c>
      <c r="H282" t="inlineStr">
        <is>
          <t>No</t>
        </is>
      </c>
      <c r="I282" t="inlineStr">
        <is>
          <t>No</t>
        </is>
      </c>
      <c r="J282" t="inlineStr">
        <is>
          <t>0</t>
        </is>
      </c>
      <c r="K282" t="inlineStr">
        <is>
          <t>Cox, Don Richard.</t>
        </is>
      </c>
      <c r="L282" t="inlineStr">
        <is>
          <t>San Diego : Harcourt Brace Jovanovich, c1991.</t>
        </is>
      </c>
      <c r="M282" t="inlineStr">
        <is>
          <t>1991</t>
        </is>
      </c>
      <c r="O282" t="inlineStr">
        <is>
          <t>eng</t>
        </is>
      </c>
      <c r="P282" t="inlineStr">
        <is>
          <t>cau</t>
        </is>
      </c>
      <c r="R282" t="inlineStr">
        <is>
          <t xml:space="preserve">PE </t>
        </is>
      </c>
      <c r="S282" t="n">
        <v>2</v>
      </c>
      <c r="T282" t="n">
        <v>2</v>
      </c>
      <c r="U282" t="inlineStr">
        <is>
          <t>2007-12-04</t>
        </is>
      </c>
      <c r="V282" t="inlineStr">
        <is>
          <t>2007-12-04</t>
        </is>
      </c>
      <c r="W282" t="inlineStr">
        <is>
          <t>1996-09-03</t>
        </is>
      </c>
      <c r="X282" t="inlineStr">
        <is>
          <t>1996-09-03</t>
        </is>
      </c>
      <c r="Y282" t="n">
        <v>45</v>
      </c>
      <c r="Z282" t="n">
        <v>33</v>
      </c>
      <c r="AA282" t="n">
        <v>38</v>
      </c>
      <c r="AB282" t="n">
        <v>1</v>
      </c>
      <c r="AC282" t="n">
        <v>1</v>
      </c>
      <c r="AD282" t="n">
        <v>0</v>
      </c>
      <c r="AE282" t="n">
        <v>0</v>
      </c>
      <c r="AF282" t="n">
        <v>0</v>
      </c>
      <c r="AG282" t="n">
        <v>0</v>
      </c>
      <c r="AH282" t="n">
        <v>0</v>
      </c>
      <c r="AI282" t="n">
        <v>0</v>
      </c>
      <c r="AJ282" t="n">
        <v>0</v>
      </c>
      <c r="AK282" t="n">
        <v>0</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HYPERLINK("https://creighton-primo.hosted.exlibrisgroup.com/primo-explore/search?tab=default_tab&amp;search_scope=EVERYTHING&amp;vid=01CRU&amp;lang=en_US&amp;offset=0&amp;query=any,contains,991002135939702656","Catalog Record")</f>
        <v/>
      </c>
      <c r="AT282">
        <f>HYPERLINK("http://www.worldcat.org/oclc/27385220","WorldCat Record")</f>
        <v/>
      </c>
      <c r="AU282" t="inlineStr">
        <is>
          <t>30045658:eng</t>
        </is>
      </c>
      <c r="AV282" t="inlineStr">
        <is>
          <t>27385220</t>
        </is>
      </c>
      <c r="AW282" t="inlineStr">
        <is>
          <t>991002135939702656</t>
        </is>
      </c>
      <c r="AX282" t="inlineStr">
        <is>
          <t>991002135939702656</t>
        </is>
      </c>
      <c r="AY282" t="inlineStr">
        <is>
          <t>2260418480002656</t>
        </is>
      </c>
      <c r="AZ282" t="inlineStr">
        <is>
          <t>BOOK</t>
        </is>
      </c>
      <c r="BB282" t="inlineStr">
        <is>
          <t>9780155156302</t>
        </is>
      </c>
      <c r="BC282" t="inlineStr">
        <is>
          <t>32285002293578</t>
        </is>
      </c>
      <c r="BD282" t="inlineStr">
        <is>
          <t>893697395</t>
        </is>
      </c>
    </row>
    <row r="283">
      <c r="A283" t="inlineStr">
        <is>
          <t>No</t>
        </is>
      </c>
      <c r="B283" t="inlineStr">
        <is>
          <t>PE1408 .C76 2000</t>
        </is>
      </c>
      <c r="C283" t="inlineStr">
        <is>
          <t>0                      PE 1408000C  76          2000</t>
        </is>
      </c>
      <c r="D283" t="inlineStr">
        <is>
          <t>Rhetoric for a multicultural America / Robert Cullen.</t>
        </is>
      </c>
      <c r="F283" t="inlineStr">
        <is>
          <t>No</t>
        </is>
      </c>
      <c r="G283" t="inlineStr">
        <is>
          <t>1</t>
        </is>
      </c>
      <c r="H283" t="inlineStr">
        <is>
          <t>No</t>
        </is>
      </c>
      <c r="I283" t="inlineStr">
        <is>
          <t>No</t>
        </is>
      </c>
      <c r="J283" t="inlineStr">
        <is>
          <t>0</t>
        </is>
      </c>
      <c r="K283" t="inlineStr">
        <is>
          <t>Cullen, Robert.</t>
        </is>
      </c>
      <c r="L283" t="inlineStr">
        <is>
          <t>Boston : Allyn and Bacon, c2000.</t>
        </is>
      </c>
      <c r="M283" t="inlineStr">
        <is>
          <t>2000</t>
        </is>
      </c>
      <c r="O283" t="inlineStr">
        <is>
          <t>eng</t>
        </is>
      </c>
      <c r="P283" t="inlineStr">
        <is>
          <t>mau</t>
        </is>
      </c>
      <c r="R283" t="inlineStr">
        <is>
          <t xml:space="preserve">PE </t>
        </is>
      </c>
      <c r="S283" t="n">
        <v>6</v>
      </c>
      <c r="T283" t="n">
        <v>6</v>
      </c>
      <c r="U283" t="inlineStr">
        <is>
          <t>2001-04-08</t>
        </is>
      </c>
      <c r="V283" t="inlineStr">
        <is>
          <t>2001-04-08</t>
        </is>
      </c>
      <c r="W283" t="inlineStr">
        <is>
          <t>2000-02-14</t>
        </is>
      </c>
      <c r="X283" t="inlineStr">
        <is>
          <t>2000-02-14</t>
        </is>
      </c>
      <c r="Y283" t="n">
        <v>57</v>
      </c>
      <c r="Z283" t="n">
        <v>50</v>
      </c>
      <c r="AA283" t="n">
        <v>55</v>
      </c>
      <c r="AB283" t="n">
        <v>1</v>
      </c>
      <c r="AC283" t="n">
        <v>1</v>
      </c>
      <c r="AD283" t="n">
        <v>2</v>
      </c>
      <c r="AE283" t="n">
        <v>2</v>
      </c>
      <c r="AF283" t="n">
        <v>2</v>
      </c>
      <c r="AG283" t="n">
        <v>2</v>
      </c>
      <c r="AH283" t="n">
        <v>0</v>
      </c>
      <c r="AI283" t="n">
        <v>0</v>
      </c>
      <c r="AJ283" t="n">
        <v>1</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HYPERLINK("https://creighton-primo.hosted.exlibrisgroup.com/primo-explore/search?tab=default_tab&amp;search_scope=EVERYTHING&amp;vid=01CRU&amp;lang=en_US&amp;offset=0&amp;query=any,contains,991003026079702656","Catalog Record")</f>
        <v/>
      </c>
      <c r="AT283">
        <f>HYPERLINK("http://www.worldcat.org/oclc/41338018","WorldCat Record")</f>
        <v/>
      </c>
      <c r="AU283" t="inlineStr">
        <is>
          <t>27424733:eng</t>
        </is>
      </c>
      <c r="AV283" t="inlineStr">
        <is>
          <t>41338018</t>
        </is>
      </c>
      <c r="AW283" t="inlineStr">
        <is>
          <t>991003026079702656</t>
        </is>
      </c>
      <c r="AX283" t="inlineStr">
        <is>
          <t>991003026079702656</t>
        </is>
      </c>
      <c r="AY283" t="inlineStr">
        <is>
          <t>2266914600002656</t>
        </is>
      </c>
      <c r="AZ283" t="inlineStr">
        <is>
          <t>BOOK</t>
        </is>
      </c>
      <c r="BB283" t="inlineStr">
        <is>
          <t>9780205282197</t>
        </is>
      </c>
      <c r="BC283" t="inlineStr">
        <is>
          <t>32285003661823</t>
        </is>
      </c>
      <c r="BD283" t="inlineStr">
        <is>
          <t>893239809</t>
        </is>
      </c>
    </row>
    <row r="284">
      <c r="A284" t="inlineStr">
        <is>
          <t>No</t>
        </is>
      </c>
      <c r="B284" t="inlineStr">
        <is>
          <t>PE1408 .D6</t>
        </is>
      </c>
      <c r="C284" t="inlineStr">
        <is>
          <t>0                      PE 1408000D  6</t>
        </is>
      </c>
      <c r="D284" t="inlineStr">
        <is>
          <t>Persuasive speech; an art of rhetoric for college, by Francis P. Donnelly.</t>
        </is>
      </c>
      <c r="F284" t="inlineStr">
        <is>
          <t>No</t>
        </is>
      </c>
      <c r="G284" t="inlineStr">
        <is>
          <t>1</t>
        </is>
      </c>
      <c r="H284" t="inlineStr">
        <is>
          <t>No</t>
        </is>
      </c>
      <c r="I284" t="inlineStr">
        <is>
          <t>No</t>
        </is>
      </c>
      <c r="J284" t="inlineStr">
        <is>
          <t>0</t>
        </is>
      </c>
      <c r="K284" t="inlineStr">
        <is>
          <t>Donnelly, Francis P. (Francis Patrick), 1869-1959.</t>
        </is>
      </c>
      <c r="L284" t="inlineStr">
        <is>
          <t>New York, P. J. Kenedy &amp; sons [c1931]</t>
        </is>
      </c>
      <c r="M284" t="inlineStr">
        <is>
          <t>1931</t>
        </is>
      </c>
      <c r="O284" t="inlineStr">
        <is>
          <t>eng</t>
        </is>
      </c>
      <c r="P284" t="inlineStr">
        <is>
          <t>nyu</t>
        </is>
      </c>
      <c r="R284" t="inlineStr">
        <is>
          <t xml:space="preserve">PE </t>
        </is>
      </c>
      <c r="S284" t="n">
        <v>1</v>
      </c>
      <c r="T284" t="n">
        <v>1</v>
      </c>
      <c r="U284" t="inlineStr">
        <is>
          <t>2003-10-24</t>
        </is>
      </c>
      <c r="V284" t="inlineStr">
        <is>
          <t>2003-10-24</t>
        </is>
      </c>
      <c r="W284" t="inlineStr">
        <is>
          <t>1997-09-24</t>
        </is>
      </c>
      <c r="X284" t="inlineStr">
        <is>
          <t>1997-09-24</t>
        </is>
      </c>
      <c r="Y284" t="n">
        <v>114</v>
      </c>
      <c r="Z284" t="n">
        <v>104</v>
      </c>
      <c r="AA284" t="n">
        <v>104</v>
      </c>
      <c r="AB284" t="n">
        <v>2</v>
      </c>
      <c r="AC284" t="n">
        <v>2</v>
      </c>
      <c r="AD284" t="n">
        <v>17</v>
      </c>
      <c r="AE284" t="n">
        <v>17</v>
      </c>
      <c r="AF284" t="n">
        <v>3</v>
      </c>
      <c r="AG284" t="n">
        <v>3</v>
      </c>
      <c r="AH284" t="n">
        <v>3</v>
      </c>
      <c r="AI284" t="n">
        <v>3</v>
      </c>
      <c r="AJ284" t="n">
        <v>16</v>
      </c>
      <c r="AK284" t="n">
        <v>16</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HYPERLINK("https://creighton-primo.hosted.exlibrisgroup.com/primo-explore/search?tab=default_tab&amp;search_scope=EVERYTHING&amp;vid=01CRU&amp;lang=en_US&amp;offset=0&amp;query=any,contains,991003913119702656","Catalog Record")</f>
        <v/>
      </c>
      <c r="AT284">
        <f>HYPERLINK("http://www.worldcat.org/oclc/1857087","WorldCat Record")</f>
        <v/>
      </c>
      <c r="AU284" t="inlineStr">
        <is>
          <t>282287332:eng</t>
        </is>
      </c>
      <c r="AV284" t="inlineStr">
        <is>
          <t>1857087</t>
        </is>
      </c>
      <c r="AW284" t="inlineStr">
        <is>
          <t>991003913119702656</t>
        </is>
      </c>
      <c r="AX284" t="inlineStr">
        <is>
          <t>991003913119702656</t>
        </is>
      </c>
      <c r="AY284" t="inlineStr">
        <is>
          <t>2263065350002656</t>
        </is>
      </c>
      <c r="AZ284" t="inlineStr">
        <is>
          <t>BOOK</t>
        </is>
      </c>
      <c r="BC284" t="inlineStr">
        <is>
          <t>32285003246336</t>
        </is>
      </c>
      <c r="BD284" t="inlineStr">
        <is>
          <t>893234812</t>
        </is>
      </c>
    </row>
    <row r="285">
      <c r="A285" t="inlineStr">
        <is>
          <t>No</t>
        </is>
      </c>
      <c r="B285" t="inlineStr">
        <is>
          <t>PE1408 .D73</t>
        </is>
      </c>
      <c r="C285" t="inlineStr">
        <is>
          <t>0                      PE 1408000D  73</t>
        </is>
      </c>
      <c r="D285" t="inlineStr">
        <is>
          <t>Decisive writing : an improvement program / L. P. Driskill, Margaret Simpson.</t>
        </is>
      </c>
      <c r="F285" t="inlineStr">
        <is>
          <t>No</t>
        </is>
      </c>
      <c r="G285" t="inlineStr">
        <is>
          <t>1</t>
        </is>
      </c>
      <c r="H285" t="inlineStr">
        <is>
          <t>No</t>
        </is>
      </c>
      <c r="I285" t="inlineStr">
        <is>
          <t>No</t>
        </is>
      </c>
      <c r="J285" t="inlineStr">
        <is>
          <t>0</t>
        </is>
      </c>
      <c r="K285" t="inlineStr">
        <is>
          <t>Driskill, L. P., 1940-</t>
        </is>
      </c>
      <c r="L285" t="inlineStr">
        <is>
          <t>New York : Oxford University Press, 1978.</t>
        </is>
      </c>
      <c r="M285" t="inlineStr">
        <is>
          <t>1978</t>
        </is>
      </c>
      <c r="O285" t="inlineStr">
        <is>
          <t>eng</t>
        </is>
      </c>
      <c r="P285" t="inlineStr">
        <is>
          <t>nyu</t>
        </is>
      </c>
      <c r="R285" t="inlineStr">
        <is>
          <t xml:space="preserve">PE </t>
        </is>
      </c>
      <c r="S285" t="n">
        <v>6</v>
      </c>
      <c r="T285" t="n">
        <v>6</v>
      </c>
      <c r="U285" t="inlineStr">
        <is>
          <t>1999-02-24</t>
        </is>
      </c>
      <c r="V285" t="inlineStr">
        <is>
          <t>1999-02-24</t>
        </is>
      </c>
      <c r="W285" t="inlineStr">
        <is>
          <t>1999-03-29</t>
        </is>
      </c>
      <c r="X285" t="inlineStr">
        <is>
          <t>1999-03-29</t>
        </is>
      </c>
      <c r="Y285" t="n">
        <v>192</v>
      </c>
      <c r="Z285" t="n">
        <v>174</v>
      </c>
      <c r="AA285" t="n">
        <v>184</v>
      </c>
      <c r="AB285" t="n">
        <v>1</v>
      </c>
      <c r="AC285" t="n">
        <v>1</v>
      </c>
      <c r="AD285" t="n">
        <v>6</v>
      </c>
      <c r="AE285" t="n">
        <v>7</v>
      </c>
      <c r="AF285" t="n">
        <v>2</v>
      </c>
      <c r="AG285" t="n">
        <v>2</v>
      </c>
      <c r="AH285" t="n">
        <v>0</v>
      </c>
      <c r="AI285" t="n">
        <v>1</v>
      </c>
      <c r="AJ285" t="n">
        <v>4</v>
      </c>
      <c r="AK285" t="n">
        <v>5</v>
      </c>
      <c r="AL285" t="n">
        <v>0</v>
      </c>
      <c r="AM285" t="n">
        <v>0</v>
      </c>
      <c r="AN285" t="n">
        <v>2</v>
      </c>
      <c r="AO285" t="n">
        <v>2</v>
      </c>
      <c r="AP285" t="inlineStr">
        <is>
          <t>No</t>
        </is>
      </c>
      <c r="AQ285" t="inlineStr">
        <is>
          <t>Yes</t>
        </is>
      </c>
      <c r="AR285">
        <f>HYPERLINK("http://catalog.hathitrust.org/Record/101998917","HathiTrust Record")</f>
        <v/>
      </c>
      <c r="AS285">
        <f>HYPERLINK("https://creighton-primo.hosted.exlibrisgroup.com/primo-explore/search?tab=default_tab&amp;search_scope=EVERYTHING&amp;vid=01CRU&amp;lang=en_US&amp;offset=0&amp;query=any,contains,991004362789702656","Catalog Record")</f>
        <v/>
      </c>
      <c r="AT285">
        <f>HYPERLINK("http://www.worldcat.org/oclc/3168279","WorldCat Record")</f>
        <v/>
      </c>
      <c r="AU285" t="inlineStr">
        <is>
          <t>352316156:eng</t>
        </is>
      </c>
      <c r="AV285" t="inlineStr">
        <is>
          <t>3168279</t>
        </is>
      </c>
      <c r="AW285" t="inlineStr">
        <is>
          <t>991004362789702656</t>
        </is>
      </c>
      <c r="AX285" t="inlineStr">
        <is>
          <t>991004362789702656</t>
        </is>
      </c>
      <c r="AY285" t="inlineStr">
        <is>
          <t>2262269330002656</t>
        </is>
      </c>
      <c r="AZ285" t="inlineStr">
        <is>
          <t>BOOK</t>
        </is>
      </c>
      <c r="BB285" t="inlineStr">
        <is>
          <t>9780195021219</t>
        </is>
      </c>
      <c r="BC285" t="inlineStr">
        <is>
          <t>32285003263299</t>
        </is>
      </c>
      <c r="BD285" t="inlineStr">
        <is>
          <t>893712499</t>
        </is>
      </c>
    </row>
    <row r="286">
      <c r="A286" t="inlineStr">
        <is>
          <t>No</t>
        </is>
      </c>
      <c r="B286" t="inlineStr">
        <is>
          <t>PE1408 .E38 1989b</t>
        </is>
      </c>
      <c r="C286" t="inlineStr">
        <is>
          <t>0                      PE 1408000E  38          1989b</t>
        </is>
      </c>
      <c r="D286" t="inlineStr">
        <is>
          <t>A community of writers : a workshop course in writing / Peter Elbow, Pat Belanoff.</t>
        </is>
      </c>
      <c r="F286" t="inlineStr">
        <is>
          <t>No</t>
        </is>
      </c>
      <c r="G286" t="inlineStr">
        <is>
          <t>1</t>
        </is>
      </c>
      <c r="H286" t="inlineStr">
        <is>
          <t>No</t>
        </is>
      </c>
      <c r="I286" t="inlineStr">
        <is>
          <t>No</t>
        </is>
      </c>
      <c r="J286" t="inlineStr">
        <is>
          <t>0</t>
        </is>
      </c>
      <c r="K286" t="inlineStr">
        <is>
          <t>Elbow, Peter.</t>
        </is>
      </c>
      <c r="L286" t="inlineStr">
        <is>
          <t>New York : Random House, c1989.</t>
        </is>
      </c>
      <c r="M286" t="inlineStr">
        <is>
          <t>1989</t>
        </is>
      </c>
      <c r="N286" t="inlineStr">
        <is>
          <t>1st ed.</t>
        </is>
      </c>
      <c r="O286" t="inlineStr">
        <is>
          <t>eng</t>
        </is>
      </c>
      <c r="P286" t="inlineStr">
        <is>
          <t>nyu</t>
        </is>
      </c>
      <c r="R286" t="inlineStr">
        <is>
          <t xml:space="preserve">PE </t>
        </is>
      </c>
      <c r="S286" t="n">
        <v>11</v>
      </c>
      <c r="T286" t="n">
        <v>11</v>
      </c>
      <c r="U286" t="inlineStr">
        <is>
          <t>2002-12-23</t>
        </is>
      </c>
      <c r="V286" t="inlineStr">
        <is>
          <t>2002-12-23</t>
        </is>
      </c>
      <c r="W286" t="inlineStr">
        <is>
          <t>1993-09-24</t>
        </is>
      </c>
      <c r="X286" t="inlineStr">
        <is>
          <t>1993-09-24</t>
        </is>
      </c>
      <c r="Y286" t="n">
        <v>145</v>
      </c>
      <c r="Z286" t="n">
        <v>129</v>
      </c>
      <c r="AA286" t="n">
        <v>294</v>
      </c>
      <c r="AB286" t="n">
        <v>1</v>
      </c>
      <c r="AC286" t="n">
        <v>1</v>
      </c>
      <c r="AD286" t="n">
        <v>2</v>
      </c>
      <c r="AE286" t="n">
        <v>5</v>
      </c>
      <c r="AF286" t="n">
        <v>1</v>
      </c>
      <c r="AG286" t="n">
        <v>2</v>
      </c>
      <c r="AH286" t="n">
        <v>0</v>
      </c>
      <c r="AI286" t="n">
        <v>1</v>
      </c>
      <c r="AJ286" t="n">
        <v>1</v>
      </c>
      <c r="AK286" t="n">
        <v>3</v>
      </c>
      <c r="AL286" t="n">
        <v>0</v>
      </c>
      <c r="AM286" t="n">
        <v>0</v>
      </c>
      <c r="AN286" t="n">
        <v>0</v>
      </c>
      <c r="AO286" t="n">
        <v>0</v>
      </c>
      <c r="AP286" t="inlineStr">
        <is>
          <t>No</t>
        </is>
      </c>
      <c r="AQ286" t="inlineStr">
        <is>
          <t>Yes</t>
        </is>
      </c>
      <c r="AR286">
        <f>HYPERLINK("http://catalog.hathitrust.org/Record/004458777","HathiTrust Record")</f>
        <v/>
      </c>
      <c r="AS286">
        <f>HYPERLINK("https://creighton-primo.hosted.exlibrisgroup.com/primo-explore/search?tab=default_tab&amp;search_scope=EVERYTHING&amp;vid=01CRU&amp;lang=en_US&amp;offset=0&amp;query=any,contains,991002011399702656","Catalog Record")</f>
        <v/>
      </c>
      <c r="AT286">
        <f>HYPERLINK("http://www.worldcat.org/oclc/18716167","WorldCat Record")</f>
        <v/>
      </c>
      <c r="AU286" t="inlineStr">
        <is>
          <t>836743316:eng</t>
        </is>
      </c>
      <c r="AV286" t="inlineStr">
        <is>
          <t>18716167</t>
        </is>
      </c>
      <c r="AW286" t="inlineStr">
        <is>
          <t>991002011399702656</t>
        </is>
      </c>
      <c r="AX286" t="inlineStr">
        <is>
          <t>991002011399702656</t>
        </is>
      </c>
      <c r="AY286" t="inlineStr">
        <is>
          <t>2264447440002656</t>
        </is>
      </c>
      <c r="AZ286" t="inlineStr">
        <is>
          <t>BOOK</t>
        </is>
      </c>
      <c r="BC286" t="inlineStr">
        <is>
          <t>32285001759405</t>
        </is>
      </c>
      <c r="BD286" t="inlineStr">
        <is>
          <t>893226347</t>
        </is>
      </c>
    </row>
    <row r="287">
      <c r="A287" t="inlineStr">
        <is>
          <t>No</t>
        </is>
      </c>
      <c r="B287" t="inlineStr">
        <is>
          <t>PE1408 .F477</t>
        </is>
      </c>
      <c r="C287" t="inlineStr">
        <is>
          <t>0                      PE 1408000F  477</t>
        </is>
      </c>
      <c r="D287" t="inlineStr">
        <is>
          <t>The art of plain talk, by Rudolf Flesch. Foreword by Lyman Bryson.</t>
        </is>
      </c>
      <c r="F287" t="inlineStr">
        <is>
          <t>No</t>
        </is>
      </c>
      <c r="G287" t="inlineStr">
        <is>
          <t>1</t>
        </is>
      </c>
      <c r="H287" t="inlineStr">
        <is>
          <t>No</t>
        </is>
      </c>
      <c r="I287" t="inlineStr">
        <is>
          <t>No</t>
        </is>
      </c>
      <c r="J287" t="inlineStr">
        <is>
          <t>0</t>
        </is>
      </c>
      <c r="K287" t="inlineStr">
        <is>
          <t>Flesch, Rudolf, 1911-1986.</t>
        </is>
      </c>
      <c r="L287" t="inlineStr">
        <is>
          <t>New York, London, Harper &amp; brothers [1946]</t>
        </is>
      </c>
      <c r="M287" t="inlineStr">
        <is>
          <t>1946</t>
        </is>
      </c>
      <c r="O287" t="inlineStr">
        <is>
          <t>eng</t>
        </is>
      </c>
      <c r="P287" t="inlineStr">
        <is>
          <t>nyu</t>
        </is>
      </c>
      <c r="R287" t="inlineStr">
        <is>
          <t xml:space="preserve">PE </t>
        </is>
      </c>
      <c r="S287" t="n">
        <v>2</v>
      </c>
      <c r="T287" t="n">
        <v>2</v>
      </c>
      <c r="U287" t="inlineStr">
        <is>
          <t>2007-11-29</t>
        </is>
      </c>
      <c r="V287" t="inlineStr">
        <is>
          <t>2007-11-29</t>
        </is>
      </c>
      <c r="W287" t="inlineStr">
        <is>
          <t>1997-09-24</t>
        </is>
      </c>
      <c r="X287" t="inlineStr">
        <is>
          <t>1997-09-24</t>
        </is>
      </c>
      <c r="Y287" t="n">
        <v>1236</v>
      </c>
      <c r="Z287" t="n">
        <v>1123</v>
      </c>
      <c r="AA287" t="n">
        <v>1301</v>
      </c>
      <c r="AB287" t="n">
        <v>6</v>
      </c>
      <c r="AC287" t="n">
        <v>8</v>
      </c>
      <c r="AD287" t="n">
        <v>40</v>
      </c>
      <c r="AE287" t="n">
        <v>45</v>
      </c>
      <c r="AF287" t="n">
        <v>12</v>
      </c>
      <c r="AG287" t="n">
        <v>13</v>
      </c>
      <c r="AH287" t="n">
        <v>6</v>
      </c>
      <c r="AI287" t="n">
        <v>6</v>
      </c>
      <c r="AJ287" t="n">
        <v>20</v>
      </c>
      <c r="AK287" t="n">
        <v>22</v>
      </c>
      <c r="AL287" t="n">
        <v>4</v>
      </c>
      <c r="AM287" t="n">
        <v>6</v>
      </c>
      <c r="AN287" t="n">
        <v>4</v>
      </c>
      <c r="AO287" t="n">
        <v>5</v>
      </c>
      <c r="AP287" t="inlineStr">
        <is>
          <t>No</t>
        </is>
      </c>
      <c r="AQ287" t="inlineStr">
        <is>
          <t>Yes</t>
        </is>
      </c>
      <c r="AR287">
        <f>HYPERLINK("http://catalog.hathitrust.org/Record/001183089","HathiTrust Record")</f>
        <v/>
      </c>
      <c r="AS287">
        <f>HYPERLINK("https://creighton-primo.hosted.exlibrisgroup.com/primo-explore/search?tab=default_tab&amp;search_scope=EVERYTHING&amp;vid=01CRU&amp;lang=en_US&amp;offset=0&amp;query=any,contains,991002306369702656","Catalog Record")</f>
        <v/>
      </c>
      <c r="AT287">
        <f>HYPERLINK("http://www.worldcat.org/oclc/318543","WorldCat Record")</f>
        <v/>
      </c>
      <c r="AU287" t="inlineStr">
        <is>
          <t>152335647:eng</t>
        </is>
      </c>
      <c r="AV287" t="inlineStr">
        <is>
          <t>318543</t>
        </is>
      </c>
      <c r="AW287" t="inlineStr">
        <is>
          <t>991002306369702656</t>
        </is>
      </c>
      <c r="AX287" t="inlineStr">
        <is>
          <t>991002306369702656</t>
        </is>
      </c>
      <c r="AY287" t="inlineStr">
        <is>
          <t>2270457280002656</t>
        </is>
      </c>
      <c r="AZ287" t="inlineStr">
        <is>
          <t>BOOK</t>
        </is>
      </c>
      <c r="BC287" t="inlineStr">
        <is>
          <t>32285003246344</t>
        </is>
      </c>
      <c r="BD287" t="inlineStr">
        <is>
          <t>893347350</t>
        </is>
      </c>
    </row>
    <row r="288">
      <c r="A288" t="inlineStr">
        <is>
          <t>No</t>
        </is>
      </c>
      <c r="B288" t="inlineStr">
        <is>
          <t>PE1408 .F4773</t>
        </is>
      </c>
      <c r="C288" t="inlineStr">
        <is>
          <t>0                      PE 1408000F  4773</t>
        </is>
      </c>
      <c r="D288" t="inlineStr">
        <is>
          <t>The art of readable writing. Foreword by Alan J. Gould.</t>
        </is>
      </c>
      <c r="F288" t="inlineStr">
        <is>
          <t>No</t>
        </is>
      </c>
      <c r="G288" t="inlineStr">
        <is>
          <t>1</t>
        </is>
      </c>
      <c r="H288" t="inlineStr">
        <is>
          <t>Yes</t>
        </is>
      </c>
      <c r="I288" t="inlineStr">
        <is>
          <t>No</t>
        </is>
      </c>
      <c r="J288" t="inlineStr">
        <is>
          <t>0</t>
        </is>
      </c>
      <c r="K288" t="inlineStr">
        <is>
          <t>Flesch, Rudolf, 1911-1986.</t>
        </is>
      </c>
      <c r="L288" t="inlineStr">
        <is>
          <t>New York, Harper [1949]</t>
        </is>
      </c>
      <c r="M288" t="inlineStr">
        <is>
          <t>1949</t>
        </is>
      </c>
      <c r="N288" t="inlineStr">
        <is>
          <t>[1st ed.]</t>
        </is>
      </c>
      <c r="O288" t="inlineStr">
        <is>
          <t>eng</t>
        </is>
      </c>
      <c r="P288" t="inlineStr">
        <is>
          <t>nyu</t>
        </is>
      </c>
      <c r="R288" t="inlineStr">
        <is>
          <t xml:space="preserve">PE </t>
        </is>
      </c>
      <c r="S288" t="n">
        <v>1</v>
      </c>
      <c r="T288" t="n">
        <v>5</v>
      </c>
      <c r="V288" t="inlineStr">
        <is>
          <t>1994-11-10</t>
        </is>
      </c>
      <c r="W288" t="inlineStr">
        <is>
          <t>1997-09-24</t>
        </is>
      </c>
      <c r="X288" t="inlineStr">
        <is>
          <t>1997-09-24</t>
        </is>
      </c>
      <c r="Y288" t="n">
        <v>1118</v>
      </c>
      <c r="Z288" t="n">
        <v>1010</v>
      </c>
      <c r="AA288" t="n">
        <v>1130</v>
      </c>
      <c r="AB288" t="n">
        <v>12</v>
      </c>
      <c r="AC288" t="n">
        <v>13</v>
      </c>
      <c r="AD288" t="n">
        <v>41</v>
      </c>
      <c r="AE288" t="n">
        <v>48</v>
      </c>
      <c r="AF288" t="n">
        <v>12</v>
      </c>
      <c r="AG288" t="n">
        <v>16</v>
      </c>
      <c r="AH288" t="n">
        <v>5</v>
      </c>
      <c r="AI288" t="n">
        <v>5</v>
      </c>
      <c r="AJ288" t="n">
        <v>17</v>
      </c>
      <c r="AK288" t="n">
        <v>19</v>
      </c>
      <c r="AL288" t="n">
        <v>10</v>
      </c>
      <c r="AM288" t="n">
        <v>10</v>
      </c>
      <c r="AN288" t="n">
        <v>4</v>
      </c>
      <c r="AO288" t="n">
        <v>6</v>
      </c>
      <c r="AP288" t="inlineStr">
        <is>
          <t>No</t>
        </is>
      </c>
      <c r="AQ288" t="inlineStr">
        <is>
          <t>No</t>
        </is>
      </c>
      <c r="AR288">
        <f>HYPERLINK("http://catalog.hathitrust.org/Record/001183090","HathiTrust Record")</f>
        <v/>
      </c>
      <c r="AS288">
        <f>HYPERLINK("https://creighton-primo.hosted.exlibrisgroup.com/primo-explore/search?tab=default_tab&amp;search_scope=EVERYTHING&amp;vid=01CRU&amp;lang=en_US&amp;offset=0&amp;query=any,contains,991001767759702656","Catalog Record")</f>
        <v/>
      </c>
      <c r="AT288">
        <f>HYPERLINK("http://www.worldcat.org/oclc/318542","WorldCat Record")</f>
        <v/>
      </c>
      <c r="AU288" t="inlineStr">
        <is>
          <t>20998609:eng</t>
        </is>
      </c>
      <c r="AV288" t="inlineStr">
        <is>
          <t>318542</t>
        </is>
      </c>
      <c r="AW288" t="inlineStr">
        <is>
          <t>991001767759702656</t>
        </is>
      </c>
      <c r="AX288" t="inlineStr">
        <is>
          <t>991001767759702656</t>
        </is>
      </c>
      <c r="AY288" t="inlineStr">
        <is>
          <t>2270455850002656</t>
        </is>
      </c>
      <c r="AZ288" t="inlineStr">
        <is>
          <t>BOOK</t>
        </is>
      </c>
      <c r="BC288" t="inlineStr">
        <is>
          <t>32285003246351</t>
        </is>
      </c>
      <c r="BD288" t="inlineStr">
        <is>
          <t>893809179</t>
        </is>
      </c>
    </row>
    <row r="289">
      <c r="A289" t="inlineStr">
        <is>
          <t>No</t>
        </is>
      </c>
      <c r="B289" t="inlineStr">
        <is>
          <t>PE1408 .F58 2006</t>
        </is>
      </c>
      <c r="C289" t="inlineStr">
        <is>
          <t>0                      PE 1408000F  58          2006</t>
        </is>
      </c>
      <c r="D289" t="inlineStr">
        <is>
          <t>Effective sentences : writing for success / Jan Fluitt-Dupuy.</t>
        </is>
      </c>
      <c r="F289" t="inlineStr">
        <is>
          <t>No</t>
        </is>
      </c>
      <c r="G289" t="inlineStr">
        <is>
          <t>1</t>
        </is>
      </c>
      <c r="H289" t="inlineStr">
        <is>
          <t>No</t>
        </is>
      </c>
      <c r="I289" t="inlineStr">
        <is>
          <t>No</t>
        </is>
      </c>
      <c r="J289" t="inlineStr">
        <is>
          <t>0</t>
        </is>
      </c>
      <c r="K289" t="inlineStr">
        <is>
          <t>Fluitt-Dupuy, Jan.</t>
        </is>
      </c>
      <c r="L289" t="inlineStr">
        <is>
          <t>AnnArbor, MI. : University of Michigan, c2006.</t>
        </is>
      </c>
      <c r="M289" t="inlineStr">
        <is>
          <t>2006</t>
        </is>
      </c>
      <c r="O289" t="inlineStr">
        <is>
          <t>eng</t>
        </is>
      </c>
      <c r="P289" t="inlineStr">
        <is>
          <t>miu</t>
        </is>
      </c>
      <c r="R289" t="inlineStr">
        <is>
          <t xml:space="preserve">PE </t>
        </is>
      </c>
      <c r="S289" t="n">
        <v>6</v>
      </c>
      <c r="T289" t="n">
        <v>6</v>
      </c>
      <c r="U289" t="inlineStr">
        <is>
          <t>2007-09-28</t>
        </is>
      </c>
      <c r="V289" t="inlineStr">
        <is>
          <t>2007-09-28</t>
        </is>
      </c>
      <c r="W289" t="inlineStr">
        <is>
          <t>2006-11-07</t>
        </is>
      </c>
      <c r="X289" t="inlineStr">
        <is>
          <t>2006-11-07</t>
        </is>
      </c>
      <c r="Y289" t="n">
        <v>81</v>
      </c>
      <c r="Z289" t="n">
        <v>63</v>
      </c>
      <c r="AA289" t="n">
        <v>63</v>
      </c>
      <c r="AB289" t="n">
        <v>1</v>
      </c>
      <c r="AC289" t="n">
        <v>1</v>
      </c>
      <c r="AD289" t="n">
        <v>0</v>
      </c>
      <c r="AE289" t="n">
        <v>0</v>
      </c>
      <c r="AF289" t="n">
        <v>0</v>
      </c>
      <c r="AG289" t="n">
        <v>0</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HYPERLINK("https://creighton-primo.hosted.exlibrisgroup.com/primo-explore/search?tab=default_tab&amp;search_scope=EVERYTHING&amp;vid=01CRU&amp;lang=en_US&amp;offset=0&amp;query=any,contains,991004955439702656","Catalog Record")</f>
        <v/>
      </c>
      <c r="AT289">
        <f>HYPERLINK("http://www.worldcat.org/oclc/71251530","WorldCat Record")</f>
        <v/>
      </c>
      <c r="AU289" t="inlineStr">
        <is>
          <t>58216458:eng</t>
        </is>
      </c>
      <c r="AV289" t="inlineStr">
        <is>
          <t>71251530</t>
        </is>
      </c>
      <c r="AW289" t="inlineStr">
        <is>
          <t>991004955439702656</t>
        </is>
      </c>
      <c r="AX289" t="inlineStr">
        <is>
          <t>991004955439702656</t>
        </is>
      </c>
      <c r="AY289" t="inlineStr">
        <is>
          <t>2259157990002656</t>
        </is>
      </c>
      <c r="AZ289" t="inlineStr">
        <is>
          <t>BOOK</t>
        </is>
      </c>
      <c r="BB289" t="inlineStr">
        <is>
          <t>9780472031467</t>
        </is>
      </c>
      <c r="BC289" t="inlineStr">
        <is>
          <t>32285005236442</t>
        </is>
      </c>
      <c r="BD289" t="inlineStr">
        <is>
          <t>893412135</t>
        </is>
      </c>
    </row>
    <row r="290">
      <c r="A290" t="inlineStr">
        <is>
          <t>No</t>
        </is>
      </c>
      <c r="B290" t="inlineStr">
        <is>
          <t>PE1408 .G375 1988</t>
        </is>
      </c>
      <c r="C290" t="inlineStr">
        <is>
          <t>0                      PE 1408000G  375         1988</t>
        </is>
      </c>
      <c r="D290" t="inlineStr">
        <is>
          <t>The confident writer / Constance J. Gefvert.</t>
        </is>
      </c>
      <c r="F290" t="inlineStr">
        <is>
          <t>No</t>
        </is>
      </c>
      <c r="G290" t="inlineStr">
        <is>
          <t>1</t>
        </is>
      </c>
      <c r="H290" t="inlineStr">
        <is>
          <t>No</t>
        </is>
      </c>
      <c r="I290" t="inlineStr">
        <is>
          <t>No</t>
        </is>
      </c>
      <c r="J290" t="inlineStr">
        <is>
          <t>0</t>
        </is>
      </c>
      <c r="K290" t="inlineStr">
        <is>
          <t>Gefvert, Constance J.</t>
        </is>
      </c>
      <c r="L290" t="inlineStr">
        <is>
          <t>New York : Norton, c1988.</t>
        </is>
      </c>
      <c r="M290" t="inlineStr">
        <is>
          <t>1988</t>
        </is>
      </c>
      <c r="N290" t="inlineStr">
        <is>
          <t>2nd ed.</t>
        </is>
      </c>
      <c r="O290" t="inlineStr">
        <is>
          <t>eng</t>
        </is>
      </c>
      <c r="P290" t="inlineStr">
        <is>
          <t>nyu</t>
        </is>
      </c>
      <c r="R290" t="inlineStr">
        <is>
          <t xml:space="preserve">PE </t>
        </is>
      </c>
      <c r="S290" t="n">
        <v>5</v>
      </c>
      <c r="T290" t="n">
        <v>5</v>
      </c>
      <c r="U290" t="inlineStr">
        <is>
          <t>2010-07-12</t>
        </is>
      </c>
      <c r="V290" t="inlineStr">
        <is>
          <t>2010-07-12</t>
        </is>
      </c>
      <c r="W290" t="inlineStr">
        <is>
          <t>1989-11-16</t>
        </is>
      </c>
      <c r="X290" t="inlineStr">
        <is>
          <t>1989-11-16</t>
        </is>
      </c>
      <c r="Y290" t="n">
        <v>113</v>
      </c>
      <c r="Z290" t="n">
        <v>101</v>
      </c>
      <c r="AA290" t="n">
        <v>240</v>
      </c>
      <c r="AB290" t="n">
        <v>4</v>
      </c>
      <c r="AC290" t="n">
        <v>4</v>
      </c>
      <c r="AD290" t="n">
        <v>2</v>
      </c>
      <c r="AE290" t="n">
        <v>5</v>
      </c>
      <c r="AF290" t="n">
        <v>0</v>
      </c>
      <c r="AG290" t="n">
        <v>1</v>
      </c>
      <c r="AH290" t="n">
        <v>1</v>
      </c>
      <c r="AI290" t="n">
        <v>1</v>
      </c>
      <c r="AJ290" t="n">
        <v>1</v>
      </c>
      <c r="AK290" t="n">
        <v>2</v>
      </c>
      <c r="AL290" t="n">
        <v>1</v>
      </c>
      <c r="AM290" t="n">
        <v>1</v>
      </c>
      <c r="AN290" t="n">
        <v>0</v>
      </c>
      <c r="AO290" t="n">
        <v>1</v>
      </c>
      <c r="AP290" t="inlineStr">
        <is>
          <t>No</t>
        </is>
      </c>
      <c r="AQ290" t="inlineStr">
        <is>
          <t>No</t>
        </is>
      </c>
      <c r="AS290">
        <f>HYPERLINK("https://creighton-primo.hosted.exlibrisgroup.com/primo-explore/search?tab=default_tab&amp;search_scope=EVERYTHING&amp;vid=01CRU&amp;lang=en_US&amp;offset=0&amp;query=any,contains,991001154369702656","Catalog Record")</f>
        <v/>
      </c>
      <c r="AT290">
        <f>HYPERLINK("http://www.worldcat.org/oclc/16833268","WorldCat Record")</f>
        <v/>
      </c>
      <c r="AU290" t="inlineStr">
        <is>
          <t>1806189936:eng</t>
        </is>
      </c>
      <c r="AV290" t="inlineStr">
        <is>
          <t>16833268</t>
        </is>
      </c>
      <c r="AW290" t="inlineStr">
        <is>
          <t>991001154369702656</t>
        </is>
      </c>
      <c r="AX290" t="inlineStr">
        <is>
          <t>991001154369702656</t>
        </is>
      </c>
      <c r="AY290" t="inlineStr">
        <is>
          <t>2263535050002656</t>
        </is>
      </c>
      <c r="AZ290" t="inlineStr">
        <is>
          <t>BOOK</t>
        </is>
      </c>
      <c r="BB290" t="inlineStr">
        <is>
          <t>9780393956184</t>
        </is>
      </c>
      <c r="BC290" t="inlineStr">
        <is>
          <t>32285000013382</t>
        </is>
      </c>
      <c r="BD290" t="inlineStr">
        <is>
          <t>893596241</t>
        </is>
      </c>
    </row>
    <row r="291">
      <c r="A291" t="inlineStr">
        <is>
          <t>No</t>
        </is>
      </c>
      <c r="B291" t="inlineStr">
        <is>
          <t>PE1408 .G5583 1983</t>
        </is>
      </c>
      <c r="C291" t="inlineStr">
        <is>
          <t>0                      PE 1408000G  5583        1983</t>
        </is>
      </c>
      <c r="D291" t="inlineStr">
        <is>
          <t>Clear writing, a business guide / Marilyn B. Gilbert.</t>
        </is>
      </c>
      <c r="F291" t="inlineStr">
        <is>
          <t>No</t>
        </is>
      </c>
      <c r="G291" t="inlineStr">
        <is>
          <t>1</t>
        </is>
      </c>
      <c r="H291" t="inlineStr">
        <is>
          <t>No</t>
        </is>
      </c>
      <c r="I291" t="inlineStr">
        <is>
          <t>No</t>
        </is>
      </c>
      <c r="J291" t="inlineStr">
        <is>
          <t>0</t>
        </is>
      </c>
      <c r="K291" t="inlineStr">
        <is>
          <t>Gilbert, Marilyn B.</t>
        </is>
      </c>
      <c r="L291" t="inlineStr">
        <is>
          <t>New York : Wiley, c1983.</t>
        </is>
      </c>
      <c r="M291" t="inlineStr">
        <is>
          <t>1983</t>
        </is>
      </c>
      <c r="O291" t="inlineStr">
        <is>
          <t>eng</t>
        </is>
      </c>
      <c r="P291" t="inlineStr">
        <is>
          <t>nyu</t>
        </is>
      </c>
      <c r="Q291" t="inlineStr">
        <is>
          <t>Wiley self-teaching guides</t>
        </is>
      </c>
      <c r="R291" t="inlineStr">
        <is>
          <t xml:space="preserve">PE </t>
        </is>
      </c>
      <c r="S291" t="n">
        <v>8</v>
      </c>
      <c r="T291" t="n">
        <v>8</v>
      </c>
      <c r="U291" t="inlineStr">
        <is>
          <t>1999-04-15</t>
        </is>
      </c>
      <c r="V291" t="inlineStr">
        <is>
          <t>1999-04-15</t>
        </is>
      </c>
      <c r="W291" t="inlineStr">
        <is>
          <t>1992-03-04</t>
        </is>
      </c>
      <c r="X291" t="inlineStr">
        <is>
          <t>1992-03-04</t>
        </is>
      </c>
      <c r="Y291" t="n">
        <v>122</v>
      </c>
      <c r="Z291" t="n">
        <v>90</v>
      </c>
      <c r="AA291" t="n">
        <v>259</v>
      </c>
      <c r="AB291" t="n">
        <v>1</v>
      </c>
      <c r="AC291" t="n">
        <v>1</v>
      </c>
      <c r="AD291" t="n">
        <v>1</v>
      </c>
      <c r="AE291" t="n">
        <v>4</v>
      </c>
      <c r="AF291" t="n">
        <v>0</v>
      </c>
      <c r="AG291" t="n">
        <v>1</v>
      </c>
      <c r="AH291" t="n">
        <v>0</v>
      </c>
      <c r="AI291" t="n">
        <v>1</v>
      </c>
      <c r="AJ291" t="n">
        <v>1</v>
      </c>
      <c r="AK291" t="n">
        <v>2</v>
      </c>
      <c r="AL291" t="n">
        <v>0</v>
      </c>
      <c r="AM291" t="n">
        <v>0</v>
      </c>
      <c r="AN291" t="n">
        <v>0</v>
      </c>
      <c r="AO291" t="n">
        <v>1</v>
      </c>
      <c r="AP291" t="inlineStr">
        <is>
          <t>No</t>
        </is>
      </c>
      <c r="AQ291" t="inlineStr">
        <is>
          <t>No</t>
        </is>
      </c>
      <c r="AS291">
        <f>HYPERLINK("https://creighton-primo.hosted.exlibrisgroup.com/primo-explore/search?tab=default_tab&amp;search_scope=EVERYTHING&amp;vid=01CRU&amp;lang=en_US&amp;offset=0&amp;query=any,contains,991000065239702656","Catalog Record")</f>
        <v/>
      </c>
      <c r="AT291">
        <f>HYPERLINK("http://www.worldcat.org/oclc/8763215","WorldCat Record")</f>
        <v/>
      </c>
      <c r="AU291" t="inlineStr">
        <is>
          <t>345021389:eng</t>
        </is>
      </c>
      <c r="AV291" t="inlineStr">
        <is>
          <t>8763215</t>
        </is>
      </c>
      <c r="AW291" t="inlineStr">
        <is>
          <t>991000065239702656</t>
        </is>
      </c>
      <c r="AX291" t="inlineStr">
        <is>
          <t>991000065239702656</t>
        </is>
      </c>
      <c r="AY291" t="inlineStr">
        <is>
          <t>2266704480002656</t>
        </is>
      </c>
      <c r="AZ291" t="inlineStr">
        <is>
          <t>BOOK</t>
        </is>
      </c>
      <c r="BB291" t="inlineStr">
        <is>
          <t>9780471867555</t>
        </is>
      </c>
      <c r="BC291" t="inlineStr">
        <is>
          <t>32285000992502</t>
        </is>
      </c>
      <c r="BD291" t="inlineStr">
        <is>
          <t>893595238</t>
        </is>
      </c>
    </row>
    <row r="292">
      <c r="A292" t="inlineStr">
        <is>
          <t>No</t>
        </is>
      </c>
      <c r="B292" t="inlineStr">
        <is>
          <t>PE1408 .G93 1968</t>
        </is>
      </c>
      <c r="C292" t="inlineStr">
        <is>
          <t>0                      PE 1408000G  93          1968</t>
        </is>
      </c>
      <c r="D292" t="inlineStr">
        <is>
          <t>The technique of clear writing / Robert Gunning.</t>
        </is>
      </c>
      <c r="F292" t="inlineStr">
        <is>
          <t>No</t>
        </is>
      </c>
      <c r="G292" t="inlineStr">
        <is>
          <t>1</t>
        </is>
      </c>
      <c r="H292" t="inlineStr">
        <is>
          <t>No</t>
        </is>
      </c>
      <c r="I292" t="inlineStr">
        <is>
          <t>No</t>
        </is>
      </c>
      <c r="J292" t="inlineStr">
        <is>
          <t>0</t>
        </is>
      </c>
      <c r="K292" t="inlineStr">
        <is>
          <t>Gunning, Robert, 1908-1980.</t>
        </is>
      </c>
      <c r="L292" t="inlineStr">
        <is>
          <t>New York : McGraw-Hill, c1968.</t>
        </is>
      </c>
      <c r="M292" t="inlineStr">
        <is>
          <t>1968</t>
        </is>
      </c>
      <c r="N292" t="inlineStr">
        <is>
          <t>Rev. ed.</t>
        </is>
      </c>
      <c r="O292" t="inlineStr">
        <is>
          <t>eng</t>
        </is>
      </c>
      <c r="P292" t="inlineStr">
        <is>
          <t>nyu</t>
        </is>
      </c>
      <c r="R292" t="inlineStr">
        <is>
          <t xml:space="preserve">PE </t>
        </is>
      </c>
      <c r="S292" t="n">
        <v>3</v>
      </c>
      <c r="T292" t="n">
        <v>3</v>
      </c>
      <c r="U292" t="inlineStr">
        <is>
          <t>1994-06-30</t>
        </is>
      </c>
      <c r="V292" t="inlineStr">
        <is>
          <t>1994-06-30</t>
        </is>
      </c>
      <c r="W292" t="inlineStr">
        <is>
          <t>1993-04-23</t>
        </is>
      </c>
      <c r="X292" t="inlineStr">
        <is>
          <t>1993-04-23</t>
        </is>
      </c>
      <c r="Y292" t="n">
        <v>632</v>
      </c>
      <c r="Z292" t="n">
        <v>549</v>
      </c>
      <c r="AA292" t="n">
        <v>862</v>
      </c>
      <c r="AB292" t="n">
        <v>5</v>
      </c>
      <c r="AC292" t="n">
        <v>8</v>
      </c>
      <c r="AD292" t="n">
        <v>16</v>
      </c>
      <c r="AE292" t="n">
        <v>33</v>
      </c>
      <c r="AF292" t="n">
        <v>5</v>
      </c>
      <c r="AG292" t="n">
        <v>13</v>
      </c>
      <c r="AH292" t="n">
        <v>4</v>
      </c>
      <c r="AI292" t="n">
        <v>4</v>
      </c>
      <c r="AJ292" t="n">
        <v>4</v>
      </c>
      <c r="AK292" t="n">
        <v>11</v>
      </c>
      <c r="AL292" t="n">
        <v>3</v>
      </c>
      <c r="AM292" t="n">
        <v>6</v>
      </c>
      <c r="AN292" t="n">
        <v>1</v>
      </c>
      <c r="AO292" t="n">
        <v>3</v>
      </c>
      <c r="AP292" t="inlineStr">
        <is>
          <t>No</t>
        </is>
      </c>
      <c r="AQ292" t="inlineStr">
        <is>
          <t>Yes</t>
        </is>
      </c>
      <c r="AR292">
        <f>HYPERLINK("http://catalog.hathitrust.org/Record/000761402","HathiTrust Record")</f>
        <v/>
      </c>
      <c r="AS292">
        <f>HYPERLINK("https://creighton-primo.hosted.exlibrisgroup.com/primo-explore/search?tab=default_tab&amp;search_scope=EVERYTHING&amp;vid=01CRU&amp;lang=en_US&amp;offset=0&amp;query=any,contains,991002767629702656","Catalog Record")</f>
        <v/>
      </c>
      <c r="AT292">
        <f>HYPERLINK("http://www.worldcat.org/oclc/435565","WorldCat Record")</f>
        <v/>
      </c>
      <c r="AU292" t="inlineStr">
        <is>
          <t>405402:eng</t>
        </is>
      </c>
      <c r="AV292" t="inlineStr">
        <is>
          <t>435565</t>
        </is>
      </c>
      <c r="AW292" t="inlineStr">
        <is>
          <t>991002767629702656</t>
        </is>
      </c>
      <c r="AX292" t="inlineStr">
        <is>
          <t>991002767629702656</t>
        </is>
      </c>
      <c r="AY292" t="inlineStr">
        <is>
          <t>2269303300002656</t>
        </is>
      </c>
      <c r="AZ292" t="inlineStr">
        <is>
          <t>BOOK</t>
        </is>
      </c>
      <c r="BC292" t="inlineStr">
        <is>
          <t>32285001647055</t>
        </is>
      </c>
      <c r="BD292" t="inlineStr">
        <is>
          <t>893421776</t>
        </is>
      </c>
    </row>
    <row r="293">
      <c r="A293" t="inlineStr">
        <is>
          <t>No</t>
        </is>
      </c>
      <c r="B293" t="inlineStr">
        <is>
          <t>PE1408 .H313 1975</t>
        </is>
      </c>
      <c r="C293" t="inlineStr">
        <is>
          <t>0                      PE 1408000H  313         1975</t>
        </is>
      </c>
      <c r="D293" t="inlineStr">
        <is>
          <t>How thinking is written : an analytic approach to writing / Lawrence Sargent Hall.</t>
        </is>
      </c>
      <c r="F293" t="inlineStr">
        <is>
          <t>No</t>
        </is>
      </c>
      <c r="G293" t="inlineStr">
        <is>
          <t>1</t>
        </is>
      </c>
      <c r="H293" t="inlineStr">
        <is>
          <t>No</t>
        </is>
      </c>
      <c r="I293" t="inlineStr">
        <is>
          <t>No</t>
        </is>
      </c>
      <c r="J293" t="inlineStr">
        <is>
          <t>0</t>
        </is>
      </c>
      <c r="K293" t="inlineStr">
        <is>
          <t>Hall, Lawrence Sargent.</t>
        </is>
      </c>
      <c r="L293" t="inlineStr">
        <is>
          <t>Westport, Conn. : Greenwood Press, 1975, c1963.</t>
        </is>
      </c>
      <c r="M293" t="inlineStr">
        <is>
          <t>1975</t>
        </is>
      </c>
      <c r="O293" t="inlineStr">
        <is>
          <t>eng</t>
        </is>
      </c>
      <c r="P293" t="inlineStr">
        <is>
          <t>ctu</t>
        </is>
      </c>
      <c r="R293" t="inlineStr">
        <is>
          <t xml:space="preserve">PE </t>
        </is>
      </c>
      <c r="S293" t="n">
        <v>4</v>
      </c>
      <c r="T293" t="n">
        <v>4</v>
      </c>
      <c r="U293" t="inlineStr">
        <is>
          <t>2001-04-19</t>
        </is>
      </c>
      <c r="V293" t="inlineStr">
        <is>
          <t>2001-04-19</t>
        </is>
      </c>
      <c r="W293" t="inlineStr">
        <is>
          <t>1997-09-24</t>
        </is>
      </c>
      <c r="X293" t="inlineStr">
        <is>
          <t>1997-09-24</t>
        </is>
      </c>
      <c r="Y293" t="n">
        <v>83</v>
      </c>
      <c r="Z293" t="n">
        <v>75</v>
      </c>
      <c r="AA293" t="n">
        <v>256</v>
      </c>
      <c r="AB293" t="n">
        <v>1</v>
      </c>
      <c r="AC293" t="n">
        <v>2</v>
      </c>
      <c r="AD293" t="n">
        <v>4</v>
      </c>
      <c r="AE293" t="n">
        <v>13</v>
      </c>
      <c r="AF293" t="n">
        <v>1</v>
      </c>
      <c r="AG293" t="n">
        <v>6</v>
      </c>
      <c r="AH293" t="n">
        <v>3</v>
      </c>
      <c r="AI293" t="n">
        <v>5</v>
      </c>
      <c r="AJ293" t="n">
        <v>3</v>
      </c>
      <c r="AK293" t="n">
        <v>5</v>
      </c>
      <c r="AL293" t="n">
        <v>0</v>
      </c>
      <c r="AM293" t="n">
        <v>1</v>
      </c>
      <c r="AN293" t="n">
        <v>0</v>
      </c>
      <c r="AO293" t="n">
        <v>0</v>
      </c>
      <c r="AP293" t="inlineStr">
        <is>
          <t>No</t>
        </is>
      </c>
      <c r="AQ293" t="inlineStr">
        <is>
          <t>Yes</t>
        </is>
      </c>
      <c r="AR293">
        <f>HYPERLINK("http://catalog.hathitrust.org/Record/102052302","HathiTrust Record")</f>
        <v/>
      </c>
      <c r="AS293">
        <f>HYPERLINK("https://creighton-primo.hosted.exlibrisgroup.com/primo-explore/search?tab=default_tab&amp;search_scope=EVERYTHING&amp;vid=01CRU&amp;lang=en_US&amp;offset=0&amp;query=any,contains,991003611979702656","Catalog Record")</f>
        <v/>
      </c>
      <c r="AT293">
        <f>HYPERLINK("http://www.worldcat.org/oclc/1194895","WorldCat Record")</f>
        <v/>
      </c>
      <c r="AU293" t="inlineStr">
        <is>
          <t>500405:eng</t>
        </is>
      </c>
      <c r="AV293" t="inlineStr">
        <is>
          <t>1194895</t>
        </is>
      </c>
      <c r="AW293" t="inlineStr">
        <is>
          <t>991003611979702656</t>
        </is>
      </c>
      <c r="AX293" t="inlineStr">
        <is>
          <t>991003611979702656</t>
        </is>
      </c>
      <c r="AY293" t="inlineStr">
        <is>
          <t>2260675870002656</t>
        </is>
      </c>
      <c r="AZ293" t="inlineStr">
        <is>
          <t>BOOK</t>
        </is>
      </c>
      <c r="BB293" t="inlineStr">
        <is>
          <t>9780837160597</t>
        </is>
      </c>
      <c r="BC293" t="inlineStr">
        <is>
          <t>32285003246427</t>
        </is>
      </c>
      <c r="BD293" t="inlineStr">
        <is>
          <t>893611225</t>
        </is>
      </c>
    </row>
    <row r="294">
      <c r="A294" t="inlineStr">
        <is>
          <t>No</t>
        </is>
      </c>
      <c r="B294" t="inlineStr">
        <is>
          <t>PE1408 .H314</t>
        </is>
      </c>
      <c r="C294" t="inlineStr">
        <is>
          <t>0                      PE 1408000H  314</t>
        </is>
      </c>
      <c r="D294" t="inlineStr">
        <is>
          <t>Principles of writing [by] John Halverson &amp; Mason Cooley.</t>
        </is>
      </c>
      <c r="F294" t="inlineStr">
        <is>
          <t>No</t>
        </is>
      </c>
      <c r="G294" t="inlineStr">
        <is>
          <t>1</t>
        </is>
      </c>
      <c r="H294" t="inlineStr">
        <is>
          <t>No</t>
        </is>
      </c>
      <c r="I294" t="inlineStr">
        <is>
          <t>No</t>
        </is>
      </c>
      <c r="J294" t="inlineStr">
        <is>
          <t>0</t>
        </is>
      </c>
      <c r="K294" t="inlineStr">
        <is>
          <t>Halverson, John.</t>
        </is>
      </c>
      <c r="L294" t="inlineStr">
        <is>
          <t>New York, Macmillan [1965]</t>
        </is>
      </c>
      <c r="M294" t="inlineStr">
        <is>
          <t>1965</t>
        </is>
      </c>
      <c r="O294" t="inlineStr">
        <is>
          <t>eng</t>
        </is>
      </c>
      <c r="P294" t="inlineStr">
        <is>
          <t>nyu</t>
        </is>
      </c>
      <c r="R294" t="inlineStr">
        <is>
          <t xml:space="preserve">PE </t>
        </is>
      </c>
      <c r="S294" t="n">
        <v>4</v>
      </c>
      <c r="T294" t="n">
        <v>4</v>
      </c>
      <c r="U294" t="inlineStr">
        <is>
          <t>2000-04-02</t>
        </is>
      </c>
      <c r="V294" t="inlineStr">
        <is>
          <t>2000-04-02</t>
        </is>
      </c>
      <c r="W294" t="inlineStr">
        <is>
          <t>1997-09-24</t>
        </is>
      </c>
      <c r="X294" t="inlineStr">
        <is>
          <t>1997-09-24</t>
        </is>
      </c>
      <c r="Y294" t="n">
        <v>414</v>
      </c>
      <c r="Z294" t="n">
        <v>379</v>
      </c>
      <c r="AA294" t="n">
        <v>386</v>
      </c>
      <c r="AB294" t="n">
        <v>6</v>
      </c>
      <c r="AC294" t="n">
        <v>6</v>
      </c>
      <c r="AD294" t="n">
        <v>10</v>
      </c>
      <c r="AE294" t="n">
        <v>10</v>
      </c>
      <c r="AF294" t="n">
        <v>2</v>
      </c>
      <c r="AG294" t="n">
        <v>2</v>
      </c>
      <c r="AH294" t="n">
        <v>0</v>
      </c>
      <c r="AI294" t="n">
        <v>0</v>
      </c>
      <c r="AJ294" t="n">
        <v>3</v>
      </c>
      <c r="AK294" t="n">
        <v>3</v>
      </c>
      <c r="AL294" t="n">
        <v>5</v>
      </c>
      <c r="AM294" t="n">
        <v>5</v>
      </c>
      <c r="AN294" t="n">
        <v>0</v>
      </c>
      <c r="AO294" t="n">
        <v>0</v>
      </c>
      <c r="AP294" t="inlineStr">
        <is>
          <t>No</t>
        </is>
      </c>
      <c r="AQ294" t="inlineStr">
        <is>
          <t>Yes</t>
        </is>
      </c>
      <c r="AR294">
        <f>HYPERLINK("http://catalog.hathitrust.org/Record/001183101","HathiTrust Record")</f>
        <v/>
      </c>
      <c r="AS294">
        <f>HYPERLINK("https://creighton-primo.hosted.exlibrisgroup.com/primo-explore/search?tab=default_tab&amp;search_scope=EVERYTHING&amp;vid=01CRU&amp;lang=en_US&amp;offset=0&amp;query=any,contains,991002305639702656","Catalog Record")</f>
        <v/>
      </c>
      <c r="AT294">
        <f>HYPERLINK("http://www.worldcat.org/oclc/318145","WorldCat Record")</f>
        <v/>
      </c>
      <c r="AU294" t="inlineStr">
        <is>
          <t>1391868:eng</t>
        </is>
      </c>
      <c r="AV294" t="inlineStr">
        <is>
          <t>318145</t>
        </is>
      </c>
      <c r="AW294" t="inlineStr">
        <is>
          <t>991002305639702656</t>
        </is>
      </c>
      <c r="AX294" t="inlineStr">
        <is>
          <t>991002305639702656</t>
        </is>
      </c>
      <c r="AY294" t="inlineStr">
        <is>
          <t>2270572350002656</t>
        </is>
      </c>
      <c r="AZ294" t="inlineStr">
        <is>
          <t>BOOK</t>
        </is>
      </c>
      <c r="BC294" t="inlineStr">
        <is>
          <t>32285003246435</t>
        </is>
      </c>
      <c r="BD294" t="inlineStr">
        <is>
          <t>893529802</t>
        </is>
      </c>
    </row>
    <row r="295">
      <c r="A295" t="inlineStr">
        <is>
          <t>No</t>
        </is>
      </c>
      <c r="B295" t="inlineStr">
        <is>
          <t>PE1408 .H349 1990</t>
        </is>
      </c>
      <c r="C295" t="inlineStr">
        <is>
          <t>0                      PE 1408000H  349         1990</t>
        </is>
      </c>
      <c r="D295" t="inlineStr">
        <is>
          <t>Writing for college and career / Andrew W. Hart, James A. Reinking.</t>
        </is>
      </c>
      <c r="F295" t="inlineStr">
        <is>
          <t>No</t>
        </is>
      </c>
      <c r="G295" t="inlineStr">
        <is>
          <t>1</t>
        </is>
      </c>
      <c r="H295" t="inlineStr">
        <is>
          <t>No</t>
        </is>
      </c>
      <c r="I295" t="inlineStr">
        <is>
          <t>No</t>
        </is>
      </c>
      <c r="J295" t="inlineStr">
        <is>
          <t>0</t>
        </is>
      </c>
      <c r="K295" t="inlineStr">
        <is>
          <t>Hart, Andrew W., 1921-</t>
        </is>
      </c>
      <c r="L295" t="inlineStr">
        <is>
          <t>New York, NY : St. Martin's Press, c1990.</t>
        </is>
      </c>
      <c r="M295" t="inlineStr">
        <is>
          <t>1990</t>
        </is>
      </c>
      <c r="N295" t="inlineStr">
        <is>
          <t>4th ed.</t>
        </is>
      </c>
      <c r="O295" t="inlineStr">
        <is>
          <t>eng</t>
        </is>
      </c>
      <c r="P295" t="inlineStr">
        <is>
          <t>nyu</t>
        </is>
      </c>
      <c r="R295" t="inlineStr">
        <is>
          <t xml:space="preserve">PE </t>
        </is>
      </c>
      <c r="S295" t="n">
        <v>19</v>
      </c>
      <c r="T295" t="n">
        <v>19</v>
      </c>
      <c r="U295" t="inlineStr">
        <is>
          <t>2007-09-28</t>
        </is>
      </c>
      <c r="V295" t="inlineStr">
        <is>
          <t>2007-09-28</t>
        </is>
      </c>
      <c r="W295" t="inlineStr">
        <is>
          <t>1991-01-04</t>
        </is>
      </c>
      <c r="X295" t="inlineStr">
        <is>
          <t>1991-01-04</t>
        </is>
      </c>
      <c r="Y295" t="n">
        <v>43</v>
      </c>
      <c r="Z295" t="n">
        <v>40</v>
      </c>
      <c r="AA295" t="n">
        <v>40</v>
      </c>
      <c r="AB295" t="n">
        <v>1</v>
      </c>
      <c r="AC295" t="n">
        <v>1</v>
      </c>
      <c r="AD295" t="n">
        <v>0</v>
      </c>
      <c r="AE295" t="n">
        <v>0</v>
      </c>
      <c r="AF295" t="n">
        <v>0</v>
      </c>
      <c r="AG295" t="n">
        <v>0</v>
      </c>
      <c r="AH295" t="n">
        <v>0</v>
      </c>
      <c r="AI295" t="n">
        <v>0</v>
      </c>
      <c r="AJ295" t="n">
        <v>0</v>
      </c>
      <c r="AK295" t="n">
        <v>0</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HYPERLINK("https://creighton-primo.hosted.exlibrisgroup.com/primo-explore/search?tab=default_tab&amp;search_scope=EVERYTHING&amp;vid=01CRU&amp;lang=en_US&amp;offset=0&amp;query=any,contains,991001671349702656","Catalog Record")</f>
        <v/>
      </c>
      <c r="AT295">
        <f>HYPERLINK("http://www.worldcat.org/oclc/21294348","WorldCat Record")</f>
        <v/>
      </c>
      <c r="AU295" t="inlineStr">
        <is>
          <t>23736277:eng</t>
        </is>
      </c>
      <c r="AV295" t="inlineStr">
        <is>
          <t>21294348</t>
        </is>
      </c>
      <c r="AW295" t="inlineStr">
        <is>
          <t>991001671349702656</t>
        </is>
      </c>
      <c r="AX295" t="inlineStr">
        <is>
          <t>991001671349702656</t>
        </is>
      </c>
      <c r="AY295" t="inlineStr">
        <is>
          <t>2265272370002656</t>
        </is>
      </c>
      <c r="AZ295" t="inlineStr">
        <is>
          <t>BOOK</t>
        </is>
      </c>
      <c r="BB295" t="inlineStr">
        <is>
          <t>9780312020781</t>
        </is>
      </c>
      <c r="BC295" t="inlineStr">
        <is>
          <t>32285000358399</t>
        </is>
      </c>
      <c r="BD295" t="inlineStr">
        <is>
          <t>893340600</t>
        </is>
      </c>
    </row>
    <row r="296">
      <c r="A296" t="inlineStr">
        <is>
          <t>No</t>
        </is>
      </c>
      <c r="B296" t="inlineStr">
        <is>
          <t>PE1408 .H46</t>
        </is>
      </c>
      <c r="C296" t="inlineStr">
        <is>
          <t>0                      PE 1408000H  46</t>
        </is>
      </c>
      <c r="D296" t="inlineStr">
        <is>
          <t>College composition : rhetoric, grammar, research / James G. Hepburn.</t>
        </is>
      </c>
      <c r="F296" t="inlineStr">
        <is>
          <t>No</t>
        </is>
      </c>
      <c r="G296" t="inlineStr">
        <is>
          <t>1</t>
        </is>
      </c>
      <c r="H296" t="inlineStr">
        <is>
          <t>No</t>
        </is>
      </c>
      <c r="I296" t="inlineStr">
        <is>
          <t>No</t>
        </is>
      </c>
      <c r="J296" t="inlineStr">
        <is>
          <t>0</t>
        </is>
      </c>
      <c r="K296" t="inlineStr">
        <is>
          <t>Hepburn, James G.</t>
        </is>
      </c>
      <c r="L296" t="inlineStr">
        <is>
          <t>New York, Macmillan [1964]</t>
        </is>
      </c>
      <c r="M296" t="inlineStr">
        <is>
          <t>1964</t>
        </is>
      </c>
      <c r="O296" t="inlineStr">
        <is>
          <t>eng</t>
        </is>
      </c>
      <c r="P296" t="inlineStr">
        <is>
          <t>___</t>
        </is>
      </c>
      <c r="R296" t="inlineStr">
        <is>
          <t xml:space="preserve">PE </t>
        </is>
      </c>
      <c r="S296" t="n">
        <v>8</v>
      </c>
      <c r="T296" t="n">
        <v>8</v>
      </c>
      <c r="U296" t="inlineStr">
        <is>
          <t>2001-04-12</t>
        </is>
      </c>
      <c r="V296" t="inlineStr">
        <is>
          <t>2001-04-12</t>
        </is>
      </c>
      <c r="W296" t="inlineStr">
        <is>
          <t>1992-05-01</t>
        </is>
      </c>
      <c r="X296" t="inlineStr">
        <is>
          <t>1992-05-01</t>
        </is>
      </c>
      <c r="Y296" t="n">
        <v>160</v>
      </c>
      <c r="Z296" t="n">
        <v>152</v>
      </c>
      <c r="AA296" t="n">
        <v>155</v>
      </c>
      <c r="AB296" t="n">
        <v>3</v>
      </c>
      <c r="AC296" t="n">
        <v>3</v>
      </c>
      <c r="AD296" t="n">
        <v>2</v>
      </c>
      <c r="AE296" t="n">
        <v>2</v>
      </c>
      <c r="AF296" t="n">
        <v>0</v>
      </c>
      <c r="AG296" t="n">
        <v>0</v>
      </c>
      <c r="AH296" t="n">
        <v>0</v>
      </c>
      <c r="AI296" t="n">
        <v>0</v>
      </c>
      <c r="AJ296" t="n">
        <v>1</v>
      </c>
      <c r="AK296" t="n">
        <v>1</v>
      </c>
      <c r="AL296" t="n">
        <v>1</v>
      </c>
      <c r="AM296" t="n">
        <v>1</v>
      </c>
      <c r="AN296" t="n">
        <v>0</v>
      </c>
      <c r="AO296" t="n">
        <v>0</v>
      </c>
      <c r="AP296" t="inlineStr">
        <is>
          <t>No</t>
        </is>
      </c>
      <c r="AQ296" t="inlineStr">
        <is>
          <t>Yes</t>
        </is>
      </c>
      <c r="AR296">
        <f>HYPERLINK("http://catalog.hathitrust.org/Record/007010552","HathiTrust Record")</f>
        <v/>
      </c>
      <c r="AS296">
        <f>HYPERLINK("https://creighton-primo.hosted.exlibrisgroup.com/primo-explore/search?tab=default_tab&amp;search_scope=EVERYTHING&amp;vid=01CRU&amp;lang=en_US&amp;offset=0&amp;query=any,contains,991003249889702656","Catalog Record")</f>
        <v/>
      </c>
      <c r="AT296">
        <f>HYPERLINK("http://www.worldcat.org/oclc/774805","WorldCat Record")</f>
        <v/>
      </c>
      <c r="AU296" t="inlineStr">
        <is>
          <t>1685139:eng</t>
        </is>
      </c>
      <c r="AV296" t="inlineStr">
        <is>
          <t>774805</t>
        </is>
      </c>
      <c r="AW296" t="inlineStr">
        <is>
          <t>991003249889702656</t>
        </is>
      </c>
      <c r="AX296" t="inlineStr">
        <is>
          <t>991003249889702656</t>
        </is>
      </c>
      <c r="AY296" t="inlineStr">
        <is>
          <t>2262727640002656</t>
        </is>
      </c>
      <c r="AZ296" t="inlineStr">
        <is>
          <t>BOOK</t>
        </is>
      </c>
      <c r="BC296" t="inlineStr">
        <is>
          <t>32285001091080</t>
        </is>
      </c>
      <c r="BD296" t="inlineStr">
        <is>
          <t>893604576</t>
        </is>
      </c>
    </row>
    <row r="297">
      <c r="A297" t="inlineStr">
        <is>
          <t>No</t>
        </is>
      </c>
      <c r="B297" t="inlineStr">
        <is>
          <t>PE1408 .H785 1991</t>
        </is>
      </c>
      <c r="C297" t="inlineStr">
        <is>
          <t>0                      PE 1408000H  785         1991</t>
        </is>
      </c>
      <c r="D297" t="inlineStr">
        <is>
          <t>The Riverside guide to writing / Douglas Hunt.</t>
        </is>
      </c>
      <c r="F297" t="inlineStr">
        <is>
          <t>No</t>
        </is>
      </c>
      <c r="G297" t="inlineStr">
        <is>
          <t>1</t>
        </is>
      </c>
      <c r="H297" t="inlineStr">
        <is>
          <t>No</t>
        </is>
      </c>
      <c r="I297" t="inlineStr">
        <is>
          <t>Yes</t>
        </is>
      </c>
      <c r="J297" t="inlineStr">
        <is>
          <t>0</t>
        </is>
      </c>
      <c r="K297" t="inlineStr">
        <is>
          <t>Hunt, Douglas, 1949-</t>
        </is>
      </c>
      <c r="L297" t="inlineStr">
        <is>
          <t>Boston : Houghton Mifflin, c1991.</t>
        </is>
      </c>
      <c r="M297" t="inlineStr">
        <is>
          <t>1991</t>
        </is>
      </c>
      <c r="O297" t="inlineStr">
        <is>
          <t>eng</t>
        </is>
      </c>
      <c r="P297" t="inlineStr">
        <is>
          <t>mau</t>
        </is>
      </c>
      <c r="R297" t="inlineStr">
        <is>
          <t xml:space="preserve">PE </t>
        </is>
      </c>
      <c r="S297" t="n">
        <v>2</v>
      </c>
      <c r="T297" t="n">
        <v>2</v>
      </c>
      <c r="U297" t="inlineStr">
        <is>
          <t>2010-07-19</t>
        </is>
      </c>
      <c r="V297" t="inlineStr">
        <is>
          <t>2010-07-19</t>
        </is>
      </c>
      <c r="W297" t="inlineStr">
        <is>
          <t>1996-09-03</t>
        </is>
      </c>
      <c r="X297" t="inlineStr">
        <is>
          <t>1996-09-03</t>
        </is>
      </c>
      <c r="Y297" t="n">
        <v>111</v>
      </c>
      <c r="Z297" t="n">
        <v>97</v>
      </c>
      <c r="AA297" t="n">
        <v>162</v>
      </c>
      <c r="AB297" t="n">
        <v>1</v>
      </c>
      <c r="AC297" t="n">
        <v>1</v>
      </c>
      <c r="AD297" t="n">
        <v>1</v>
      </c>
      <c r="AE297" t="n">
        <v>3</v>
      </c>
      <c r="AF297" t="n">
        <v>0</v>
      </c>
      <c r="AG297" t="n">
        <v>1</v>
      </c>
      <c r="AH297" t="n">
        <v>0</v>
      </c>
      <c r="AI297" t="n">
        <v>0</v>
      </c>
      <c r="AJ297" t="n">
        <v>0</v>
      </c>
      <c r="AK297" t="n">
        <v>2</v>
      </c>
      <c r="AL297" t="n">
        <v>0</v>
      </c>
      <c r="AM297" t="n">
        <v>0</v>
      </c>
      <c r="AN297" t="n">
        <v>1</v>
      </c>
      <c r="AO297" t="n">
        <v>1</v>
      </c>
      <c r="AP297" t="inlineStr">
        <is>
          <t>No</t>
        </is>
      </c>
      <c r="AQ297" t="inlineStr">
        <is>
          <t>No</t>
        </is>
      </c>
      <c r="AS297">
        <f>HYPERLINK("https://creighton-primo.hosted.exlibrisgroup.com/primo-explore/search?tab=default_tab&amp;search_scope=EVERYTHING&amp;vid=01CRU&amp;lang=en_US&amp;offset=0&amp;query=any,contains,991001837289702656","Catalog Record")</f>
        <v/>
      </c>
      <c r="AT297">
        <f>HYPERLINK("http://www.worldcat.org/oclc/23080981","WorldCat Record")</f>
        <v/>
      </c>
      <c r="AU297" t="inlineStr">
        <is>
          <t>24130746:eng</t>
        </is>
      </c>
      <c r="AV297" t="inlineStr">
        <is>
          <t>23080981</t>
        </is>
      </c>
      <c r="AW297" t="inlineStr">
        <is>
          <t>991001837289702656</t>
        </is>
      </c>
      <c r="AX297" t="inlineStr">
        <is>
          <t>991001837289702656</t>
        </is>
      </c>
      <c r="AY297" t="inlineStr">
        <is>
          <t>2259238520002656</t>
        </is>
      </c>
      <c r="AZ297" t="inlineStr">
        <is>
          <t>BOOK</t>
        </is>
      </c>
      <c r="BB297" t="inlineStr">
        <is>
          <t>9780395534984</t>
        </is>
      </c>
      <c r="BC297" t="inlineStr">
        <is>
          <t>32285002293891</t>
        </is>
      </c>
      <c r="BD297" t="inlineStr">
        <is>
          <t>893703372</t>
        </is>
      </c>
    </row>
    <row r="298">
      <c r="A298" t="inlineStr">
        <is>
          <t>No</t>
        </is>
      </c>
      <c r="B298" t="inlineStr">
        <is>
          <t>PE1408 .H785 1991, Supp.</t>
        </is>
      </c>
      <c r="C298" t="inlineStr">
        <is>
          <t>0                      PE 1408000H  785         1991                                        Supp.</t>
        </is>
      </c>
      <c r="D298" t="inlineStr">
        <is>
          <t>The Riverside guide to writing / Douglas Hunt.</t>
        </is>
      </c>
      <c r="E298" t="inlineStr">
        <is>
          <t>Supp.*</t>
        </is>
      </c>
      <c r="F298" t="inlineStr">
        <is>
          <t>No</t>
        </is>
      </c>
      <c r="G298" t="inlineStr">
        <is>
          <t>1</t>
        </is>
      </c>
      <c r="H298" t="inlineStr">
        <is>
          <t>No</t>
        </is>
      </c>
      <c r="I298" t="inlineStr">
        <is>
          <t>Yes</t>
        </is>
      </c>
      <c r="J298" t="inlineStr">
        <is>
          <t>0</t>
        </is>
      </c>
      <c r="K298" t="inlineStr">
        <is>
          <t>Hunt, Douglas, 1949-</t>
        </is>
      </c>
      <c r="L298" t="inlineStr">
        <is>
          <t>Boston : Houghton Mifflin, c1991.</t>
        </is>
      </c>
      <c r="M298" t="inlineStr">
        <is>
          <t>1991</t>
        </is>
      </c>
      <c r="N298" t="inlineStr">
        <is>
          <t>Instructor's resource manual.</t>
        </is>
      </c>
      <c r="O298" t="inlineStr">
        <is>
          <t>eng</t>
        </is>
      </c>
      <c r="P298" t="inlineStr">
        <is>
          <t>mau</t>
        </is>
      </c>
      <c r="R298" t="inlineStr">
        <is>
          <t xml:space="preserve">PE </t>
        </is>
      </c>
      <c r="S298" t="n">
        <v>2</v>
      </c>
      <c r="T298" t="n">
        <v>2</v>
      </c>
      <c r="U298" t="inlineStr">
        <is>
          <t>2001-04-12</t>
        </is>
      </c>
      <c r="V298" t="inlineStr">
        <is>
          <t>2001-04-12</t>
        </is>
      </c>
      <c r="W298" t="inlineStr">
        <is>
          <t>1996-09-03</t>
        </is>
      </c>
      <c r="X298" t="inlineStr">
        <is>
          <t>1996-09-03</t>
        </is>
      </c>
      <c r="Y298" t="n">
        <v>14</v>
      </c>
      <c r="Z298" t="n">
        <v>13</v>
      </c>
      <c r="AA298" t="n">
        <v>162</v>
      </c>
      <c r="AB298" t="n">
        <v>1</v>
      </c>
      <c r="AC298" t="n">
        <v>1</v>
      </c>
      <c r="AD298" t="n">
        <v>0</v>
      </c>
      <c r="AE298" t="n">
        <v>3</v>
      </c>
      <c r="AF298" t="n">
        <v>0</v>
      </c>
      <c r="AG298" t="n">
        <v>1</v>
      </c>
      <c r="AH298" t="n">
        <v>0</v>
      </c>
      <c r="AI298" t="n">
        <v>0</v>
      </c>
      <c r="AJ298" t="n">
        <v>0</v>
      </c>
      <c r="AK298" t="n">
        <v>2</v>
      </c>
      <c r="AL298" t="n">
        <v>0</v>
      </c>
      <c r="AM298" t="n">
        <v>0</v>
      </c>
      <c r="AN298" t="n">
        <v>0</v>
      </c>
      <c r="AO298" t="n">
        <v>1</v>
      </c>
      <c r="AP298" t="inlineStr">
        <is>
          <t>No</t>
        </is>
      </c>
      <c r="AQ298" t="inlineStr">
        <is>
          <t>No</t>
        </is>
      </c>
      <c r="AS298">
        <f>HYPERLINK("https://creighton-primo.hosted.exlibrisgroup.com/primo-explore/search?tab=default_tab&amp;search_scope=EVERYTHING&amp;vid=01CRU&amp;lang=en_US&amp;offset=0&amp;query=any,contains,991002178889702656","Catalog Record")</f>
        <v/>
      </c>
      <c r="AT298">
        <f>HYPERLINK("http://www.worldcat.org/oclc/28052106","WorldCat Record")</f>
        <v/>
      </c>
      <c r="AU298" t="inlineStr">
        <is>
          <t>24130746:eng</t>
        </is>
      </c>
      <c r="AV298" t="inlineStr">
        <is>
          <t>28052106</t>
        </is>
      </c>
      <c r="AW298" t="inlineStr">
        <is>
          <t>991002178889702656</t>
        </is>
      </c>
      <c r="AX298" t="inlineStr">
        <is>
          <t>991002178889702656</t>
        </is>
      </c>
      <c r="AY298" t="inlineStr">
        <is>
          <t>2256426260002656</t>
        </is>
      </c>
      <c r="AZ298" t="inlineStr">
        <is>
          <t>BOOK</t>
        </is>
      </c>
      <c r="BB298" t="inlineStr">
        <is>
          <t>9780395572764</t>
        </is>
      </c>
      <c r="BC298" t="inlineStr">
        <is>
          <t>32285002293909</t>
        </is>
      </c>
      <c r="BD298" t="inlineStr">
        <is>
          <t>893427288</t>
        </is>
      </c>
    </row>
    <row r="299">
      <c r="A299" t="inlineStr">
        <is>
          <t>No</t>
        </is>
      </c>
      <c r="B299" t="inlineStr">
        <is>
          <t>PE1408 .I46 1997</t>
        </is>
      </c>
      <c r="C299" t="inlineStr">
        <is>
          <t>0                      PE 1408000I  46          1997</t>
        </is>
      </c>
      <c r="D299" t="inlineStr">
        <is>
          <t>Within reach : a guide to successful writing / Anna Ingalls, Dan Moody.</t>
        </is>
      </c>
      <c r="F299" t="inlineStr">
        <is>
          <t>No</t>
        </is>
      </c>
      <c r="G299" t="inlineStr">
        <is>
          <t>1</t>
        </is>
      </c>
      <c r="H299" t="inlineStr">
        <is>
          <t>No</t>
        </is>
      </c>
      <c r="I299" t="inlineStr">
        <is>
          <t>No</t>
        </is>
      </c>
      <c r="J299" t="inlineStr">
        <is>
          <t>0</t>
        </is>
      </c>
      <c r="K299" t="inlineStr">
        <is>
          <t>Ingalls, Anna.</t>
        </is>
      </c>
      <c r="L299" t="inlineStr">
        <is>
          <t>Boston : Allyn &amp; Bacon, 1997.</t>
        </is>
      </c>
      <c r="M299" t="inlineStr">
        <is>
          <t>1997</t>
        </is>
      </c>
      <c r="O299" t="inlineStr">
        <is>
          <t>eng</t>
        </is>
      </c>
      <c r="P299" t="inlineStr">
        <is>
          <t>mau</t>
        </is>
      </c>
      <c r="R299" t="inlineStr">
        <is>
          <t xml:space="preserve">PE </t>
        </is>
      </c>
      <c r="S299" t="n">
        <v>12</v>
      </c>
      <c r="T299" t="n">
        <v>12</v>
      </c>
      <c r="U299" t="inlineStr">
        <is>
          <t>2006-10-03</t>
        </is>
      </c>
      <c r="V299" t="inlineStr">
        <is>
          <t>2006-10-03</t>
        </is>
      </c>
      <c r="W299" t="inlineStr">
        <is>
          <t>1996-11-12</t>
        </is>
      </c>
      <c r="X299" t="inlineStr">
        <is>
          <t>1996-11-12</t>
        </is>
      </c>
      <c r="Y299" t="n">
        <v>43</v>
      </c>
      <c r="Z299" t="n">
        <v>35</v>
      </c>
      <c r="AA299" t="n">
        <v>35</v>
      </c>
      <c r="AB299" t="n">
        <v>2</v>
      </c>
      <c r="AC299" t="n">
        <v>2</v>
      </c>
      <c r="AD299" t="n">
        <v>1</v>
      </c>
      <c r="AE299" t="n">
        <v>1</v>
      </c>
      <c r="AF299" t="n">
        <v>0</v>
      </c>
      <c r="AG299" t="n">
        <v>0</v>
      </c>
      <c r="AH299" t="n">
        <v>0</v>
      </c>
      <c r="AI299" t="n">
        <v>0</v>
      </c>
      <c r="AJ299" t="n">
        <v>0</v>
      </c>
      <c r="AK299" t="n">
        <v>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HYPERLINK("https://creighton-primo.hosted.exlibrisgroup.com/primo-explore/search?tab=default_tab&amp;search_scope=EVERYTHING&amp;vid=01CRU&amp;lang=en_US&amp;offset=0&amp;query=any,contains,991002624759702656","Catalog Record")</f>
        <v/>
      </c>
      <c r="AT299">
        <f>HYPERLINK("http://www.worldcat.org/oclc/34410571","WorldCat Record")</f>
        <v/>
      </c>
      <c r="AU299" t="inlineStr">
        <is>
          <t>39359332:eng</t>
        </is>
      </c>
      <c r="AV299" t="inlineStr">
        <is>
          <t>34410571</t>
        </is>
      </c>
      <c r="AW299" t="inlineStr">
        <is>
          <t>991002624759702656</t>
        </is>
      </c>
      <c r="AX299" t="inlineStr">
        <is>
          <t>991002624759702656</t>
        </is>
      </c>
      <c r="AY299" t="inlineStr">
        <is>
          <t>2263629910002656</t>
        </is>
      </c>
      <c r="AZ299" t="inlineStr">
        <is>
          <t>BOOK</t>
        </is>
      </c>
      <c r="BB299" t="inlineStr">
        <is>
          <t>9780205160853</t>
        </is>
      </c>
      <c r="BC299" t="inlineStr">
        <is>
          <t>32285002395241</t>
        </is>
      </c>
      <c r="BD299" t="inlineStr">
        <is>
          <t>893341639</t>
        </is>
      </c>
    </row>
    <row r="300">
      <c r="A300" t="inlineStr">
        <is>
          <t>No</t>
        </is>
      </c>
      <c r="B300" t="inlineStr">
        <is>
          <t>PE1408 .I67</t>
        </is>
      </c>
      <c r="C300" t="inlineStr">
        <is>
          <t>0                      PE 1408000I  67</t>
        </is>
      </c>
      <c r="D300" t="inlineStr">
        <is>
          <t>The Holt guide to English : a contemporary handbook of rhetoric, language, and literature / [by] William F. Irmscher.</t>
        </is>
      </c>
      <c r="F300" t="inlineStr">
        <is>
          <t>No</t>
        </is>
      </c>
      <c r="G300" t="inlineStr">
        <is>
          <t>1</t>
        </is>
      </c>
      <c r="H300" t="inlineStr">
        <is>
          <t>No</t>
        </is>
      </c>
      <c r="I300" t="inlineStr">
        <is>
          <t>No</t>
        </is>
      </c>
      <c r="J300" t="inlineStr">
        <is>
          <t>0</t>
        </is>
      </c>
      <c r="K300" t="inlineStr">
        <is>
          <t>Irmscher, William F.</t>
        </is>
      </c>
      <c r="L300" t="inlineStr">
        <is>
          <t>New York : Holt, Rinehart and Winston, 1972.</t>
        </is>
      </c>
      <c r="M300" t="inlineStr">
        <is>
          <t>1972</t>
        </is>
      </c>
      <c r="O300" t="inlineStr">
        <is>
          <t>eng</t>
        </is>
      </c>
      <c r="P300" t="inlineStr">
        <is>
          <t>nyu</t>
        </is>
      </c>
      <c r="R300" t="inlineStr">
        <is>
          <t xml:space="preserve">PE </t>
        </is>
      </c>
      <c r="S300" t="n">
        <v>6</v>
      </c>
      <c r="T300" t="n">
        <v>6</v>
      </c>
      <c r="U300" t="inlineStr">
        <is>
          <t>2006-11-15</t>
        </is>
      </c>
      <c r="V300" t="inlineStr">
        <is>
          <t>2006-11-15</t>
        </is>
      </c>
      <c r="W300" t="inlineStr">
        <is>
          <t>1993-04-16</t>
        </is>
      </c>
      <c r="X300" t="inlineStr">
        <is>
          <t>1993-04-16</t>
        </is>
      </c>
      <c r="Y300" t="n">
        <v>298</v>
      </c>
      <c r="Z300" t="n">
        <v>253</v>
      </c>
      <c r="AA300" t="n">
        <v>460</v>
      </c>
      <c r="AB300" t="n">
        <v>1</v>
      </c>
      <c r="AC300" t="n">
        <v>4</v>
      </c>
      <c r="AD300" t="n">
        <v>4</v>
      </c>
      <c r="AE300" t="n">
        <v>11</v>
      </c>
      <c r="AF300" t="n">
        <v>2</v>
      </c>
      <c r="AG300" t="n">
        <v>6</v>
      </c>
      <c r="AH300" t="n">
        <v>1</v>
      </c>
      <c r="AI300" t="n">
        <v>1</v>
      </c>
      <c r="AJ300" t="n">
        <v>2</v>
      </c>
      <c r="AK300" t="n">
        <v>3</v>
      </c>
      <c r="AL300" t="n">
        <v>0</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HYPERLINK("https://creighton-primo.hosted.exlibrisgroup.com/primo-explore/search?tab=default_tab&amp;search_scope=EVERYTHING&amp;vid=01CRU&amp;lang=en_US&amp;offset=0&amp;query=any,contains,991001296539702656","Catalog Record")</f>
        <v/>
      </c>
      <c r="AT300">
        <f>HYPERLINK("http://www.worldcat.org/oclc/219932","WorldCat Record")</f>
        <v/>
      </c>
      <c r="AU300" t="inlineStr">
        <is>
          <t>1320134:eng</t>
        </is>
      </c>
      <c r="AV300" t="inlineStr">
        <is>
          <t>219932</t>
        </is>
      </c>
      <c r="AW300" t="inlineStr">
        <is>
          <t>991001296539702656</t>
        </is>
      </c>
      <c r="AX300" t="inlineStr">
        <is>
          <t>991001296539702656</t>
        </is>
      </c>
      <c r="AY300" t="inlineStr">
        <is>
          <t>2258090230002656</t>
        </is>
      </c>
      <c r="AZ300" t="inlineStr">
        <is>
          <t>BOOK</t>
        </is>
      </c>
      <c r="BB300" t="inlineStr">
        <is>
          <t>9780030779657</t>
        </is>
      </c>
      <c r="BC300" t="inlineStr">
        <is>
          <t>32285001621308</t>
        </is>
      </c>
      <c r="BD300" t="inlineStr">
        <is>
          <t>893414147</t>
        </is>
      </c>
    </row>
    <row r="301">
      <c r="A301" t="inlineStr">
        <is>
          <t>No</t>
        </is>
      </c>
      <c r="B301" t="inlineStr">
        <is>
          <t>PE1408 .J67 2006</t>
        </is>
      </c>
      <c r="C301" t="inlineStr">
        <is>
          <t>0                      PE 1408000J  67          2006</t>
        </is>
      </c>
      <c r="D301" t="inlineStr">
        <is>
          <t>Writing excellence / Lee Clark Johns ; adapted by Leo Sevigny.</t>
        </is>
      </c>
      <c r="F301" t="inlineStr">
        <is>
          <t>No</t>
        </is>
      </c>
      <c r="G301" t="inlineStr">
        <is>
          <t>1</t>
        </is>
      </c>
      <c r="H301" t="inlineStr">
        <is>
          <t>No</t>
        </is>
      </c>
      <c r="I301" t="inlineStr">
        <is>
          <t>No</t>
        </is>
      </c>
      <c r="J301" t="inlineStr">
        <is>
          <t>0</t>
        </is>
      </c>
      <c r="K301" t="inlineStr">
        <is>
          <t>Johns, Lee Clark.</t>
        </is>
      </c>
      <c r="L301" t="inlineStr">
        <is>
          <t>Clifton Park, NY : Thomson/Delmar Learning, c2006.</t>
        </is>
      </c>
      <c r="M301" t="inlineStr">
        <is>
          <t>2006</t>
        </is>
      </c>
      <c r="O301" t="inlineStr">
        <is>
          <t>eng</t>
        </is>
      </c>
      <c r="P301" t="inlineStr">
        <is>
          <t>nyu</t>
        </is>
      </c>
      <c r="Q301" t="inlineStr">
        <is>
          <t>Pathway to excellence series</t>
        </is>
      </c>
      <c r="R301" t="inlineStr">
        <is>
          <t xml:space="preserve">PE </t>
        </is>
      </c>
      <c r="S301" t="n">
        <v>4</v>
      </c>
      <c r="T301" t="n">
        <v>4</v>
      </c>
      <c r="U301" t="inlineStr">
        <is>
          <t>2005-11-08</t>
        </is>
      </c>
      <c r="V301" t="inlineStr">
        <is>
          <t>2005-11-08</t>
        </is>
      </c>
      <c r="W301" t="inlineStr">
        <is>
          <t>2005-11-08</t>
        </is>
      </c>
      <c r="X301" t="inlineStr">
        <is>
          <t>2005-11-08</t>
        </is>
      </c>
      <c r="Y301" t="n">
        <v>69</v>
      </c>
      <c r="Z301" t="n">
        <v>35</v>
      </c>
      <c r="AA301" t="n">
        <v>36</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HYPERLINK("https://creighton-primo.hosted.exlibrisgroup.com/primo-explore/search?tab=default_tab&amp;search_scope=EVERYTHING&amp;vid=01CRU&amp;lang=en_US&amp;offset=0&amp;query=any,contains,991004648059702656","Catalog Record")</f>
        <v/>
      </c>
      <c r="AT301">
        <f>HYPERLINK("http://www.worldcat.org/oclc/58986074","WorldCat Record")</f>
        <v/>
      </c>
      <c r="AU301" t="inlineStr">
        <is>
          <t>911329:eng</t>
        </is>
      </c>
      <c r="AV301" t="inlineStr">
        <is>
          <t>58986074</t>
        </is>
      </c>
      <c r="AW301" t="inlineStr">
        <is>
          <t>991004648059702656</t>
        </is>
      </c>
      <c r="AX301" t="inlineStr">
        <is>
          <t>991004648059702656</t>
        </is>
      </c>
      <c r="AY301" t="inlineStr">
        <is>
          <t>2257532150002656</t>
        </is>
      </c>
      <c r="AZ301" t="inlineStr">
        <is>
          <t>BOOK</t>
        </is>
      </c>
      <c r="BB301" t="inlineStr">
        <is>
          <t>9781401882037</t>
        </is>
      </c>
      <c r="BC301" t="inlineStr">
        <is>
          <t>32285005087480</t>
        </is>
      </c>
      <c r="BD301" t="inlineStr">
        <is>
          <t>893319484</t>
        </is>
      </c>
    </row>
    <row r="302">
      <c r="A302" t="inlineStr">
        <is>
          <t>No</t>
        </is>
      </c>
      <c r="B302" t="inlineStr">
        <is>
          <t>PE1408 .K27</t>
        </is>
      </c>
      <c r="C302" t="inlineStr">
        <is>
          <t>0                      PE 1408000K  27</t>
        </is>
      </c>
      <c r="D302" t="inlineStr">
        <is>
          <t>Writing handbook / [by] Michael P. Kammer [and] Charles W. Mulligan.</t>
        </is>
      </c>
      <c r="F302" t="inlineStr">
        <is>
          <t>No</t>
        </is>
      </c>
      <c r="G302" t="inlineStr">
        <is>
          <t>1</t>
        </is>
      </c>
      <c r="H302" t="inlineStr">
        <is>
          <t>No</t>
        </is>
      </c>
      <c r="I302" t="inlineStr">
        <is>
          <t>No</t>
        </is>
      </c>
      <c r="J302" t="inlineStr">
        <is>
          <t>0</t>
        </is>
      </c>
      <c r="K302" t="inlineStr">
        <is>
          <t>Kammer, Michael P.</t>
        </is>
      </c>
      <c r="L302" t="inlineStr">
        <is>
          <t>Chicago : Loyola University Press, 1953.</t>
        </is>
      </c>
      <c r="M302" t="inlineStr">
        <is>
          <t>1953</t>
        </is>
      </c>
      <c r="O302" t="inlineStr">
        <is>
          <t>eng</t>
        </is>
      </c>
      <c r="P302" t="inlineStr">
        <is>
          <t>ilu</t>
        </is>
      </c>
      <c r="R302" t="inlineStr">
        <is>
          <t xml:space="preserve">PE </t>
        </is>
      </c>
      <c r="S302" t="n">
        <v>7</v>
      </c>
      <c r="T302" t="n">
        <v>7</v>
      </c>
      <c r="U302" t="inlineStr">
        <is>
          <t>2008-04-01</t>
        </is>
      </c>
      <c r="V302" t="inlineStr">
        <is>
          <t>2008-04-01</t>
        </is>
      </c>
      <c r="W302" t="inlineStr">
        <is>
          <t>1991-10-21</t>
        </is>
      </c>
      <c r="X302" t="inlineStr">
        <is>
          <t>1991-10-21</t>
        </is>
      </c>
      <c r="Y302" t="n">
        <v>92</v>
      </c>
      <c r="Z302" t="n">
        <v>81</v>
      </c>
      <c r="AA302" t="n">
        <v>90</v>
      </c>
      <c r="AB302" t="n">
        <v>3</v>
      </c>
      <c r="AC302" t="n">
        <v>3</v>
      </c>
      <c r="AD302" t="n">
        <v>10</v>
      </c>
      <c r="AE302" t="n">
        <v>10</v>
      </c>
      <c r="AF302" t="n">
        <v>3</v>
      </c>
      <c r="AG302" t="n">
        <v>3</v>
      </c>
      <c r="AH302" t="n">
        <v>1</v>
      </c>
      <c r="AI302" t="n">
        <v>1</v>
      </c>
      <c r="AJ302" t="n">
        <v>6</v>
      </c>
      <c r="AK302" t="n">
        <v>6</v>
      </c>
      <c r="AL302" t="n">
        <v>2</v>
      </c>
      <c r="AM302" t="n">
        <v>2</v>
      </c>
      <c r="AN302" t="n">
        <v>1</v>
      </c>
      <c r="AO302" t="n">
        <v>1</v>
      </c>
      <c r="AP302" t="inlineStr">
        <is>
          <t>No</t>
        </is>
      </c>
      <c r="AQ302" t="inlineStr">
        <is>
          <t>Yes</t>
        </is>
      </c>
      <c r="AR302">
        <f>HYPERLINK("http://catalog.hathitrust.org/Record/101664515","HathiTrust Record")</f>
        <v/>
      </c>
      <c r="AS302">
        <f>HYPERLINK("https://creighton-primo.hosted.exlibrisgroup.com/primo-explore/search?tab=default_tab&amp;search_scope=EVERYTHING&amp;vid=01CRU&amp;lang=en_US&amp;offset=0&amp;query=any,contains,991004165419702656","Catalog Record")</f>
        <v/>
      </c>
      <c r="AT302">
        <f>HYPERLINK("http://www.worldcat.org/oclc/2565634","WorldCat Record")</f>
        <v/>
      </c>
      <c r="AU302" t="inlineStr">
        <is>
          <t>5311237:eng</t>
        </is>
      </c>
      <c r="AV302" t="inlineStr">
        <is>
          <t>2565634</t>
        </is>
      </c>
      <c r="AW302" t="inlineStr">
        <is>
          <t>991004165419702656</t>
        </is>
      </c>
      <c r="AX302" t="inlineStr">
        <is>
          <t>991004165419702656</t>
        </is>
      </c>
      <c r="AY302" t="inlineStr">
        <is>
          <t>2255401120002656</t>
        </is>
      </c>
      <c r="AZ302" t="inlineStr">
        <is>
          <t>BOOK</t>
        </is>
      </c>
      <c r="BC302" t="inlineStr">
        <is>
          <t>32285000775238</t>
        </is>
      </c>
      <c r="BD302" t="inlineStr">
        <is>
          <t>893429735</t>
        </is>
      </c>
    </row>
    <row r="303">
      <c r="A303" t="inlineStr">
        <is>
          <t>No</t>
        </is>
      </c>
      <c r="B303" t="inlineStr">
        <is>
          <t>PE1408 .K39 2007</t>
        </is>
      </c>
      <c r="C303" t="inlineStr">
        <is>
          <t>0                      PE 1408000K  39          2007</t>
        </is>
      </c>
      <c r="D303" t="inlineStr">
        <is>
          <t>Adventures in composition : improving writing skills through literature / Judith Kay, Rosemary Gelshenen.</t>
        </is>
      </c>
      <c r="F303" t="inlineStr">
        <is>
          <t>No</t>
        </is>
      </c>
      <c r="G303" t="inlineStr">
        <is>
          <t>1</t>
        </is>
      </c>
      <c r="H303" t="inlineStr">
        <is>
          <t>No</t>
        </is>
      </c>
      <c r="I303" t="inlineStr">
        <is>
          <t>No</t>
        </is>
      </c>
      <c r="J303" t="inlineStr">
        <is>
          <t>0</t>
        </is>
      </c>
      <c r="K303" t="inlineStr">
        <is>
          <t>Kay, Judith.</t>
        </is>
      </c>
      <c r="L303" t="inlineStr">
        <is>
          <t>Ann Arbor : University of Michigan Press, c2007.</t>
        </is>
      </c>
      <c r="M303" t="inlineStr">
        <is>
          <t>2007</t>
        </is>
      </c>
      <c r="O303" t="inlineStr">
        <is>
          <t>eng</t>
        </is>
      </c>
      <c r="P303" t="inlineStr">
        <is>
          <t>miu</t>
        </is>
      </c>
      <c r="R303" t="inlineStr">
        <is>
          <t xml:space="preserve">PE </t>
        </is>
      </c>
      <c r="S303" t="n">
        <v>2</v>
      </c>
      <c r="T303" t="n">
        <v>2</v>
      </c>
      <c r="U303" t="inlineStr">
        <is>
          <t>2008-05-05</t>
        </is>
      </c>
      <c r="V303" t="inlineStr">
        <is>
          <t>2008-05-05</t>
        </is>
      </c>
      <c r="W303" t="inlineStr">
        <is>
          <t>2008-05-05</t>
        </is>
      </c>
      <c r="X303" t="inlineStr">
        <is>
          <t>2008-05-05</t>
        </is>
      </c>
      <c r="Y303" t="n">
        <v>36</v>
      </c>
      <c r="Z303" t="n">
        <v>26</v>
      </c>
      <c r="AA303" t="n">
        <v>26</v>
      </c>
      <c r="AB303" t="n">
        <v>1</v>
      </c>
      <c r="AC303" t="n">
        <v>1</v>
      </c>
      <c r="AD303" t="n">
        <v>0</v>
      </c>
      <c r="AE303" t="n">
        <v>0</v>
      </c>
      <c r="AF303" t="n">
        <v>0</v>
      </c>
      <c r="AG303" t="n">
        <v>0</v>
      </c>
      <c r="AH303" t="n">
        <v>0</v>
      </c>
      <c r="AI303" t="n">
        <v>0</v>
      </c>
      <c r="AJ303" t="n">
        <v>0</v>
      </c>
      <c r="AK303" t="n">
        <v>0</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HYPERLINK("https://creighton-primo.hosted.exlibrisgroup.com/primo-explore/search?tab=default_tab&amp;search_scope=EVERYTHING&amp;vid=01CRU&amp;lang=en_US&amp;offset=0&amp;query=any,contains,991005120729702656","Catalog Record")</f>
        <v/>
      </c>
      <c r="AT303">
        <f>HYPERLINK("http://www.worldcat.org/oclc/144225284","WorldCat Record")</f>
        <v/>
      </c>
      <c r="AU303" t="inlineStr">
        <is>
          <t>479709947:eng</t>
        </is>
      </c>
      <c r="AV303" t="inlineStr">
        <is>
          <t>144225284</t>
        </is>
      </c>
      <c r="AW303" t="inlineStr">
        <is>
          <t>991005120729702656</t>
        </is>
      </c>
      <c r="AX303" t="inlineStr">
        <is>
          <t>991005120729702656</t>
        </is>
      </c>
      <c r="AY303" t="inlineStr">
        <is>
          <t>2268538650002656</t>
        </is>
      </c>
      <c r="AZ303" t="inlineStr">
        <is>
          <t>BOOK</t>
        </is>
      </c>
      <c r="BB303" t="inlineStr">
        <is>
          <t>9780472032044</t>
        </is>
      </c>
      <c r="BC303" t="inlineStr">
        <is>
          <t>32285005328207</t>
        </is>
      </c>
      <c r="BD303" t="inlineStr">
        <is>
          <t>893594505</t>
        </is>
      </c>
    </row>
    <row r="304">
      <c r="A304" t="inlineStr">
        <is>
          <t>No</t>
        </is>
      </c>
      <c r="B304" t="inlineStr">
        <is>
          <t>PE1408 .K46 1990</t>
        </is>
      </c>
      <c r="C304" t="inlineStr">
        <is>
          <t>0                      PE 1408000K  46          1990</t>
        </is>
      </c>
      <c r="D304" t="inlineStr">
        <is>
          <t>The Bedford guide for college writers : with readings and handbook / X.J. Kennedy and Dorothy M. Kennedy.</t>
        </is>
      </c>
      <c r="F304" t="inlineStr">
        <is>
          <t>No</t>
        </is>
      </c>
      <c r="G304" t="inlineStr">
        <is>
          <t>1</t>
        </is>
      </c>
      <c r="H304" t="inlineStr">
        <is>
          <t>No</t>
        </is>
      </c>
      <c r="I304" t="inlineStr">
        <is>
          <t>No</t>
        </is>
      </c>
      <c r="J304" t="inlineStr">
        <is>
          <t>0</t>
        </is>
      </c>
      <c r="K304" t="inlineStr">
        <is>
          <t>Kennedy, X. J.</t>
        </is>
      </c>
      <c r="L304" t="inlineStr">
        <is>
          <t>Boston, MA : Bedford Books of St. Martin's Press, c1990.</t>
        </is>
      </c>
      <c r="M304" t="inlineStr">
        <is>
          <t>1990</t>
        </is>
      </c>
      <c r="N304" t="inlineStr">
        <is>
          <t>2nd ed.</t>
        </is>
      </c>
      <c r="O304" t="inlineStr">
        <is>
          <t>eng</t>
        </is>
      </c>
      <c r="P304" t="inlineStr">
        <is>
          <t>mau</t>
        </is>
      </c>
      <c r="R304" t="inlineStr">
        <is>
          <t xml:space="preserve">PE </t>
        </is>
      </c>
      <c r="S304" t="n">
        <v>14</v>
      </c>
      <c r="T304" t="n">
        <v>14</v>
      </c>
      <c r="U304" t="inlineStr">
        <is>
          <t>2008-10-31</t>
        </is>
      </c>
      <c r="V304" t="inlineStr">
        <is>
          <t>2008-10-31</t>
        </is>
      </c>
      <c r="W304" t="inlineStr">
        <is>
          <t>1990-10-09</t>
        </is>
      </c>
      <c r="X304" t="inlineStr">
        <is>
          <t>1990-10-09</t>
        </is>
      </c>
      <c r="Y304" t="n">
        <v>97</v>
      </c>
      <c r="Z304" t="n">
        <v>81</v>
      </c>
      <c r="AA304" t="n">
        <v>141</v>
      </c>
      <c r="AB304" t="n">
        <v>1</v>
      </c>
      <c r="AC304" t="n">
        <v>1</v>
      </c>
      <c r="AD304" t="n">
        <v>1</v>
      </c>
      <c r="AE304" t="n">
        <v>2</v>
      </c>
      <c r="AF304" t="n">
        <v>0</v>
      </c>
      <c r="AG304" t="n">
        <v>0</v>
      </c>
      <c r="AH304" t="n">
        <v>1</v>
      </c>
      <c r="AI304" t="n">
        <v>1</v>
      </c>
      <c r="AJ304" t="n">
        <v>1</v>
      </c>
      <c r="AK304" t="n">
        <v>2</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HYPERLINK("https://creighton-primo.hosted.exlibrisgroup.com/primo-explore/search?tab=default_tab&amp;search_scope=EVERYTHING&amp;vid=01CRU&amp;lang=en_US&amp;offset=0&amp;query=any,contains,991001671189702656","Catalog Record")</f>
        <v/>
      </c>
      <c r="AT304">
        <f>HYPERLINK("http://www.worldcat.org/oclc/21294150","WorldCat Record")</f>
        <v/>
      </c>
      <c r="AU304" t="inlineStr">
        <is>
          <t>4915944000:eng</t>
        </is>
      </c>
      <c r="AV304" t="inlineStr">
        <is>
          <t>21294150</t>
        </is>
      </c>
      <c r="AW304" t="inlineStr">
        <is>
          <t>991001671189702656</t>
        </is>
      </c>
      <c r="AX304" t="inlineStr">
        <is>
          <t>991001671189702656</t>
        </is>
      </c>
      <c r="AY304" t="inlineStr">
        <is>
          <t>2265248090002656</t>
        </is>
      </c>
      <c r="AZ304" t="inlineStr">
        <is>
          <t>BOOK</t>
        </is>
      </c>
      <c r="BB304" t="inlineStr">
        <is>
          <t>9780312035457</t>
        </is>
      </c>
      <c r="BC304" t="inlineStr">
        <is>
          <t>32285000279835</t>
        </is>
      </c>
      <c r="BD304" t="inlineStr">
        <is>
          <t>893315951</t>
        </is>
      </c>
    </row>
    <row r="305">
      <c r="A305" t="inlineStr">
        <is>
          <t>No</t>
        </is>
      </c>
      <c r="B305" t="inlineStr">
        <is>
          <t>PE1408 .K664</t>
        </is>
      </c>
      <c r="C305" t="inlineStr">
        <is>
          <t>0                      PE 1408000K  664</t>
        </is>
      </c>
      <c r="D305" t="inlineStr">
        <is>
          <t>A theory of discourse; the aims of discourse [by] James L. Kinneavy.</t>
        </is>
      </c>
      <c r="F305" t="inlineStr">
        <is>
          <t>No</t>
        </is>
      </c>
      <c r="G305" t="inlineStr">
        <is>
          <t>1</t>
        </is>
      </c>
      <c r="H305" t="inlineStr">
        <is>
          <t>No</t>
        </is>
      </c>
      <c r="I305" t="inlineStr">
        <is>
          <t>No</t>
        </is>
      </c>
      <c r="J305" t="inlineStr">
        <is>
          <t>0</t>
        </is>
      </c>
      <c r="K305" t="inlineStr">
        <is>
          <t>Kinneavy, James L., 1920-1999.</t>
        </is>
      </c>
      <c r="L305" t="inlineStr">
        <is>
          <t>Englewood Cliffs, N.J., Prentice-Hall [1971]</t>
        </is>
      </c>
      <c r="M305" t="inlineStr">
        <is>
          <t>1971</t>
        </is>
      </c>
      <c r="O305" t="inlineStr">
        <is>
          <t>eng</t>
        </is>
      </c>
      <c r="P305" t="inlineStr">
        <is>
          <t>nju</t>
        </is>
      </c>
      <c r="R305" t="inlineStr">
        <is>
          <t xml:space="preserve">PE </t>
        </is>
      </c>
      <c r="S305" t="n">
        <v>1</v>
      </c>
      <c r="T305" t="n">
        <v>1</v>
      </c>
      <c r="U305" t="inlineStr">
        <is>
          <t>2002-06-03</t>
        </is>
      </c>
      <c r="V305" t="inlineStr">
        <is>
          <t>2002-06-03</t>
        </is>
      </c>
      <c r="W305" t="inlineStr">
        <is>
          <t>1997-09-24</t>
        </is>
      </c>
      <c r="X305" t="inlineStr">
        <is>
          <t>1997-09-24</t>
        </is>
      </c>
      <c r="Y305" t="n">
        <v>357</v>
      </c>
      <c r="Z305" t="n">
        <v>282</v>
      </c>
      <c r="AA305" t="n">
        <v>687</v>
      </c>
      <c r="AB305" t="n">
        <v>3</v>
      </c>
      <c r="AC305" t="n">
        <v>8</v>
      </c>
      <c r="AD305" t="n">
        <v>14</v>
      </c>
      <c r="AE305" t="n">
        <v>34</v>
      </c>
      <c r="AF305" t="n">
        <v>3</v>
      </c>
      <c r="AG305" t="n">
        <v>12</v>
      </c>
      <c r="AH305" t="n">
        <v>5</v>
      </c>
      <c r="AI305" t="n">
        <v>7</v>
      </c>
      <c r="AJ305" t="n">
        <v>6</v>
      </c>
      <c r="AK305" t="n">
        <v>17</v>
      </c>
      <c r="AL305" t="n">
        <v>2</v>
      </c>
      <c r="AM305" t="n">
        <v>7</v>
      </c>
      <c r="AN305" t="n">
        <v>0</v>
      </c>
      <c r="AO305" t="n">
        <v>0</v>
      </c>
      <c r="AP305" t="inlineStr">
        <is>
          <t>No</t>
        </is>
      </c>
      <c r="AQ305" t="inlineStr">
        <is>
          <t>Yes</t>
        </is>
      </c>
      <c r="AR305">
        <f>HYPERLINK("http://catalog.hathitrust.org/Record/006241323","HathiTrust Record")</f>
        <v/>
      </c>
      <c r="AS305">
        <f>HYPERLINK("https://creighton-primo.hosted.exlibrisgroup.com/primo-explore/search?tab=default_tab&amp;search_scope=EVERYTHING&amp;vid=01CRU&amp;lang=en_US&amp;offset=0&amp;query=any,contains,991000935689702656","Catalog Record")</f>
        <v/>
      </c>
      <c r="AT305">
        <f>HYPERLINK("http://www.worldcat.org/oclc/164698","WorldCat Record")</f>
        <v/>
      </c>
      <c r="AU305" t="inlineStr">
        <is>
          <t>1279831:eng</t>
        </is>
      </c>
      <c r="AV305" t="inlineStr">
        <is>
          <t>164698</t>
        </is>
      </c>
      <c r="AW305" t="inlineStr">
        <is>
          <t>991000935689702656</t>
        </is>
      </c>
      <c r="AX305" t="inlineStr">
        <is>
          <t>991000935689702656</t>
        </is>
      </c>
      <c r="AY305" t="inlineStr">
        <is>
          <t>2269894390002656</t>
        </is>
      </c>
      <c r="AZ305" t="inlineStr">
        <is>
          <t>BOOK</t>
        </is>
      </c>
      <c r="BB305" t="inlineStr">
        <is>
          <t>9780139135828</t>
        </is>
      </c>
      <c r="BC305" t="inlineStr">
        <is>
          <t>32285003246534</t>
        </is>
      </c>
      <c r="BD305" t="inlineStr">
        <is>
          <t>893333910</t>
        </is>
      </c>
    </row>
    <row r="306">
      <c r="A306" t="inlineStr">
        <is>
          <t>No</t>
        </is>
      </c>
      <c r="B306" t="inlineStr">
        <is>
          <t>PE1408 .L3178 1993</t>
        </is>
      </c>
      <c r="C306" t="inlineStr">
        <is>
          <t>0                      PE 1408000L  3178        1993</t>
        </is>
      </c>
      <c r="D306" t="inlineStr">
        <is>
          <t>College writing skills with readings / John Langan.</t>
        </is>
      </c>
      <c r="F306" t="inlineStr">
        <is>
          <t>No</t>
        </is>
      </c>
      <c r="G306" t="inlineStr">
        <is>
          <t>1</t>
        </is>
      </c>
      <c r="H306" t="inlineStr">
        <is>
          <t>No</t>
        </is>
      </c>
      <c r="I306" t="inlineStr">
        <is>
          <t>No</t>
        </is>
      </c>
      <c r="J306" t="inlineStr">
        <is>
          <t>0</t>
        </is>
      </c>
      <c r="K306" t="inlineStr">
        <is>
          <t>Langan, John, 1942-</t>
        </is>
      </c>
      <c r="L306" t="inlineStr">
        <is>
          <t>New York : McGraw-Hill, c1993.</t>
        </is>
      </c>
      <c r="M306" t="inlineStr">
        <is>
          <t>1993</t>
        </is>
      </c>
      <c r="N306" t="inlineStr">
        <is>
          <t>3rd ed.</t>
        </is>
      </c>
      <c r="O306" t="inlineStr">
        <is>
          <t>eng</t>
        </is>
      </c>
      <c r="P306" t="inlineStr">
        <is>
          <t>nyu</t>
        </is>
      </c>
      <c r="R306" t="inlineStr">
        <is>
          <t xml:space="preserve">PE </t>
        </is>
      </c>
      <c r="S306" t="n">
        <v>6</v>
      </c>
      <c r="T306" t="n">
        <v>6</v>
      </c>
      <c r="U306" t="inlineStr">
        <is>
          <t>2010-07-12</t>
        </is>
      </c>
      <c r="V306" t="inlineStr">
        <is>
          <t>2010-07-12</t>
        </is>
      </c>
      <c r="W306" t="inlineStr">
        <is>
          <t>1993-07-22</t>
        </is>
      </c>
      <c r="X306" t="inlineStr">
        <is>
          <t>1993-07-22</t>
        </is>
      </c>
      <c r="Y306" t="n">
        <v>62</v>
      </c>
      <c r="Z306" t="n">
        <v>36</v>
      </c>
      <c r="AA306" t="n">
        <v>386</v>
      </c>
      <c r="AB306" t="n">
        <v>1</v>
      </c>
      <c r="AC306" t="n">
        <v>1</v>
      </c>
      <c r="AD306" t="n">
        <v>1</v>
      </c>
      <c r="AE306" t="n">
        <v>2</v>
      </c>
      <c r="AF306" t="n">
        <v>0</v>
      </c>
      <c r="AG306" t="n">
        <v>0</v>
      </c>
      <c r="AH306" t="n">
        <v>0</v>
      </c>
      <c r="AI306" t="n">
        <v>1</v>
      </c>
      <c r="AJ306" t="n">
        <v>1</v>
      </c>
      <c r="AK306" t="n">
        <v>2</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HYPERLINK("https://creighton-primo.hosted.exlibrisgroup.com/primo-explore/search?tab=default_tab&amp;search_scope=EVERYTHING&amp;vid=01CRU&amp;lang=en_US&amp;offset=0&amp;query=any,contains,991002010569702656","Catalog Record")</f>
        <v/>
      </c>
      <c r="AT306">
        <f>HYPERLINK("http://www.worldcat.org/oclc/25551779","WorldCat Record")</f>
        <v/>
      </c>
      <c r="AU306" t="inlineStr">
        <is>
          <t>2286899917:eng</t>
        </is>
      </c>
      <c r="AV306" t="inlineStr">
        <is>
          <t>25551779</t>
        </is>
      </c>
      <c r="AW306" t="inlineStr">
        <is>
          <t>991002010569702656</t>
        </is>
      </c>
      <c r="AX306" t="inlineStr">
        <is>
          <t>991002010569702656</t>
        </is>
      </c>
      <c r="AY306" t="inlineStr">
        <is>
          <t>2266137890002656</t>
        </is>
      </c>
      <c r="AZ306" t="inlineStr">
        <is>
          <t>BOOK</t>
        </is>
      </c>
      <c r="BB306" t="inlineStr">
        <is>
          <t>9780070363847</t>
        </is>
      </c>
      <c r="BC306" t="inlineStr">
        <is>
          <t>32285001703577</t>
        </is>
      </c>
      <c r="BD306" t="inlineStr">
        <is>
          <t>893238532</t>
        </is>
      </c>
    </row>
    <row r="307">
      <c r="A307" t="inlineStr">
        <is>
          <t>No</t>
        </is>
      </c>
      <c r="B307" t="inlineStr">
        <is>
          <t>PE1408 .L39 1965</t>
        </is>
      </c>
      <c r="C307" t="inlineStr">
        <is>
          <t>0                      PE 1408000L  39          1965</t>
        </is>
      </c>
      <c r="D307" t="inlineStr">
        <is>
          <t>Prentice-Hall handbook for writers [by] Glenn Leggett, C. David Mead [and] William Charvat.</t>
        </is>
      </c>
      <c r="F307" t="inlineStr">
        <is>
          <t>No</t>
        </is>
      </c>
      <c r="G307" t="inlineStr">
        <is>
          <t>1</t>
        </is>
      </c>
      <c r="H307" t="inlineStr">
        <is>
          <t>No</t>
        </is>
      </c>
      <c r="I307" t="inlineStr">
        <is>
          <t>No</t>
        </is>
      </c>
      <c r="J307" t="inlineStr">
        <is>
          <t>0</t>
        </is>
      </c>
      <c r="K307" t="inlineStr">
        <is>
          <t>Leggett, Glenn H., 1918-2003.</t>
        </is>
      </c>
      <c r="L307" t="inlineStr">
        <is>
          <t>Englewood Cliffs, N.J., Prentice-Hall [1965]</t>
        </is>
      </c>
      <c r="M307" t="inlineStr">
        <is>
          <t>1965</t>
        </is>
      </c>
      <c r="N307" t="inlineStr">
        <is>
          <t>4th ed.</t>
        </is>
      </c>
      <c r="O307" t="inlineStr">
        <is>
          <t>eng</t>
        </is>
      </c>
      <c r="P307" t="inlineStr">
        <is>
          <t>nju</t>
        </is>
      </c>
      <c r="R307" t="inlineStr">
        <is>
          <t xml:space="preserve">PE </t>
        </is>
      </c>
      <c r="S307" t="n">
        <v>3</v>
      </c>
      <c r="T307" t="n">
        <v>3</v>
      </c>
      <c r="U307" t="inlineStr">
        <is>
          <t>2008-01-16</t>
        </is>
      </c>
      <c r="V307" t="inlineStr">
        <is>
          <t>2008-01-16</t>
        </is>
      </c>
      <c r="W307" t="inlineStr">
        <is>
          <t>1997-09-24</t>
        </is>
      </c>
      <c r="X307" t="inlineStr">
        <is>
          <t>1997-09-24</t>
        </is>
      </c>
      <c r="Y307" t="n">
        <v>251</v>
      </c>
      <c r="Z307" t="n">
        <v>216</v>
      </c>
      <c r="AA307" t="n">
        <v>1491</v>
      </c>
      <c r="AB307" t="n">
        <v>4</v>
      </c>
      <c r="AC307" t="n">
        <v>11</v>
      </c>
      <c r="AD307" t="n">
        <v>8</v>
      </c>
      <c r="AE307" t="n">
        <v>36</v>
      </c>
      <c r="AF307" t="n">
        <v>5</v>
      </c>
      <c r="AG307" t="n">
        <v>13</v>
      </c>
      <c r="AH307" t="n">
        <v>0</v>
      </c>
      <c r="AI307" t="n">
        <v>7</v>
      </c>
      <c r="AJ307" t="n">
        <v>3</v>
      </c>
      <c r="AK307" t="n">
        <v>13</v>
      </c>
      <c r="AL307" t="n">
        <v>2</v>
      </c>
      <c r="AM307" t="n">
        <v>8</v>
      </c>
      <c r="AN307" t="n">
        <v>0</v>
      </c>
      <c r="AO307" t="n">
        <v>1</v>
      </c>
      <c r="AP307" t="inlineStr">
        <is>
          <t>No</t>
        </is>
      </c>
      <c r="AQ307" t="inlineStr">
        <is>
          <t>No</t>
        </is>
      </c>
      <c r="AS307">
        <f>HYPERLINK("https://creighton-primo.hosted.exlibrisgroup.com/primo-explore/search?tab=default_tab&amp;search_scope=EVERYTHING&amp;vid=01CRU&amp;lang=en_US&amp;offset=0&amp;query=any,contains,991002305709702656","Catalog Record")</f>
        <v/>
      </c>
      <c r="AT307">
        <f>HYPERLINK("http://www.worldcat.org/oclc/318160","WorldCat Record")</f>
        <v/>
      </c>
      <c r="AU307" t="inlineStr">
        <is>
          <t>472423252:eng</t>
        </is>
      </c>
      <c r="AV307" t="inlineStr">
        <is>
          <t>318160</t>
        </is>
      </c>
      <c r="AW307" t="inlineStr">
        <is>
          <t>991002305709702656</t>
        </is>
      </c>
      <c r="AX307" t="inlineStr">
        <is>
          <t>991002305709702656</t>
        </is>
      </c>
      <c r="AY307" t="inlineStr">
        <is>
          <t>2270575560002656</t>
        </is>
      </c>
      <c r="AZ307" t="inlineStr">
        <is>
          <t>BOOK</t>
        </is>
      </c>
      <c r="BC307" t="inlineStr">
        <is>
          <t>32285003246567</t>
        </is>
      </c>
      <c r="BD307" t="inlineStr">
        <is>
          <t>893785990</t>
        </is>
      </c>
    </row>
    <row r="308">
      <c r="A308" t="inlineStr">
        <is>
          <t>No</t>
        </is>
      </c>
      <c r="B308" t="inlineStr">
        <is>
          <t>PE1408 .L4135</t>
        </is>
      </c>
      <c r="C308" t="inlineStr">
        <is>
          <t>0                      PE 1408000L  4135</t>
        </is>
      </c>
      <c r="D308" t="inlineStr">
        <is>
          <t>Styles for writing; a brief rhetoric [by] Gerald Levin.</t>
        </is>
      </c>
      <c r="F308" t="inlineStr">
        <is>
          <t>No</t>
        </is>
      </c>
      <c r="G308" t="inlineStr">
        <is>
          <t>1</t>
        </is>
      </c>
      <c r="H308" t="inlineStr">
        <is>
          <t>No</t>
        </is>
      </c>
      <c r="I308" t="inlineStr">
        <is>
          <t>No</t>
        </is>
      </c>
      <c r="J308" t="inlineStr">
        <is>
          <t>0</t>
        </is>
      </c>
      <c r="K308" t="inlineStr">
        <is>
          <t>Levin, Gerald Henry, 1929-</t>
        </is>
      </c>
      <c r="L308" t="inlineStr">
        <is>
          <t>New York, Harcourt Brace Jovanovich [1972]</t>
        </is>
      </c>
      <c r="M308" t="inlineStr">
        <is>
          <t>1972</t>
        </is>
      </c>
      <c r="O308" t="inlineStr">
        <is>
          <t>eng</t>
        </is>
      </c>
      <c r="P308" t="inlineStr">
        <is>
          <t>nyu</t>
        </is>
      </c>
      <c r="R308" t="inlineStr">
        <is>
          <t xml:space="preserve">PE </t>
        </is>
      </c>
      <c r="S308" t="n">
        <v>1</v>
      </c>
      <c r="T308" t="n">
        <v>1</v>
      </c>
      <c r="U308" t="inlineStr">
        <is>
          <t>2010-07-12</t>
        </is>
      </c>
      <c r="V308" t="inlineStr">
        <is>
          <t>2010-07-12</t>
        </is>
      </c>
      <c r="W308" t="inlineStr">
        <is>
          <t>1997-09-24</t>
        </is>
      </c>
      <c r="X308" t="inlineStr">
        <is>
          <t>1997-09-24</t>
        </is>
      </c>
      <c r="Y308" t="n">
        <v>98</v>
      </c>
      <c r="Z308" t="n">
        <v>93</v>
      </c>
      <c r="AA308" t="n">
        <v>98</v>
      </c>
      <c r="AB308" t="n">
        <v>3</v>
      </c>
      <c r="AC308" t="n">
        <v>3</v>
      </c>
      <c r="AD308" t="n">
        <v>4</v>
      </c>
      <c r="AE308" t="n">
        <v>4</v>
      </c>
      <c r="AF308" t="n">
        <v>1</v>
      </c>
      <c r="AG308" t="n">
        <v>1</v>
      </c>
      <c r="AH308" t="n">
        <v>1</v>
      </c>
      <c r="AI308" t="n">
        <v>1</v>
      </c>
      <c r="AJ308" t="n">
        <v>1</v>
      </c>
      <c r="AK308" t="n">
        <v>1</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HYPERLINK("https://creighton-primo.hosted.exlibrisgroup.com/primo-explore/search?tab=default_tab&amp;search_scope=EVERYTHING&amp;vid=01CRU&amp;lang=en_US&amp;offset=0&amp;query=any,contains,991002295049702656","Catalog Record")</f>
        <v/>
      </c>
      <c r="AT308">
        <f>HYPERLINK("http://www.worldcat.org/oclc/315062","WorldCat Record")</f>
        <v/>
      </c>
      <c r="AU308" t="inlineStr">
        <is>
          <t>1383306:eng</t>
        </is>
      </c>
      <c r="AV308" t="inlineStr">
        <is>
          <t>315062</t>
        </is>
      </c>
      <c r="AW308" t="inlineStr">
        <is>
          <t>991002295049702656</t>
        </is>
      </c>
      <c r="AX308" t="inlineStr">
        <is>
          <t>991002295049702656</t>
        </is>
      </c>
      <c r="AY308" t="inlineStr">
        <is>
          <t>2270812620002656</t>
        </is>
      </c>
      <c r="AZ308" t="inlineStr">
        <is>
          <t>BOOK</t>
        </is>
      </c>
      <c r="BB308" t="inlineStr">
        <is>
          <t>9780155847606</t>
        </is>
      </c>
      <c r="BC308" t="inlineStr">
        <is>
          <t>32285003246575</t>
        </is>
      </c>
      <c r="BD308" t="inlineStr">
        <is>
          <t>893603422</t>
        </is>
      </c>
    </row>
    <row r="309">
      <c r="A309" t="inlineStr">
        <is>
          <t>No</t>
        </is>
      </c>
      <c r="B309" t="inlineStr">
        <is>
          <t>PE1408 .M33255 1976</t>
        </is>
      </c>
      <c r="C309" t="inlineStr">
        <is>
          <t>0                      PE 1408000M  33255       1976</t>
        </is>
      </c>
      <c r="D309" t="inlineStr">
        <is>
          <t>Telling writing / Ken Macrorie.</t>
        </is>
      </c>
      <c r="F309" t="inlineStr">
        <is>
          <t>No</t>
        </is>
      </c>
      <c r="G309" t="inlineStr">
        <is>
          <t>1</t>
        </is>
      </c>
      <c r="H309" t="inlineStr">
        <is>
          <t>No</t>
        </is>
      </c>
      <c r="I309" t="inlineStr">
        <is>
          <t>No</t>
        </is>
      </c>
      <c r="J309" t="inlineStr">
        <is>
          <t>0</t>
        </is>
      </c>
      <c r="K309" t="inlineStr">
        <is>
          <t>Macrorie, Ken, 1918-2009.</t>
        </is>
      </c>
      <c r="L309" t="inlineStr">
        <is>
          <t>Rochelle Park, N.J. : Hayden Book Co., c1976.</t>
        </is>
      </c>
      <c r="M309" t="inlineStr">
        <is>
          <t>1976</t>
        </is>
      </c>
      <c r="N309" t="inlineStr">
        <is>
          <t>Rev. 2d ed.</t>
        </is>
      </c>
      <c r="O309" t="inlineStr">
        <is>
          <t>eng</t>
        </is>
      </c>
      <c r="P309" t="inlineStr">
        <is>
          <t>nju</t>
        </is>
      </c>
      <c r="Q309" t="inlineStr">
        <is>
          <t>Hayden English language series</t>
        </is>
      </c>
      <c r="R309" t="inlineStr">
        <is>
          <t xml:space="preserve">PE </t>
        </is>
      </c>
      <c r="S309" t="n">
        <v>5</v>
      </c>
      <c r="T309" t="n">
        <v>5</v>
      </c>
      <c r="U309" t="inlineStr">
        <is>
          <t>2007-03-12</t>
        </is>
      </c>
      <c r="V309" t="inlineStr">
        <is>
          <t>2007-03-12</t>
        </is>
      </c>
      <c r="W309" t="inlineStr">
        <is>
          <t>1990-07-17</t>
        </is>
      </c>
      <c r="X309" t="inlineStr">
        <is>
          <t>1990-07-17</t>
        </is>
      </c>
      <c r="Y309" t="n">
        <v>188</v>
      </c>
      <c r="Z309" t="n">
        <v>175</v>
      </c>
      <c r="AA309" t="n">
        <v>697</v>
      </c>
      <c r="AB309" t="n">
        <v>1</v>
      </c>
      <c r="AC309" t="n">
        <v>5</v>
      </c>
      <c r="AD309" t="n">
        <v>3</v>
      </c>
      <c r="AE309" t="n">
        <v>23</v>
      </c>
      <c r="AF309" t="n">
        <v>2</v>
      </c>
      <c r="AG309" t="n">
        <v>6</v>
      </c>
      <c r="AH309" t="n">
        <v>1</v>
      </c>
      <c r="AI309" t="n">
        <v>6</v>
      </c>
      <c r="AJ309" t="n">
        <v>1</v>
      </c>
      <c r="AK309" t="n">
        <v>12</v>
      </c>
      <c r="AL309" t="n">
        <v>0</v>
      </c>
      <c r="AM309" t="n">
        <v>4</v>
      </c>
      <c r="AN309" t="n">
        <v>0</v>
      </c>
      <c r="AO309" t="n">
        <v>0</v>
      </c>
      <c r="AP309" t="inlineStr">
        <is>
          <t>No</t>
        </is>
      </c>
      <c r="AQ309" t="inlineStr">
        <is>
          <t>Yes</t>
        </is>
      </c>
      <c r="AR309">
        <f>HYPERLINK("http://catalog.hathitrust.org/Record/010075986","HathiTrust Record")</f>
        <v/>
      </c>
      <c r="AS309">
        <f>HYPERLINK("https://creighton-primo.hosted.exlibrisgroup.com/primo-explore/search?tab=default_tab&amp;search_scope=EVERYTHING&amp;vid=01CRU&amp;lang=en_US&amp;offset=0&amp;query=any,contains,991004280309702656","Catalog Record")</f>
        <v/>
      </c>
      <c r="AT309">
        <f>HYPERLINK("http://www.worldcat.org/oclc/2908657","WorldCat Record")</f>
        <v/>
      </c>
      <c r="AU309" t="inlineStr">
        <is>
          <t>355972008:eng</t>
        </is>
      </c>
      <c r="AV309" t="inlineStr">
        <is>
          <t>2908657</t>
        </is>
      </c>
      <c r="AW309" t="inlineStr">
        <is>
          <t>991004280309702656</t>
        </is>
      </c>
      <c r="AX309" t="inlineStr">
        <is>
          <t>991004280309702656</t>
        </is>
      </c>
      <c r="AY309" t="inlineStr">
        <is>
          <t>2270552390002656</t>
        </is>
      </c>
      <c r="AZ309" t="inlineStr">
        <is>
          <t>BOOK</t>
        </is>
      </c>
      <c r="BB309" t="inlineStr">
        <is>
          <t>9780810460249</t>
        </is>
      </c>
      <c r="BC309" t="inlineStr">
        <is>
          <t>32285000232479</t>
        </is>
      </c>
      <c r="BD309" t="inlineStr">
        <is>
          <t>893259541</t>
        </is>
      </c>
    </row>
    <row r="310">
      <c r="A310" t="inlineStr">
        <is>
          <t>No</t>
        </is>
      </c>
      <c r="B310" t="inlineStr">
        <is>
          <t>PE1408 .M3933 1994</t>
        </is>
      </c>
      <c r="C310" t="inlineStr">
        <is>
          <t>0                      PE 1408000M  3933        1994</t>
        </is>
      </c>
      <c r="D310" t="inlineStr">
        <is>
          <t>Thinking for yourself : developing critical thinking skills through reading and writing / Marlys Mayfield.</t>
        </is>
      </c>
      <c r="F310" t="inlineStr">
        <is>
          <t>No</t>
        </is>
      </c>
      <c r="G310" t="inlineStr">
        <is>
          <t>1</t>
        </is>
      </c>
      <c r="H310" t="inlineStr">
        <is>
          <t>No</t>
        </is>
      </c>
      <c r="I310" t="inlineStr">
        <is>
          <t>No</t>
        </is>
      </c>
      <c r="J310" t="inlineStr">
        <is>
          <t>0</t>
        </is>
      </c>
      <c r="K310" t="inlineStr">
        <is>
          <t>Mayfield, Marlys, 1931-</t>
        </is>
      </c>
      <c r="L310" t="inlineStr">
        <is>
          <t>Belmont, Calif. : Wadsworth, c1994.</t>
        </is>
      </c>
      <c r="M310" t="inlineStr">
        <is>
          <t>1994</t>
        </is>
      </c>
      <c r="N310" t="inlineStr">
        <is>
          <t>3rd ed.</t>
        </is>
      </c>
      <c r="O310" t="inlineStr">
        <is>
          <t>eng</t>
        </is>
      </c>
      <c r="P310" t="inlineStr">
        <is>
          <t>cau</t>
        </is>
      </c>
      <c r="R310" t="inlineStr">
        <is>
          <t xml:space="preserve">PE </t>
        </is>
      </c>
      <c r="S310" t="n">
        <v>2</v>
      </c>
      <c r="T310" t="n">
        <v>2</v>
      </c>
      <c r="U310" t="inlineStr">
        <is>
          <t>2006-11-27</t>
        </is>
      </c>
      <c r="V310" t="inlineStr">
        <is>
          <t>2006-11-27</t>
        </is>
      </c>
      <c r="W310" t="inlineStr">
        <is>
          <t>2004-10-21</t>
        </is>
      </c>
      <c r="X310" t="inlineStr">
        <is>
          <t>2004-10-21</t>
        </is>
      </c>
      <c r="Y310" t="n">
        <v>120</v>
      </c>
      <c r="Z310" t="n">
        <v>90</v>
      </c>
      <c r="AA310" t="n">
        <v>440</v>
      </c>
      <c r="AB310" t="n">
        <v>2</v>
      </c>
      <c r="AC310" t="n">
        <v>2</v>
      </c>
      <c r="AD310" t="n">
        <v>1</v>
      </c>
      <c r="AE310" t="n">
        <v>8</v>
      </c>
      <c r="AF310" t="n">
        <v>0</v>
      </c>
      <c r="AG310" t="n">
        <v>4</v>
      </c>
      <c r="AH310" t="n">
        <v>0</v>
      </c>
      <c r="AI310" t="n">
        <v>3</v>
      </c>
      <c r="AJ310" t="n">
        <v>0</v>
      </c>
      <c r="AK310" t="n">
        <v>2</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HYPERLINK("https://creighton-primo.hosted.exlibrisgroup.com/primo-explore/search?tab=default_tab&amp;search_scope=EVERYTHING&amp;vid=01CRU&amp;lang=en_US&amp;offset=0&amp;query=any,contains,991004401289702656","Catalog Record")</f>
        <v/>
      </c>
      <c r="AT310">
        <f>HYPERLINK("http://www.worldcat.org/oclc/27768228","WorldCat Record")</f>
        <v/>
      </c>
      <c r="AU310" t="inlineStr">
        <is>
          <t>796422597:eng</t>
        </is>
      </c>
      <c r="AV310" t="inlineStr">
        <is>
          <t>27768228</t>
        </is>
      </c>
      <c r="AW310" t="inlineStr">
        <is>
          <t>991004401289702656</t>
        </is>
      </c>
      <c r="AX310" t="inlineStr">
        <is>
          <t>991004401289702656</t>
        </is>
      </c>
      <c r="AY310" t="inlineStr">
        <is>
          <t>2267801660002656</t>
        </is>
      </c>
      <c r="AZ310" t="inlineStr">
        <is>
          <t>BOOK</t>
        </is>
      </c>
      <c r="BB310" t="inlineStr">
        <is>
          <t>9780534203344</t>
        </is>
      </c>
      <c r="BC310" t="inlineStr">
        <is>
          <t>32285005005409</t>
        </is>
      </c>
      <c r="BD310" t="inlineStr">
        <is>
          <t>893241378</t>
        </is>
      </c>
    </row>
    <row r="311">
      <c r="A311" t="inlineStr">
        <is>
          <t>No</t>
        </is>
      </c>
      <c r="B311" t="inlineStr">
        <is>
          <t>PE1408 .M3944 1990</t>
        </is>
      </c>
      <c r="C311" t="inlineStr">
        <is>
          <t>0                      PE 1408000M  3944        1990</t>
        </is>
      </c>
      <c r="D311" t="inlineStr">
        <is>
          <t>Rewriting writing : a rhetoric, reader and handbook / Jo Ray McCuen, Anthony C. Winkler.</t>
        </is>
      </c>
      <c r="F311" t="inlineStr">
        <is>
          <t>No</t>
        </is>
      </c>
      <c r="G311" t="inlineStr">
        <is>
          <t>1</t>
        </is>
      </c>
      <c r="H311" t="inlineStr">
        <is>
          <t>No</t>
        </is>
      </c>
      <c r="I311" t="inlineStr">
        <is>
          <t>No</t>
        </is>
      </c>
      <c r="J311" t="inlineStr">
        <is>
          <t>0</t>
        </is>
      </c>
      <c r="K311" t="inlineStr">
        <is>
          <t>McCuen, Jo Ray, 1929-</t>
        </is>
      </c>
      <c r="L311" t="inlineStr">
        <is>
          <t>San Diego : Harcourt Brace Jovanovich, c1990.</t>
        </is>
      </c>
      <c r="M311" t="inlineStr">
        <is>
          <t>1989</t>
        </is>
      </c>
      <c r="N311" t="inlineStr">
        <is>
          <t>2nd ed.</t>
        </is>
      </c>
      <c r="O311" t="inlineStr">
        <is>
          <t>eng</t>
        </is>
      </c>
      <c r="P311" t="inlineStr">
        <is>
          <t>cau</t>
        </is>
      </c>
      <c r="R311" t="inlineStr">
        <is>
          <t xml:space="preserve">PE </t>
        </is>
      </c>
      <c r="S311" t="n">
        <v>2</v>
      </c>
      <c r="T311" t="n">
        <v>2</v>
      </c>
      <c r="U311" t="inlineStr">
        <is>
          <t>2010-07-12</t>
        </is>
      </c>
      <c r="V311" t="inlineStr">
        <is>
          <t>2010-07-12</t>
        </is>
      </c>
      <c r="W311" t="inlineStr">
        <is>
          <t>1996-09-04</t>
        </is>
      </c>
      <c r="X311" t="inlineStr">
        <is>
          <t>1996-09-04</t>
        </is>
      </c>
      <c r="Y311" t="n">
        <v>29</v>
      </c>
      <c r="Z311" t="n">
        <v>17</v>
      </c>
      <c r="AA311" t="n">
        <v>91</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HYPERLINK("https://creighton-primo.hosted.exlibrisgroup.com/primo-explore/search?tab=default_tab&amp;search_scope=EVERYTHING&amp;vid=01CRU&amp;lang=en_US&amp;offset=0&amp;query=any,contains,991001721739702656","Catalog Record")</f>
        <v/>
      </c>
      <c r="AT311">
        <f>HYPERLINK("http://www.worldcat.org/oclc/21765290","WorldCat Record")</f>
        <v/>
      </c>
      <c r="AU311" t="inlineStr">
        <is>
          <t>871385791:eng</t>
        </is>
      </c>
      <c r="AV311" t="inlineStr">
        <is>
          <t>21765290</t>
        </is>
      </c>
      <c r="AW311" t="inlineStr">
        <is>
          <t>991001721739702656</t>
        </is>
      </c>
      <c r="AX311" t="inlineStr">
        <is>
          <t>991001721739702656</t>
        </is>
      </c>
      <c r="AY311" t="inlineStr">
        <is>
          <t>2263759440002656</t>
        </is>
      </c>
      <c r="AZ311" t="inlineStr">
        <is>
          <t>BOOK</t>
        </is>
      </c>
      <c r="BB311" t="inlineStr">
        <is>
          <t>9780155767218</t>
        </is>
      </c>
      <c r="BC311" t="inlineStr">
        <is>
          <t>32285002294345</t>
        </is>
      </c>
      <c r="BD311" t="inlineStr">
        <is>
          <t>893439352</t>
        </is>
      </c>
    </row>
    <row r="312">
      <c r="A312" t="inlineStr">
        <is>
          <t>No</t>
        </is>
      </c>
      <c r="B312" t="inlineStr">
        <is>
          <t>PE1408 .M463 1980</t>
        </is>
      </c>
      <c r="C312" t="inlineStr">
        <is>
          <t>0                      PE 1408000M  463         1980</t>
        </is>
      </c>
      <c r="D312" t="inlineStr">
        <is>
          <t>The writer's work : guide to effective composition / Dean Memering, Frank O'Hare.</t>
        </is>
      </c>
      <c r="F312" t="inlineStr">
        <is>
          <t>No</t>
        </is>
      </c>
      <c r="G312" t="inlineStr">
        <is>
          <t>1</t>
        </is>
      </c>
      <c r="H312" t="inlineStr">
        <is>
          <t>No</t>
        </is>
      </c>
      <c r="I312" t="inlineStr">
        <is>
          <t>No</t>
        </is>
      </c>
      <c r="J312" t="inlineStr">
        <is>
          <t>0</t>
        </is>
      </c>
      <c r="K312" t="inlineStr">
        <is>
          <t>Memering, Dean, 1936-2006.</t>
        </is>
      </c>
      <c r="L312" t="inlineStr">
        <is>
          <t>Englewood Cliffs, N.J. : Prentice-Hall, c1980.</t>
        </is>
      </c>
      <c r="M312" t="inlineStr">
        <is>
          <t>1980</t>
        </is>
      </c>
      <c r="O312" t="inlineStr">
        <is>
          <t>eng</t>
        </is>
      </c>
      <c r="P312" t="inlineStr">
        <is>
          <t>nju</t>
        </is>
      </c>
      <c r="R312" t="inlineStr">
        <is>
          <t xml:space="preserve">PE </t>
        </is>
      </c>
      <c r="S312" t="n">
        <v>2</v>
      </c>
      <c r="T312" t="n">
        <v>2</v>
      </c>
      <c r="U312" t="inlineStr">
        <is>
          <t>2010-07-12</t>
        </is>
      </c>
      <c r="V312" t="inlineStr">
        <is>
          <t>2010-07-12</t>
        </is>
      </c>
      <c r="W312" t="inlineStr">
        <is>
          <t>1993-04-23</t>
        </is>
      </c>
      <c r="X312" t="inlineStr">
        <is>
          <t>1993-04-23</t>
        </is>
      </c>
      <c r="Y312" t="n">
        <v>162</v>
      </c>
      <c r="Z312" t="n">
        <v>134</v>
      </c>
      <c r="AA312" t="n">
        <v>266</v>
      </c>
      <c r="AB312" t="n">
        <v>2</v>
      </c>
      <c r="AC312" t="n">
        <v>3</v>
      </c>
      <c r="AD312" t="n">
        <v>3</v>
      </c>
      <c r="AE312" t="n">
        <v>5</v>
      </c>
      <c r="AF312" t="n">
        <v>0</v>
      </c>
      <c r="AG312" t="n">
        <v>1</v>
      </c>
      <c r="AH312" t="n">
        <v>1</v>
      </c>
      <c r="AI312" t="n">
        <v>1</v>
      </c>
      <c r="AJ312" t="n">
        <v>1</v>
      </c>
      <c r="AK312" t="n">
        <v>2</v>
      </c>
      <c r="AL312" t="n">
        <v>1</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HYPERLINK("https://creighton-primo.hosted.exlibrisgroup.com/primo-explore/search?tab=default_tab&amp;search_scope=EVERYTHING&amp;vid=01CRU&amp;lang=en_US&amp;offset=0&amp;query=any,contains,991004851139702656","Catalog Record")</f>
        <v/>
      </c>
      <c r="AT312">
        <f>HYPERLINK("http://www.worldcat.org/oclc/5612222","WorldCat Record")</f>
        <v/>
      </c>
      <c r="AU312" t="inlineStr">
        <is>
          <t>836636578:eng</t>
        </is>
      </c>
      <c r="AV312" t="inlineStr">
        <is>
          <t>5612222</t>
        </is>
      </c>
      <c r="AW312" t="inlineStr">
        <is>
          <t>991004851139702656</t>
        </is>
      </c>
      <c r="AX312" t="inlineStr">
        <is>
          <t>991004851139702656</t>
        </is>
      </c>
      <c r="AY312" t="inlineStr">
        <is>
          <t>2258327660002656</t>
        </is>
      </c>
      <c r="AZ312" t="inlineStr">
        <is>
          <t>BOOK</t>
        </is>
      </c>
      <c r="BB312" t="inlineStr">
        <is>
          <t>9780139698651</t>
        </is>
      </c>
      <c r="BC312" t="inlineStr">
        <is>
          <t>32285001647097</t>
        </is>
      </c>
      <c r="BD312" t="inlineStr">
        <is>
          <t>893606529</t>
        </is>
      </c>
    </row>
    <row r="313">
      <c r="A313" t="inlineStr">
        <is>
          <t>No</t>
        </is>
      </c>
      <c r="B313" t="inlineStr">
        <is>
          <t>PE1408 .M593</t>
        </is>
      </c>
      <c r="C313" t="inlineStr">
        <is>
          <t>0                      PE 1408000M  593</t>
        </is>
      </c>
      <c r="D313" t="inlineStr">
        <is>
          <t>Teaching the universe of discourse.</t>
        </is>
      </c>
      <c r="F313" t="inlineStr">
        <is>
          <t>No</t>
        </is>
      </c>
      <c r="G313" t="inlineStr">
        <is>
          <t>1</t>
        </is>
      </c>
      <c r="H313" t="inlineStr">
        <is>
          <t>No</t>
        </is>
      </c>
      <c r="I313" t="inlineStr">
        <is>
          <t>No</t>
        </is>
      </c>
      <c r="J313" t="inlineStr">
        <is>
          <t>0</t>
        </is>
      </c>
      <c r="K313" t="inlineStr">
        <is>
          <t>Moffett, James.</t>
        </is>
      </c>
      <c r="L313" t="inlineStr">
        <is>
          <t>Boston : Houghton Mifflin, [1968]</t>
        </is>
      </c>
      <c r="M313" t="inlineStr">
        <is>
          <t>1968</t>
        </is>
      </c>
      <c r="O313" t="inlineStr">
        <is>
          <t>eng</t>
        </is>
      </c>
      <c r="P313" t="inlineStr">
        <is>
          <t>mau</t>
        </is>
      </c>
      <c r="R313" t="inlineStr">
        <is>
          <t xml:space="preserve">PE </t>
        </is>
      </c>
      <c r="S313" t="n">
        <v>7</v>
      </c>
      <c r="T313" t="n">
        <v>7</v>
      </c>
      <c r="U313" t="inlineStr">
        <is>
          <t>2009-12-21</t>
        </is>
      </c>
      <c r="V313" t="inlineStr">
        <is>
          <t>2009-12-21</t>
        </is>
      </c>
      <c r="W313" t="inlineStr">
        <is>
          <t>1992-05-15</t>
        </is>
      </c>
      <c r="X313" t="inlineStr">
        <is>
          <t>1992-05-15</t>
        </is>
      </c>
      <c r="Y313" t="n">
        <v>671</v>
      </c>
      <c r="Z313" t="n">
        <v>572</v>
      </c>
      <c r="AA313" t="n">
        <v>792</v>
      </c>
      <c r="AB313" t="n">
        <v>8</v>
      </c>
      <c r="AC313" t="n">
        <v>8</v>
      </c>
      <c r="AD313" t="n">
        <v>31</v>
      </c>
      <c r="AE313" t="n">
        <v>35</v>
      </c>
      <c r="AF313" t="n">
        <v>9</v>
      </c>
      <c r="AG313" t="n">
        <v>12</v>
      </c>
      <c r="AH313" t="n">
        <v>6</v>
      </c>
      <c r="AI313" t="n">
        <v>7</v>
      </c>
      <c r="AJ313" t="n">
        <v>16</v>
      </c>
      <c r="AK313" t="n">
        <v>18</v>
      </c>
      <c r="AL313" t="n">
        <v>7</v>
      </c>
      <c r="AM313" t="n">
        <v>7</v>
      </c>
      <c r="AN313" t="n">
        <v>0</v>
      </c>
      <c r="AO313" t="n">
        <v>0</v>
      </c>
      <c r="AP313" t="inlineStr">
        <is>
          <t>No</t>
        </is>
      </c>
      <c r="AQ313" t="inlineStr">
        <is>
          <t>Yes</t>
        </is>
      </c>
      <c r="AR313">
        <f>HYPERLINK("http://catalog.hathitrust.org/Record/001183114","HathiTrust Record")</f>
        <v/>
      </c>
      <c r="AS313">
        <f>HYPERLINK("https://creighton-primo.hosted.exlibrisgroup.com/primo-explore/search?tab=default_tab&amp;search_scope=EVERYTHING&amp;vid=01CRU&amp;lang=en_US&amp;offset=0&amp;query=any,contains,991000092139702656","Catalog Record")</f>
        <v/>
      </c>
      <c r="AT313">
        <f>HYPERLINK("http://www.worldcat.org/oclc/37785","WorldCat Record")</f>
        <v/>
      </c>
      <c r="AU313" t="inlineStr">
        <is>
          <t>928992:eng</t>
        </is>
      </c>
      <c r="AV313" t="inlineStr">
        <is>
          <t>37785</t>
        </is>
      </c>
      <c r="AW313" t="inlineStr">
        <is>
          <t>991000092139702656</t>
        </is>
      </c>
      <c r="AX313" t="inlineStr">
        <is>
          <t>991000092139702656</t>
        </is>
      </c>
      <c r="AY313" t="inlineStr">
        <is>
          <t>2266403910002656</t>
        </is>
      </c>
      <c r="AZ313" t="inlineStr">
        <is>
          <t>BOOK</t>
        </is>
      </c>
      <c r="BC313" t="inlineStr">
        <is>
          <t>32285001110781</t>
        </is>
      </c>
      <c r="BD313" t="inlineStr">
        <is>
          <t>893224721</t>
        </is>
      </c>
    </row>
    <row r="314">
      <c r="A314" t="inlineStr">
        <is>
          <t>No</t>
        </is>
      </c>
      <c r="B314" t="inlineStr">
        <is>
          <t>PE1408 .N417 1995</t>
        </is>
      </c>
      <c r="C314" t="inlineStr">
        <is>
          <t>0                      PE 1408000N  417         1995</t>
        </is>
      </c>
      <c r="D314" t="inlineStr">
        <is>
          <t>Teaching students to write / Beth S. Neman.</t>
        </is>
      </c>
      <c r="F314" t="inlineStr">
        <is>
          <t>No</t>
        </is>
      </c>
      <c r="G314" t="inlineStr">
        <is>
          <t>1</t>
        </is>
      </c>
      <c r="H314" t="inlineStr">
        <is>
          <t>Yes</t>
        </is>
      </c>
      <c r="I314" t="inlineStr">
        <is>
          <t>No</t>
        </is>
      </c>
      <c r="J314" t="inlineStr">
        <is>
          <t>0</t>
        </is>
      </c>
      <c r="K314" t="inlineStr">
        <is>
          <t>Neman, Beth.</t>
        </is>
      </c>
      <c r="L314" t="inlineStr">
        <is>
          <t>New York : Oxford University Press, 1995.</t>
        </is>
      </c>
      <c r="M314" t="inlineStr">
        <is>
          <t>1995</t>
        </is>
      </c>
      <c r="N314" t="inlineStr">
        <is>
          <t>2nd ed.</t>
        </is>
      </c>
      <c r="O314" t="inlineStr">
        <is>
          <t>eng</t>
        </is>
      </c>
      <c r="P314" t="inlineStr">
        <is>
          <t>nyu</t>
        </is>
      </c>
      <c r="R314" t="inlineStr">
        <is>
          <t xml:space="preserve">PE </t>
        </is>
      </c>
      <c r="S314" t="n">
        <v>11</v>
      </c>
      <c r="T314" t="n">
        <v>11</v>
      </c>
      <c r="U314" t="inlineStr">
        <is>
          <t>2001-10-17</t>
        </is>
      </c>
      <c r="V314" t="inlineStr">
        <is>
          <t>2001-10-17</t>
        </is>
      </c>
      <c r="W314" t="inlineStr">
        <is>
          <t>1996-08-12</t>
        </is>
      </c>
      <c r="X314" t="inlineStr">
        <is>
          <t>1996-08-12</t>
        </is>
      </c>
      <c r="Y314" t="n">
        <v>231</v>
      </c>
      <c r="Z314" t="n">
        <v>178</v>
      </c>
      <c r="AA314" t="n">
        <v>341</v>
      </c>
      <c r="AB314" t="n">
        <v>2</v>
      </c>
      <c r="AC314" t="n">
        <v>7</v>
      </c>
      <c r="AD314" t="n">
        <v>8</v>
      </c>
      <c r="AE314" t="n">
        <v>16</v>
      </c>
      <c r="AF314" t="n">
        <v>4</v>
      </c>
      <c r="AG314" t="n">
        <v>6</v>
      </c>
      <c r="AH314" t="n">
        <v>3</v>
      </c>
      <c r="AI314" t="n">
        <v>3</v>
      </c>
      <c r="AJ314" t="n">
        <v>5</v>
      </c>
      <c r="AK314" t="n">
        <v>7</v>
      </c>
      <c r="AL314" t="n">
        <v>0</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HYPERLINK("https://creighton-primo.hosted.exlibrisgroup.com/primo-explore/search?tab=default_tab&amp;search_scope=EVERYTHING&amp;vid=01CRU&amp;lang=en_US&amp;offset=0&amp;query=any,contains,991001662969702656","Catalog Record")</f>
        <v/>
      </c>
      <c r="AT314">
        <f>HYPERLINK("http://www.worldcat.org/oclc/30624804","WorldCat Record")</f>
        <v/>
      </c>
      <c r="AU314" t="inlineStr">
        <is>
          <t>431043:eng</t>
        </is>
      </c>
      <c r="AV314" t="inlineStr">
        <is>
          <t>30624804</t>
        </is>
      </c>
      <c r="AW314" t="inlineStr">
        <is>
          <t>991001662969702656</t>
        </is>
      </c>
      <c r="AX314" t="inlineStr">
        <is>
          <t>991001662969702656</t>
        </is>
      </c>
      <c r="AY314" t="inlineStr">
        <is>
          <t>2260313540002656</t>
        </is>
      </c>
      <c r="AZ314" t="inlineStr">
        <is>
          <t>BOOK</t>
        </is>
      </c>
      <c r="BB314" t="inlineStr">
        <is>
          <t>9780195064285</t>
        </is>
      </c>
      <c r="BC314" t="inlineStr">
        <is>
          <t>32285002274016</t>
        </is>
      </c>
      <c r="BD314" t="inlineStr">
        <is>
          <t>893322127</t>
        </is>
      </c>
    </row>
    <row r="315">
      <c r="A315" t="inlineStr">
        <is>
          <t>No</t>
        </is>
      </c>
      <c r="B315" t="inlineStr">
        <is>
          <t>PE1408 .Q3 1854</t>
        </is>
      </c>
      <c r="C315" t="inlineStr">
        <is>
          <t>0                      PE 1408000Q  3           1854</t>
        </is>
      </c>
      <c r="D315" t="inlineStr">
        <is>
          <t>Advanced course of composition and rhetoric : a series of practical lessons on the origin, history, and peculiarities of the English language ... adapted to self-instruction, and the use of schools and colleges / by G.P. Quackenbos.</t>
        </is>
      </c>
      <c r="F315" t="inlineStr">
        <is>
          <t>No</t>
        </is>
      </c>
      <c r="G315" t="inlineStr">
        <is>
          <t>1</t>
        </is>
      </c>
      <c r="H315" t="inlineStr">
        <is>
          <t>No</t>
        </is>
      </c>
      <c r="I315" t="inlineStr">
        <is>
          <t>No</t>
        </is>
      </c>
      <c r="J315" t="inlineStr">
        <is>
          <t>0</t>
        </is>
      </c>
      <c r="K315" t="inlineStr">
        <is>
          <t>Quackenbos, G. P. (George Payn), 1826-1881.</t>
        </is>
      </c>
      <c r="L315" t="inlineStr">
        <is>
          <t>New York : D. Appleton, 1854, 1879 printing.</t>
        </is>
      </c>
      <c r="M315" t="inlineStr">
        <is>
          <t>1854</t>
        </is>
      </c>
      <c r="O315" t="inlineStr">
        <is>
          <t>eng</t>
        </is>
      </c>
      <c r="P315" t="inlineStr">
        <is>
          <t>nyu</t>
        </is>
      </c>
      <c r="R315" t="inlineStr">
        <is>
          <t xml:space="preserve">PE </t>
        </is>
      </c>
      <c r="S315" t="n">
        <v>14</v>
      </c>
      <c r="T315" t="n">
        <v>14</v>
      </c>
      <c r="U315" t="inlineStr">
        <is>
          <t>2002-04-16</t>
        </is>
      </c>
      <c r="V315" t="inlineStr">
        <is>
          <t>2002-04-16</t>
        </is>
      </c>
      <c r="W315" t="inlineStr">
        <is>
          <t>1993-10-19</t>
        </is>
      </c>
      <c r="X315" t="inlineStr">
        <is>
          <t>1993-10-19</t>
        </is>
      </c>
      <c r="Y315" t="n">
        <v>17</v>
      </c>
      <c r="Z315" t="n">
        <v>17</v>
      </c>
      <c r="AA315" t="n">
        <v>128</v>
      </c>
      <c r="AB315" t="n">
        <v>2</v>
      </c>
      <c r="AC315" t="n">
        <v>2</v>
      </c>
      <c r="AD315" t="n">
        <v>2</v>
      </c>
      <c r="AE315" t="n">
        <v>6</v>
      </c>
      <c r="AF315" t="n">
        <v>1</v>
      </c>
      <c r="AG315" t="n">
        <v>2</v>
      </c>
      <c r="AH315" t="n">
        <v>0</v>
      </c>
      <c r="AI315" t="n">
        <v>1</v>
      </c>
      <c r="AJ315" t="n">
        <v>0</v>
      </c>
      <c r="AK315" t="n">
        <v>3</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HYPERLINK("https://creighton-primo.hosted.exlibrisgroup.com/primo-explore/search?tab=default_tab&amp;search_scope=EVERYTHING&amp;vid=01CRU&amp;lang=en_US&amp;offset=0&amp;query=any,contains,991001479469702656","Catalog Record")</f>
        <v/>
      </c>
      <c r="AT315">
        <f>HYPERLINK("http://www.worldcat.org/oclc/19614845","WorldCat Record")</f>
        <v/>
      </c>
      <c r="AU315" t="inlineStr">
        <is>
          <t>4160307304:eng</t>
        </is>
      </c>
      <c r="AV315" t="inlineStr">
        <is>
          <t>19614845</t>
        </is>
      </c>
      <c r="AW315" t="inlineStr">
        <is>
          <t>991001479469702656</t>
        </is>
      </c>
      <c r="AX315" t="inlineStr">
        <is>
          <t>991001479469702656</t>
        </is>
      </c>
      <c r="AY315" t="inlineStr">
        <is>
          <t>2256491310002656</t>
        </is>
      </c>
      <c r="AZ315" t="inlineStr">
        <is>
          <t>BOOK</t>
        </is>
      </c>
      <c r="BC315" t="inlineStr">
        <is>
          <t>32285001793719</t>
        </is>
      </c>
      <c r="BD315" t="inlineStr">
        <is>
          <t>893414261</t>
        </is>
      </c>
    </row>
    <row r="316">
      <c r="A316" t="inlineStr">
        <is>
          <t>No</t>
        </is>
      </c>
      <c r="B316" t="inlineStr">
        <is>
          <t>PE1408 .R13 1984</t>
        </is>
      </c>
      <c r="C316" t="inlineStr">
        <is>
          <t>0                      PE 1408000R  13          1984</t>
        </is>
      </c>
      <c r="D316" t="inlineStr">
        <is>
          <t>From sight to insight : steps in the writing process / Jeff Rackham.</t>
        </is>
      </c>
      <c r="F316" t="inlineStr">
        <is>
          <t>No</t>
        </is>
      </c>
      <c r="G316" t="inlineStr">
        <is>
          <t>1</t>
        </is>
      </c>
      <c r="H316" t="inlineStr">
        <is>
          <t>No</t>
        </is>
      </c>
      <c r="I316" t="inlineStr">
        <is>
          <t>No</t>
        </is>
      </c>
      <c r="J316" t="inlineStr">
        <is>
          <t>0</t>
        </is>
      </c>
      <c r="K316" t="inlineStr">
        <is>
          <t>Rackham, Jeff.</t>
        </is>
      </c>
      <c r="L316" t="inlineStr">
        <is>
          <t>New York : Holt, Rinehart, and Winston, c1984.</t>
        </is>
      </c>
      <c r="M316" t="inlineStr">
        <is>
          <t>1984</t>
        </is>
      </c>
      <c r="N316" t="inlineStr">
        <is>
          <t>2nd ed.</t>
        </is>
      </c>
      <c r="O316" t="inlineStr">
        <is>
          <t>eng</t>
        </is>
      </c>
      <c r="P316" t="inlineStr">
        <is>
          <t>nyu</t>
        </is>
      </c>
      <c r="R316" t="inlineStr">
        <is>
          <t xml:space="preserve">PE </t>
        </is>
      </c>
      <c r="S316" t="n">
        <v>10</v>
      </c>
      <c r="T316" t="n">
        <v>10</v>
      </c>
      <c r="U316" t="inlineStr">
        <is>
          <t>2001-12-04</t>
        </is>
      </c>
      <c r="V316" t="inlineStr">
        <is>
          <t>2001-12-04</t>
        </is>
      </c>
      <c r="W316" t="inlineStr">
        <is>
          <t>1993-04-23</t>
        </is>
      </c>
      <c r="X316" t="inlineStr">
        <is>
          <t>1993-04-23</t>
        </is>
      </c>
      <c r="Y316" t="n">
        <v>59</v>
      </c>
      <c r="Z316" t="n">
        <v>46</v>
      </c>
      <c r="AA316" t="n">
        <v>196</v>
      </c>
      <c r="AB316" t="n">
        <v>1</v>
      </c>
      <c r="AC316" t="n">
        <v>2</v>
      </c>
      <c r="AD316" t="n">
        <v>0</v>
      </c>
      <c r="AE316" t="n">
        <v>4</v>
      </c>
      <c r="AF316" t="n">
        <v>0</v>
      </c>
      <c r="AG316" t="n">
        <v>1</v>
      </c>
      <c r="AH316" t="n">
        <v>0</v>
      </c>
      <c r="AI316" t="n">
        <v>1</v>
      </c>
      <c r="AJ316" t="n">
        <v>0</v>
      </c>
      <c r="AK316" t="n">
        <v>2</v>
      </c>
      <c r="AL316" t="n">
        <v>0</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HYPERLINK("https://creighton-primo.hosted.exlibrisgroup.com/primo-explore/search?tab=default_tab&amp;search_scope=EVERYTHING&amp;vid=01CRU&amp;lang=en_US&amp;offset=0&amp;query=any,contains,991000266119702656","Catalog Record")</f>
        <v/>
      </c>
      <c r="AT316">
        <f>HYPERLINK("http://www.worldcat.org/oclc/9830042","WorldCat Record")</f>
        <v/>
      </c>
      <c r="AU316" t="inlineStr">
        <is>
          <t>723354:eng</t>
        </is>
      </c>
      <c r="AV316" t="inlineStr">
        <is>
          <t>9830042</t>
        </is>
      </c>
      <c r="AW316" t="inlineStr">
        <is>
          <t>991000266119702656</t>
        </is>
      </c>
      <c r="AX316" t="inlineStr">
        <is>
          <t>991000266119702656</t>
        </is>
      </c>
      <c r="AY316" t="inlineStr">
        <is>
          <t>2255250450002656</t>
        </is>
      </c>
      <c r="AZ316" t="inlineStr">
        <is>
          <t>BOOK</t>
        </is>
      </c>
      <c r="BB316" t="inlineStr">
        <is>
          <t>9780030624445</t>
        </is>
      </c>
      <c r="BC316" t="inlineStr">
        <is>
          <t>32285001647121</t>
        </is>
      </c>
      <c r="BD316" t="inlineStr">
        <is>
          <t>893249222</t>
        </is>
      </c>
    </row>
    <row r="317">
      <c r="A317" t="inlineStr">
        <is>
          <t>No</t>
        </is>
      </c>
      <c r="B317" t="inlineStr">
        <is>
          <t>PE1408 .R424 1989</t>
        </is>
      </c>
      <c r="C317" t="inlineStr">
        <is>
          <t>0                      PE 1408000R  424         1989</t>
        </is>
      </c>
      <c r="D317" t="inlineStr">
        <is>
          <t>The Prentice Hall guide for college writers / Stephen Reid.</t>
        </is>
      </c>
      <c r="F317" t="inlineStr">
        <is>
          <t>No</t>
        </is>
      </c>
      <c r="G317" t="inlineStr">
        <is>
          <t>1</t>
        </is>
      </c>
      <c r="H317" t="inlineStr">
        <is>
          <t>No</t>
        </is>
      </c>
      <c r="I317" t="inlineStr">
        <is>
          <t>No</t>
        </is>
      </c>
      <c r="J317" t="inlineStr">
        <is>
          <t>0</t>
        </is>
      </c>
      <c r="K317" t="inlineStr">
        <is>
          <t>Reid, Stephen, 1940-</t>
        </is>
      </c>
      <c r="L317" t="inlineStr">
        <is>
          <t>Englewood Cliffs, N.J. : Prentice Hall, c1989.</t>
        </is>
      </c>
      <c r="M317" t="inlineStr">
        <is>
          <t>1989</t>
        </is>
      </c>
      <c r="O317" t="inlineStr">
        <is>
          <t>eng</t>
        </is>
      </c>
      <c r="P317" t="inlineStr">
        <is>
          <t>nju</t>
        </is>
      </c>
      <c r="R317" t="inlineStr">
        <is>
          <t xml:space="preserve">PE </t>
        </is>
      </c>
      <c r="S317" t="n">
        <v>8</v>
      </c>
      <c r="T317" t="n">
        <v>8</v>
      </c>
      <c r="U317" t="inlineStr">
        <is>
          <t>2004-05-07</t>
        </is>
      </c>
      <c r="V317" t="inlineStr">
        <is>
          <t>2004-05-07</t>
        </is>
      </c>
      <c r="W317" t="inlineStr">
        <is>
          <t>1996-09-03</t>
        </is>
      </c>
      <c r="X317" t="inlineStr">
        <is>
          <t>1996-09-03</t>
        </is>
      </c>
      <c r="Y317" t="n">
        <v>68</v>
      </c>
      <c r="Z317" t="n">
        <v>54</v>
      </c>
      <c r="AA317" t="n">
        <v>624</v>
      </c>
      <c r="AB317" t="n">
        <v>2</v>
      </c>
      <c r="AC317" t="n">
        <v>8</v>
      </c>
      <c r="AD317" t="n">
        <v>2</v>
      </c>
      <c r="AE317" t="n">
        <v>10</v>
      </c>
      <c r="AF317" t="n">
        <v>0</v>
      </c>
      <c r="AG317" t="n">
        <v>1</v>
      </c>
      <c r="AH317" t="n">
        <v>0</v>
      </c>
      <c r="AI317" t="n">
        <v>0</v>
      </c>
      <c r="AJ317" t="n">
        <v>1</v>
      </c>
      <c r="AK317" t="n">
        <v>5</v>
      </c>
      <c r="AL317" t="n">
        <v>1</v>
      </c>
      <c r="AM317" t="n">
        <v>5</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HYPERLINK("https://creighton-primo.hosted.exlibrisgroup.com/primo-explore/search?tab=default_tab&amp;search_scope=EVERYTHING&amp;vid=01CRU&amp;lang=en_US&amp;offset=0&amp;query=any,contains,991001341029702656","Catalog Record")</f>
        <v/>
      </c>
      <c r="AT317">
        <f>HYPERLINK("http://www.worldcat.org/oclc/18382579","WorldCat Record")</f>
        <v/>
      </c>
      <c r="AU317" t="inlineStr">
        <is>
          <t>872545:eng</t>
        </is>
      </c>
      <c r="AV317" t="inlineStr">
        <is>
          <t>18382579</t>
        </is>
      </c>
      <c r="AW317" t="inlineStr">
        <is>
          <t>991001341029702656</t>
        </is>
      </c>
      <c r="AX317" t="inlineStr">
        <is>
          <t>991001341029702656</t>
        </is>
      </c>
      <c r="AY317" t="inlineStr">
        <is>
          <t>2259208460002656</t>
        </is>
      </c>
      <c r="AZ317" t="inlineStr">
        <is>
          <t>BOOK</t>
        </is>
      </c>
      <c r="BB317" t="inlineStr">
        <is>
          <t>9780131501119</t>
        </is>
      </c>
      <c r="BC317" t="inlineStr">
        <is>
          <t>32285002293586</t>
        </is>
      </c>
      <c r="BD317" t="inlineStr">
        <is>
          <t>893803558</t>
        </is>
      </c>
    </row>
    <row r="318">
      <c r="A318" t="inlineStr">
        <is>
          <t>No</t>
        </is>
      </c>
      <c r="B318" t="inlineStr">
        <is>
          <t>PE1408 .S32 1997</t>
        </is>
      </c>
      <c r="C318" t="inlineStr">
        <is>
          <t>0                      PE 1408000S  32          1997</t>
        </is>
      </c>
      <c r="D318" t="inlineStr">
        <is>
          <t>The writer's workplace : paragraphs to essays : building college writing skills / Sandra Scarry, John Scarry.</t>
        </is>
      </c>
      <c r="F318" t="inlineStr">
        <is>
          <t>No</t>
        </is>
      </c>
      <c r="G318" t="inlineStr">
        <is>
          <t>1</t>
        </is>
      </c>
      <c r="H318" t="inlineStr">
        <is>
          <t>No</t>
        </is>
      </c>
      <c r="I318" t="inlineStr">
        <is>
          <t>No</t>
        </is>
      </c>
      <c r="J318" t="inlineStr">
        <is>
          <t>0</t>
        </is>
      </c>
      <c r="K318" t="inlineStr">
        <is>
          <t>Scarry, Sandra, 1946-</t>
        </is>
      </c>
      <c r="L318" t="inlineStr">
        <is>
          <t>Fort Worth ; London : Harcourt Brace College, c1997.</t>
        </is>
      </c>
      <c r="M318" t="inlineStr">
        <is>
          <t>1997</t>
        </is>
      </c>
      <c r="O318" t="inlineStr">
        <is>
          <t>eng</t>
        </is>
      </c>
      <c r="P318" t="inlineStr">
        <is>
          <t>enk</t>
        </is>
      </c>
      <c r="R318" t="inlineStr">
        <is>
          <t xml:space="preserve">PE </t>
        </is>
      </c>
      <c r="S318" t="n">
        <v>4</v>
      </c>
      <c r="T318" t="n">
        <v>4</v>
      </c>
      <c r="U318" t="inlineStr">
        <is>
          <t>2000-04-06</t>
        </is>
      </c>
      <c r="V318" t="inlineStr">
        <is>
          <t>2000-04-06</t>
        </is>
      </c>
      <c r="W318" t="inlineStr">
        <is>
          <t>1997-05-14</t>
        </is>
      </c>
      <c r="X318" t="inlineStr">
        <is>
          <t>1997-05-14</t>
        </is>
      </c>
      <c r="Y318" t="n">
        <v>22</v>
      </c>
      <c r="Z318" t="n">
        <v>13</v>
      </c>
      <c r="AA318" t="n">
        <v>88</v>
      </c>
      <c r="AB318" t="n">
        <v>1</v>
      </c>
      <c r="AC318" t="n">
        <v>1</v>
      </c>
      <c r="AD318" t="n">
        <v>0</v>
      </c>
      <c r="AE318" t="n">
        <v>0</v>
      </c>
      <c r="AF318" t="n">
        <v>0</v>
      </c>
      <c r="AG318" t="n">
        <v>0</v>
      </c>
      <c r="AH318" t="n">
        <v>0</v>
      </c>
      <c r="AI318" t="n">
        <v>0</v>
      </c>
      <c r="AJ318" t="n">
        <v>0</v>
      </c>
      <c r="AK318" t="n">
        <v>0</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HYPERLINK("https://creighton-primo.hosted.exlibrisgroup.com/primo-explore/search?tab=default_tab&amp;search_scope=EVERYTHING&amp;vid=01CRU&amp;lang=en_US&amp;offset=0&amp;query=any,contains,991002798849702656","Catalog Record")</f>
        <v/>
      </c>
      <c r="AT318">
        <f>HYPERLINK("http://www.worldcat.org/oclc/36989295","WorldCat Record")</f>
        <v/>
      </c>
      <c r="AU318" t="inlineStr">
        <is>
          <t>2280437569:eng</t>
        </is>
      </c>
      <c r="AV318" t="inlineStr">
        <is>
          <t>36989295</t>
        </is>
      </c>
      <c r="AW318" t="inlineStr">
        <is>
          <t>991002798849702656</t>
        </is>
      </c>
      <c r="AX318" t="inlineStr">
        <is>
          <t>991002798849702656</t>
        </is>
      </c>
      <c r="AY318" t="inlineStr">
        <is>
          <t>2255096140002656</t>
        </is>
      </c>
      <c r="AZ318" t="inlineStr">
        <is>
          <t>BOOK</t>
        </is>
      </c>
      <c r="BC318" t="inlineStr">
        <is>
          <t>32285002607926</t>
        </is>
      </c>
      <c r="BD318" t="inlineStr">
        <is>
          <t>893428049</t>
        </is>
      </c>
    </row>
    <row r="319">
      <c r="A319" t="inlineStr">
        <is>
          <t>No</t>
        </is>
      </c>
      <c r="B319" t="inlineStr">
        <is>
          <t>PE1408 .S36 1988</t>
        </is>
      </c>
      <c r="C319" t="inlineStr">
        <is>
          <t>0                      PE 1408000S  36          1988</t>
        </is>
      </c>
      <c r="D319" t="inlineStr">
        <is>
          <t>Text book : an introduction to literary language / Robert Scholes, Nancy R. Comley, Gregory L. Ulmer.</t>
        </is>
      </c>
      <c r="F319" t="inlineStr">
        <is>
          <t>No</t>
        </is>
      </c>
      <c r="G319" t="inlineStr">
        <is>
          <t>1</t>
        </is>
      </c>
      <c r="H319" t="inlineStr">
        <is>
          <t>No</t>
        </is>
      </c>
      <c r="I319" t="inlineStr">
        <is>
          <t>No</t>
        </is>
      </c>
      <c r="J319" t="inlineStr">
        <is>
          <t>0</t>
        </is>
      </c>
      <c r="K319" t="inlineStr">
        <is>
          <t>Scholes, Robert, 1929-</t>
        </is>
      </c>
      <c r="L319" t="inlineStr">
        <is>
          <t>New York : St. Martin's Press, c1988.</t>
        </is>
      </c>
      <c r="M319" t="inlineStr">
        <is>
          <t>1988</t>
        </is>
      </c>
      <c r="O319" t="inlineStr">
        <is>
          <t>eng</t>
        </is>
      </c>
      <c r="P319" t="inlineStr">
        <is>
          <t>nyu</t>
        </is>
      </c>
      <c r="R319" t="inlineStr">
        <is>
          <t xml:space="preserve">PE </t>
        </is>
      </c>
      <c r="S319" t="n">
        <v>2</v>
      </c>
      <c r="T319" t="n">
        <v>2</v>
      </c>
      <c r="U319" t="inlineStr">
        <is>
          <t>1993-07-07</t>
        </is>
      </c>
      <c r="V319" t="inlineStr">
        <is>
          <t>1993-07-07</t>
        </is>
      </c>
      <c r="W319" t="inlineStr">
        <is>
          <t>1990-12-17</t>
        </is>
      </c>
      <c r="X319" t="inlineStr">
        <is>
          <t>1990-12-17</t>
        </is>
      </c>
      <c r="Y319" t="n">
        <v>100</v>
      </c>
      <c r="Z319" t="n">
        <v>82</v>
      </c>
      <c r="AA319" t="n">
        <v>149</v>
      </c>
      <c r="AB319" t="n">
        <v>1</v>
      </c>
      <c r="AC319" t="n">
        <v>2</v>
      </c>
      <c r="AD319" t="n">
        <v>3</v>
      </c>
      <c r="AE319" t="n">
        <v>6</v>
      </c>
      <c r="AF319" t="n">
        <v>1</v>
      </c>
      <c r="AG319" t="n">
        <v>2</v>
      </c>
      <c r="AH319" t="n">
        <v>1</v>
      </c>
      <c r="AI319" t="n">
        <v>1</v>
      </c>
      <c r="AJ319" t="n">
        <v>2</v>
      </c>
      <c r="AK319" t="n">
        <v>3</v>
      </c>
      <c r="AL319" t="n">
        <v>0</v>
      </c>
      <c r="AM319" t="n">
        <v>1</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HYPERLINK("https://creighton-primo.hosted.exlibrisgroup.com/primo-explore/search?tab=default_tab&amp;search_scope=EVERYTHING&amp;vid=01CRU&amp;lang=en_US&amp;offset=0&amp;query=any,contains,991001358809702656","Catalog Record")</f>
        <v/>
      </c>
      <c r="AT319">
        <f>HYPERLINK("http://www.worldcat.org/oclc/25873134","WorldCat Record")</f>
        <v/>
      </c>
      <c r="AU319" t="inlineStr">
        <is>
          <t>13634620:eng</t>
        </is>
      </c>
      <c r="AV319" t="inlineStr">
        <is>
          <t>25873134</t>
        </is>
      </c>
      <c r="AW319" t="inlineStr">
        <is>
          <t>991001358809702656</t>
        </is>
      </c>
      <c r="AX319" t="inlineStr">
        <is>
          <t>991001358809702656</t>
        </is>
      </c>
      <c r="AY319" t="inlineStr">
        <is>
          <t>2270143090002656</t>
        </is>
      </c>
      <c r="AZ319" t="inlineStr">
        <is>
          <t>BOOK</t>
        </is>
      </c>
      <c r="BB319" t="inlineStr">
        <is>
          <t>9780312002510</t>
        </is>
      </c>
      <c r="BC319" t="inlineStr">
        <is>
          <t>32285000359827</t>
        </is>
      </c>
      <c r="BD319" t="inlineStr">
        <is>
          <t>893785046</t>
        </is>
      </c>
    </row>
    <row r="320">
      <c r="A320" t="inlineStr">
        <is>
          <t>No</t>
        </is>
      </c>
      <c r="B320" t="inlineStr">
        <is>
          <t>PE1408 .T36 1984</t>
        </is>
      </c>
      <c r="C320" t="inlineStr">
        <is>
          <t>0                      PE 1408000T  36          1984</t>
        </is>
      </c>
      <c r="D320" t="inlineStr">
        <is>
          <t>The young writer's handbook / Susan and Stephen Tchudi.</t>
        </is>
      </c>
      <c r="F320" t="inlineStr">
        <is>
          <t>No</t>
        </is>
      </c>
      <c r="G320" t="inlineStr">
        <is>
          <t>1</t>
        </is>
      </c>
      <c r="H320" t="inlineStr">
        <is>
          <t>No</t>
        </is>
      </c>
      <c r="I320" t="inlineStr">
        <is>
          <t>No</t>
        </is>
      </c>
      <c r="J320" t="inlineStr">
        <is>
          <t>0</t>
        </is>
      </c>
      <c r="K320" t="inlineStr">
        <is>
          <t>Tchudi, Susan J. (Susan Jane), 1945-</t>
        </is>
      </c>
      <c r="L320" t="inlineStr">
        <is>
          <t>New York : Scribner's, c1984.</t>
        </is>
      </c>
      <c r="M320" t="inlineStr">
        <is>
          <t>1984</t>
        </is>
      </c>
      <c r="O320" t="inlineStr">
        <is>
          <t>eng</t>
        </is>
      </c>
      <c r="P320" t="inlineStr">
        <is>
          <t>nyu</t>
        </is>
      </c>
      <c r="R320" t="inlineStr">
        <is>
          <t xml:space="preserve">PE </t>
        </is>
      </c>
      <c r="S320" t="n">
        <v>4</v>
      </c>
      <c r="T320" t="n">
        <v>4</v>
      </c>
      <c r="U320" t="inlineStr">
        <is>
          <t>1994-09-18</t>
        </is>
      </c>
      <c r="V320" t="inlineStr">
        <is>
          <t>1994-09-18</t>
        </is>
      </c>
      <c r="W320" t="inlineStr">
        <is>
          <t>1993-03-09</t>
        </is>
      </c>
      <c r="X320" t="inlineStr">
        <is>
          <t>1993-03-09</t>
        </is>
      </c>
      <c r="Y320" t="n">
        <v>804</v>
      </c>
      <c r="Z320" t="n">
        <v>777</v>
      </c>
      <c r="AA320" t="n">
        <v>827</v>
      </c>
      <c r="AB320" t="n">
        <v>6</v>
      </c>
      <c r="AC320" t="n">
        <v>7</v>
      </c>
      <c r="AD320" t="n">
        <v>4</v>
      </c>
      <c r="AE320" t="n">
        <v>5</v>
      </c>
      <c r="AF320" t="n">
        <v>2</v>
      </c>
      <c r="AG320" t="n">
        <v>2</v>
      </c>
      <c r="AH320" t="n">
        <v>0</v>
      </c>
      <c r="AI320" t="n">
        <v>0</v>
      </c>
      <c r="AJ320" t="n">
        <v>1</v>
      </c>
      <c r="AK320" t="n">
        <v>1</v>
      </c>
      <c r="AL320" t="n">
        <v>1</v>
      </c>
      <c r="AM320" t="n">
        <v>2</v>
      </c>
      <c r="AN320" t="n">
        <v>0</v>
      </c>
      <c r="AO320" t="n">
        <v>0</v>
      </c>
      <c r="AP320" t="inlineStr">
        <is>
          <t>No</t>
        </is>
      </c>
      <c r="AQ320" t="inlineStr">
        <is>
          <t>Yes</t>
        </is>
      </c>
      <c r="AR320">
        <f>HYPERLINK("http://catalog.hathitrust.org/Record/000332359","HathiTrust Record")</f>
        <v/>
      </c>
      <c r="AS320">
        <f>HYPERLINK("https://creighton-primo.hosted.exlibrisgroup.com/primo-explore/search?tab=default_tab&amp;search_scope=EVERYTHING&amp;vid=01CRU&amp;lang=en_US&amp;offset=0&amp;query=any,contains,991000393599702656","Catalog Record")</f>
        <v/>
      </c>
      <c r="AT320">
        <f>HYPERLINK("http://www.worldcat.org/oclc/10559049","WorldCat Record")</f>
        <v/>
      </c>
      <c r="AU320" t="inlineStr">
        <is>
          <t>2908534:eng</t>
        </is>
      </c>
      <c r="AV320" t="inlineStr">
        <is>
          <t>10559049</t>
        </is>
      </c>
      <c r="AW320" t="inlineStr">
        <is>
          <t>991000393599702656</t>
        </is>
      </c>
      <c r="AX320" t="inlineStr">
        <is>
          <t>991000393599702656</t>
        </is>
      </c>
      <c r="AY320" t="inlineStr">
        <is>
          <t>2272039720002656</t>
        </is>
      </c>
      <c r="AZ320" t="inlineStr">
        <is>
          <t>BOOK</t>
        </is>
      </c>
      <c r="BB320" t="inlineStr">
        <is>
          <t>9780684180908</t>
        </is>
      </c>
      <c r="BC320" t="inlineStr">
        <is>
          <t>32285001571248</t>
        </is>
      </c>
      <c r="BD320" t="inlineStr">
        <is>
          <t>893249297</t>
        </is>
      </c>
    </row>
    <row r="321">
      <c r="A321" t="inlineStr">
        <is>
          <t>No</t>
        </is>
      </c>
      <c r="B321" t="inlineStr">
        <is>
          <t>PE1408 .T368 2006</t>
        </is>
      </c>
      <c r="C321" t="inlineStr">
        <is>
          <t>0                      PE 1408000T  368         2006</t>
        </is>
      </c>
      <c r="D321" t="inlineStr">
        <is>
          <t>Teaching rhetorica : theory, pedagogy, practice / edited by Kate Ronald and Joy Ritchie.</t>
        </is>
      </c>
      <c r="F321" t="inlineStr">
        <is>
          <t>No</t>
        </is>
      </c>
      <c r="G321" t="inlineStr">
        <is>
          <t>1</t>
        </is>
      </c>
      <c r="H321" t="inlineStr">
        <is>
          <t>No</t>
        </is>
      </c>
      <c r="I321" t="inlineStr">
        <is>
          <t>No</t>
        </is>
      </c>
      <c r="J321" t="inlineStr">
        <is>
          <t>0</t>
        </is>
      </c>
      <c r="L321" t="inlineStr">
        <is>
          <t>Portsmouth, NH : Boynton/Cook Publishers, c2006.</t>
        </is>
      </c>
      <c r="M321" t="inlineStr">
        <is>
          <t>2006</t>
        </is>
      </c>
      <c r="O321" t="inlineStr">
        <is>
          <t>eng</t>
        </is>
      </c>
      <c r="P321" t="inlineStr">
        <is>
          <t>nhu</t>
        </is>
      </c>
      <c r="R321" t="inlineStr">
        <is>
          <t xml:space="preserve">PE </t>
        </is>
      </c>
      <c r="S321" t="n">
        <v>2</v>
      </c>
      <c r="T321" t="n">
        <v>2</v>
      </c>
      <c r="U321" t="inlineStr">
        <is>
          <t>2007-06-19</t>
        </is>
      </c>
      <c r="V321" t="inlineStr">
        <is>
          <t>2007-06-19</t>
        </is>
      </c>
      <c r="W321" t="inlineStr">
        <is>
          <t>2007-04-23</t>
        </is>
      </c>
      <c r="X321" t="inlineStr">
        <is>
          <t>2007-04-23</t>
        </is>
      </c>
      <c r="Y321" t="n">
        <v>128</v>
      </c>
      <c r="Z321" t="n">
        <v>109</v>
      </c>
      <c r="AA321" t="n">
        <v>109</v>
      </c>
      <c r="AB321" t="n">
        <v>2</v>
      </c>
      <c r="AC321" t="n">
        <v>2</v>
      </c>
      <c r="AD321" t="n">
        <v>3</v>
      </c>
      <c r="AE321" t="n">
        <v>3</v>
      </c>
      <c r="AF321" t="n">
        <v>1</v>
      </c>
      <c r="AG321" t="n">
        <v>1</v>
      </c>
      <c r="AH321" t="n">
        <v>0</v>
      </c>
      <c r="AI321" t="n">
        <v>0</v>
      </c>
      <c r="AJ321" t="n">
        <v>1</v>
      </c>
      <c r="AK321" t="n">
        <v>1</v>
      </c>
      <c r="AL321" t="n">
        <v>1</v>
      </c>
      <c r="AM321" t="n">
        <v>1</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HYPERLINK("https://creighton-primo.hosted.exlibrisgroup.com/primo-explore/search?tab=default_tab&amp;search_scope=EVERYTHING&amp;vid=01CRU&amp;lang=en_US&amp;offset=0&amp;query=any,contains,991005065129702656","Catalog Record")</f>
        <v/>
      </c>
      <c r="AT321">
        <f>HYPERLINK("http://www.worldcat.org/oclc/70830931","WorldCat Record")</f>
        <v/>
      </c>
      <c r="AU321" t="inlineStr">
        <is>
          <t>370564387:eng</t>
        </is>
      </c>
      <c r="AV321" t="inlineStr">
        <is>
          <t>70830931</t>
        </is>
      </c>
      <c r="AW321" t="inlineStr">
        <is>
          <t>991005065129702656</t>
        </is>
      </c>
      <c r="AX321" t="inlineStr">
        <is>
          <t>991005065129702656</t>
        </is>
      </c>
      <c r="AY321" t="inlineStr">
        <is>
          <t>2264340930002656</t>
        </is>
      </c>
      <c r="AZ321" t="inlineStr">
        <is>
          <t>BOOK</t>
        </is>
      </c>
      <c r="BB321" t="inlineStr">
        <is>
          <t>9780867095890</t>
        </is>
      </c>
      <c r="BC321" t="inlineStr">
        <is>
          <t>32285005289169</t>
        </is>
      </c>
      <c r="BD321" t="inlineStr">
        <is>
          <t>893430786</t>
        </is>
      </c>
    </row>
    <row r="322">
      <c r="A322" t="inlineStr">
        <is>
          <t>No</t>
        </is>
      </c>
      <c r="B322" t="inlineStr">
        <is>
          <t>PE1408 .T43 1948</t>
        </is>
      </c>
      <c r="C322" t="inlineStr">
        <is>
          <t>0                      PE 1408000T  43          1948</t>
        </is>
      </c>
      <c r="D322" t="inlineStr">
        <is>
          <t>Composition for college students; a guide for the study and effective writing of good English, with abundant illustrative examples from many authors [by] Joseph M. Thomas, Frederick A. Manchester [and] Franklin W. Scott.</t>
        </is>
      </c>
      <c r="F322" t="inlineStr">
        <is>
          <t>No</t>
        </is>
      </c>
      <c r="G322" t="inlineStr">
        <is>
          <t>1</t>
        </is>
      </c>
      <c r="H322" t="inlineStr">
        <is>
          <t>No</t>
        </is>
      </c>
      <c r="I322" t="inlineStr">
        <is>
          <t>No</t>
        </is>
      </c>
      <c r="J322" t="inlineStr">
        <is>
          <t>0</t>
        </is>
      </c>
      <c r="K322" t="inlineStr">
        <is>
          <t>Thomas, Joseph M. (Joseph Morris), 1876-</t>
        </is>
      </c>
      <c r="L322" t="inlineStr">
        <is>
          <t>New York, Macmillan Co., 1948.</t>
        </is>
      </c>
      <c r="M322" t="inlineStr">
        <is>
          <t>1948</t>
        </is>
      </c>
      <c r="N322" t="inlineStr">
        <is>
          <t>5th ed.</t>
        </is>
      </c>
      <c r="O322" t="inlineStr">
        <is>
          <t>eng</t>
        </is>
      </c>
      <c r="P322" t="inlineStr">
        <is>
          <t xml:space="preserve">xx </t>
        </is>
      </c>
      <c r="R322" t="inlineStr">
        <is>
          <t xml:space="preserve">PE </t>
        </is>
      </c>
      <c r="S322" t="n">
        <v>3</v>
      </c>
      <c r="T322" t="n">
        <v>3</v>
      </c>
      <c r="U322" t="inlineStr">
        <is>
          <t>1999-12-06</t>
        </is>
      </c>
      <c r="V322" t="inlineStr">
        <is>
          <t>1999-12-06</t>
        </is>
      </c>
      <c r="W322" t="inlineStr">
        <is>
          <t>1997-09-24</t>
        </is>
      </c>
      <c r="X322" t="inlineStr">
        <is>
          <t>1997-09-24</t>
        </is>
      </c>
      <c r="Y322" t="n">
        <v>81</v>
      </c>
      <c r="Z322" t="n">
        <v>75</v>
      </c>
      <c r="AA322" t="n">
        <v>76</v>
      </c>
      <c r="AB322" t="n">
        <v>2</v>
      </c>
      <c r="AC322" t="n">
        <v>2</v>
      </c>
      <c r="AD322" t="n">
        <v>4</v>
      </c>
      <c r="AE322" t="n">
        <v>4</v>
      </c>
      <c r="AF322" t="n">
        <v>0</v>
      </c>
      <c r="AG322" t="n">
        <v>0</v>
      </c>
      <c r="AH322" t="n">
        <v>1</v>
      </c>
      <c r="AI322" t="n">
        <v>1</v>
      </c>
      <c r="AJ322" t="n">
        <v>2</v>
      </c>
      <c r="AK322" t="n">
        <v>2</v>
      </c>
      <c r="AL322" t="n">
        <v>1</v>
      </c>
      <c r="AM322" t="n">
        <v>1</v>
      </c>
      <c r="AN322" t="n">
        <v>0</v>
      </c>
      <c r="AO322" t="n">
        <v>0</v>
      </c>
      <c r="AP322" t="inlineStr">
        <is>
          <t>No</t>
        </is>
      </c>
      <c r="AQ322" t="inlineStr">
        <is>
          <t>Yes</t>
        </is>
      </c>
      <c r="AR322">
        <f>HYPERLINK("http://catalog.hathitrust.org/Record/101860024","HathiTrust Record")</f>
        <v/>
      </c>
      <c r="AS322">
        <f>HYPERLINK("https://creighton-primo.hosted.exlibrisgroup.com/primo-explore/search?tab=default_tab&amp;search_scope=EVERYTHING&amp;vid=01CRU&amp;lang=en_US&amp;offset=0&amp;query=any,contains,991004192679702656","Catalog Record")</f>
        <v/>
      </c>
      <c r="AT322">
        <f>HYPERLINK("http://www.worldcat.org/oclc/2634843","WorldCat Record")</f>
        <v/>
      </c>
      <c r="AU322" t="inlineStr">
        <is>
          <t>5534241484:eng</t>
        </is>
      </c>
      <c r="AV322" t="inlineStr">
        <is>
          <t>2634843</t>
        </is>
      </c>
      <c r="AW322" t="inlineStr">
        <is>
          <t>991004192679702656</t>
        </is>
      </c>
      <c r="AX322" t="inlineStr">
        <is>
          <t>991004192679702656</t>
        </is>
      </c>
      <c r="AY322" t="inlineStr">
        <is>
          <t>2272006790002656</t>
        </is>
      </c>
      <c r="AZ322" t="inlineStr">
        <is>
          <t>BOOK</t>
        </is>
      </c>
      <c r="BC322" t="inlineStr">
        <is>
          <t>32285003246757</t>
        </is>
      </c>
      <c r="BD322" t="inlineStr">
        <is>
          <t>893253369</t>
        </is>
      </c>
    </row>
    <row r="323">
      <c r="A323" t="inlineStr">
        <is>
          <t>No</t>
        </is>
      </c>
      <c r="B323" t="inlineStr">
        <is>
          <t>PE1408 .T5 1966</t>
        </is>
      </c>
      <c r="C323" t="inlineStr">
        <is>
          <t>0                      PE 1408000T  5           1966</t>
        </is>
      </c>
      <c r="D323" t="inlineStr">
        <is>
          <t>Effective writing for engineers, managers, scientists / [by] H. J. Tichy.</t>
        </is>
      </c>
      <c r="F323" t="inlineStr">
        <is>
          <t>No</t>
        </is>
      </c>
      <c r="G323" t="inlineStr">
        <is>
          <t>1</t>
        </is>
      </c>
      <c r="H323" t="inlineStr">
        <is>
          <t>No</t>
        </is>
      </c>
      <c r="I323" t="inlineStr">
        <is>
          <t>Yes</t>
        </is>
      </c>
      <c r="J323" t="inlineStr">
        <is>
          <t>0</t>
        </is>
      </c>
      <c r="K323" t="inlineStr">
        <is>
          <t>Tichy, H. J. (Henrietta J.), 1912-</t>
        </is>
      </c>
      <c r="L323" t="inlineStr">
        <is>
          <t>New York : Wiley, [1966]</t>
        </is>
      </c>
      <c r="M323" t="inlineStr">
        <is>
          <t>1966</t>
        </is>
      </c>
      <c r="O323" t="inlineStr">
        <is>
          <t>eng</t>
        </is>
      </c>
      <c r="P323" t="inlineStr">
        <is>
          <t>nyu</t>
        </is>
      </c>
      <c r="R323" t="inlineStr">
        <is>
          <t xml:space="preserve">PE </t>
        </is>
      </c>
      <c r="S323" t="n">
        <v>2</v>
      </c>
      <c r="T323" t="n">
        <v>2</v>
      </c>
      <c r="U323" t="inlineStr">
        <is>
          <t>1997-02-20</t>
        </is>
      </c>
      <c r="V323" t="inlineStr">
        <is>
          <t>1997-02-20</t>
        </is>
      </c>
      <c r="W323" t="inlineStr">
        <is>
          <t>1993-04-23</t>
        </is>
      </c>
      <c r="X323" t="inlineStr">
        <is>
          <t>1993-04-23</t>
        </is>
      </c>
      <c r="Y323" t="n">
        <v>1052</v>
      </c>
      <c r="Z323" t="n">
        <v>910</v>
      </c>
      <c r="AA323" t="n">
        <v>1190</v>
      </c>
      <c r="AB323" t="n">
        <v>9</v>
      </c>
      <c r="AC323" t="n">
        <v>13</v>
      </c>
      <c r="AD323" t="n">
        <v>34</v>
      </c>
      <c r="AE323" t="n">
        <v>41</v>
      </c>
      <c r="AF323" t="n">
        <v>11</v>
      </c>
      <c r="AG323" t="n">
        <v>13</v>
      </c>
      <c r="AH323" t="n">
        <v>8</v>
      </c>
      <c r="AI323" t="n">
        <v>10</v>
      </c>
      <c r="AJ323" t="n">
        <v>14</v>
      </c>
      <c r="AK323" t="n">
        <v>17</v>
      </c>
      <c r="AL323" t="n">
        <v>8</v>
      </c>
      <c r="AM323" t="n">
        <v>10</v>
      </c>
      <c r="AN323" t="n">
        <v>0</v>
      </c>
      <c r="AO323" t="n">
        <v>0</v>
      </c>
      <c r="AP323" t="inlineStr">
        <is>
          <t>No</t>
        </is>
      </c>
      <c r="AQ323" t="inlineStr">
        <is>
          <t>Yes</t>
        </is>
      </c>
      <c r="AR323">
        <f>HYPERLINK("http://catalog.hathitrust.org/Record/001183125","HathiTrust Record")</f>
        <v/>
      </c>
      <c r="AS323">
        <f>HYPERLINK("https://creighton-primo.hosted.exlibrisgroup.com/primo-explore/search?tab=default_tab&amp;search_scope=EVERYTHING&amp;vid=01CRU&amp;lang=en_US&amp;offset=0&amp;query=any,contains,991005254759702656","Catalog Record")</f>
        <v/>
      </c>
      <c r="AT323">
        <f>HYPERLINK("http://www.worldcat.org/oclc/317966","WorldCat Record")</f>
        <v/>
      </c>
      <c r="AU323" t="inlineStr">
        <is>
          <t>1391391:eng</t>
        </is>
      </c>
      <c r="AV323" t="inlineStr">
        <is>
          <t>317966</t>
        </is>
      </c>
      <c r="AW323" t="inlineStr">
        <is>
          <t>991005254759702656</t>
        </is>
      </c>
      <c r="AX323" t="inlineStr">
        <is>
          <t>991005254759702656</t>
        </is>
      </c>
      <c r="AY323" t="inlineStr">
        <is>
          <t>2267429590002656</t>
        </is>
      </c>
      <c r="AZ323" t="inlineStr">
        <is>
          <t>BOOK</t>
        </is>
      </c>
      <c r="BC323" t="inlineStr">
        <is>
          <t>32285001647147</t>
        </is>
      </c>
      <c r="BD323" t="inlineStr">
        <is>
          <t>893254724</t>
        </is>
      </c>
    </row>
    <row r="324">
      <c r="A324" t="inlineStr">
        <is>
          <t>No</t>
        </is>
      </c>
      <c r="B324" t="inlineStr">
        <is>
          <t>PE1408 .T5 1988</t>
        </is>
      </c>
      <c r="C324" t="inlineStr">
        <is>
          <t>0                      PE 1408000T  5           1988</t>
        </is>
      </c>
      <c r="D324" t="inlineStr">
        <is>
          <t>Effective writing for engineers, managers, scientists / H.J. Tichy with Sylvia Fourdrinier.</t>
        </is>
      </c>
      <c r="F324" t="inlineStr">
        <is>
          <t>No</t>
        </is>
      </c>
      <c r="G324" t="inlineStr">
        <is>
          <t>1</t>
        </is>
      </c>
      <c r="H324" t="inlineStr">
        <is>
          <t>Yes</t>
        </is>
      </c>
      <c r="I324" t="inlineStr">
        <is>
          <t>Yes</t>
        </is>
      </c>
      <c r="J324" t="inlineStr">
        <is>
          <t>0</t>
        </is>
      </c>
      <c r="K324" t="inlineStr">
        <is>
          <t>Tichy, H. J. (Henrietta J.), 1912-</t>
        </is>
      </c>
      <c r="L324" t="inlineStr">
        <is>
          <t>New York : Wiley, c1988.</t>
        </is>
      </c>
      <c r="M324" t="inlineStr">
        <is>
          <t>1988</t>
        </is>
      </c>
      <c r="N324" t="inlineStr">
        <is>
          <t>2nd ed.</t>
        </is>
      </c>
      <c r="O324" t="inlineStr">
        <is>
          <t>eng</t>
        </is>
      </c>
      <c r="P324" t="inlineStr">
        <is>
          <t>nyu</t>
        </is>
      </c>
      <c r="R324" t="inlineStr">
        <is>
          <t xml:space="preserve">PE </t>
        </is>
      </c>
      <c r="S324" t="n">
        <v>5</v>
      </c>
      <c r="T324" t="n">
        <v>17</v>
      </c>
      <c r="U324" t="inlineStr">
        <is>
          <t>2010-07-19</t>
        </is>
      </c>
      <c r="V324" t="inlineStr">
        <is>
          <t>2010-07-19</t>
        </is>
      </c>
      <c r="W324" t="inlineStr">
        <is>
          <t>1990-05-08</t>
        </is>
      </c>
      <c r="X324" t="inlineStr">
        <is>
          <t>1990-05-08</t>
        </is>
      </c>
      <c r="Y324" t="n">
        <v>603</v>
      </c>
      <c r="Z324" t="n">
        <v>495</v>
      </c>
      <c r="AA324" t="n">
        <v>1190</v>
      </c>
      <c r="AB324" t="n">
        <v>6</v>
      </c>
      <c r="AC324" t="n">
        <v>13</v>
      </c>
      <c r="AD324" t="n">
        <v>16</v>
      </c>
      <c r="AE324" t="n">
        <v>41</v>
      </c>
      <c r="AF324" t="n">
        <v>3</v>
      </c>
      <c r="AG324" t="n">
        <v>13</v>
      </c>
      <c r="AH324" t="n">
        <v>5</v>
      </c>
      <c r="AI324" t="n">
        <v>10</v>
      </c>
      <c r="AJ324" t="n">
        <v>8</v>
      </c>
      <c r="AK324" t="n">
        <v>17</v>
      </c>
      <c r="AL324" t="n">
        <v>3</v>
      </c>
      <c r="AM324" t="n">
        <v>10</v>
      </c>
      <c r="AN324" t="n">
        <v>0</v>
      </c>
      <c r="AO324" t="n">
        <v>0</v>
      </c>
      <c r="AP324" t="inlineStr">
        <is>
          <t>No</t>
        </is>
      </c>
      <c r="AQ324" t="inlineStr">
        <is>
          <t>Yes</t>
        </is>
      </c>
      <c r="AR324">
        <f>HYPERLINK("http://catalog.hathitrust.org/Record/001090631","HathiTrust Record")</f>
        <v/>
      </c>
      <c r="AS324">
        <f>HYPERLINK("https://creighton-primo.hosted.exlibrisgroup.com/primo-explore/search?tab=default_tab&amp;search_scope=EVERYTHING&amp;vid=01CRU&amp;lang=en_US&amp;offset=0&amp;query=any,contains,991001785559702656","Catalog Record")</f>
        <v/>
      </c>
      <c r="AT324">
        <f>HYPERLINK("http://www.worldcat.org/oclc/16923972","WorldCat Record")</f>
        <v/>
      </c>
      <c r="AU324" t="inlineStr">
        <is>
          <t>1391391:eng</t>
        </is>
      </c>
      <c r="AV324" t="inlineStr">
        <is>
          <t>16923972</t>
        </is>
      </c>
      <c r="AW324" t="inlineStr">
        <is>
          <t>991001785559702656</t>
        </is>
      </c>
      <c r="AX324" t="inlineStr">
        <is>
          <t>991001785559702656</t>
        </is>
      </c>
      <c r="AY324" t="inlineStr">
        <is>
          <t>2271496380002656</t>
        </is>
      </c>
      <c r="AZ324" t="inlineStr">
        <is>
          <t>BOOK</t>
        </is>
      </c>
      <c r="BB324" t="inlineStr">
        <is>
          <t>9780471807087</t>
        </is>
      </c>
      <c r="BC324" t="inlineStr">
        <is>
          <t>32285000135748</t>
        </is>
      </c>
      <c r="BD324" t="inlineStr">
        <is>
          <t>893684645</t>
        </is>
      </c>
    </row>
    <row r="325">
      <c r="A325" t="inlineStr">
        <is>
          <t>No</t>
        </is>
      </c>
      <c r="B325" t="inlineStr">
        <is>
          <t>PE1408 .V7</t>
        </is>
      </c>
      <c r="C325" t="inlineStr">
        <is>
          <t>0                      PE 1408000V  7</t>
        </is>
      </c>
      <c r="D325" t="inlineStr">
        <is>
          <t>Good writing : an informal manual of style / by Alan H. Vrooman.</t>
        </is>
      </c>
      <c r="F325" t="inlineStr">
        <is>
          <t>No</t>
        </is>
      </c>
      <c r="G325" t="inlineStr">
        <is>
          <t>1</t>
        </is>
      </c>
      <c r="H325" t="inlineStr">
        <is>
          <t>No</t>
        </is>
      </c>
      <c r="I325" t="inlineStr">
        <is>
          <t>No</t>
        </is>
      </c>
      <c r="J325" t="inlineStr">
        <is>
          <t>0</t>
        </is>
      </c>
      <c r="K325" t="inlineStr">
        <is>
          <t>Vrooman, Alan H.</t>
        </is>
      </c>
      <c r="L325" t="inlineStr">
        <is>
          <t>[Exeter, N.H.] : Phillips Exeter Academy, [1966]</t>
        </is>
      </c>
      <c r="M325" t="inlineStr">
        <is>
          <t>1966</t>
        </is>
      </c>
      <c r="O325" t="inlineStr">
        <is>
          <t>eng</t>
        </is>
      </c>
      <c r="P325" t="inlineStr">
        <is>
          <t>nhu</t>
        </is>
      </c>
      <c r="R325" t="inlineStr">
        <is>
          <t xml:space="preserve">PE </t>
        </is>
      </c>
      <c r="S325" t="n">
        <v>1</v>
      </c>
      <c r="T325" t="n">
        <v>1</v>
      </c>
      <c r="U325" t="inlineStr">
        <is>
          <t>2010-08-05</t>
        </is>
      </c>
      <c r="V325" t="inlineStr">
        <is>
          <t>2010-08-05</t>
        </is>
      </c>
      <c r="W325" t="inlineStr">
        <is>
          <t>1992-04-15</t>
        </is>
      </c>
      <c r="X325" t="inlineStr">
        <is>
          <t>1992-04-15</t>
        </is>
      </c>
      <c r="Y325" t="n">
        <v>108</v>
      </c>
      <c r="Z325" t="n">
        <v>100</v>
      </c>
      <c r="AA325" t="n">
        <v>371</v>
      </c>
      <c r="AB325" t="n">
        <v>1</v>
      </c>
      <c r="AC325" t="n">
        <v>3</v>
      </c>
      <c r="AD325" t="n">
        <v>1</v>
      </c>
      <c r="AE325" t="n">
        <v>13</v>
      </c>
      <c r="AF325" t="n">
        <v>1</v>
      </c>
      <c r="AG325" t="n">
        <v>7</v>
      </c>
      <c r="AH325" t="n">
        <v>0</v>
      </c>
      <c r="AI325" t="n">
        <v>1</v>
      </c>
      <c r="AJ325" t="n">
        <v>0</v>
      </c>
      <c r="AK325" t="n">
        <v>7</v>
      </c>
      <c r="AL325" t="n">
        <v>0</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HYPERLINK("https://creighton-primo.hosted.exlibrisgroup.com/primo-explore/search?tab=default_tab&amp;search_scope=EVERYTHING&amp;vid=01CRU&amp;lang=en_US&amp;offset=0&amp;query=any,contains,991003182469702656","Catalog Record")</f>
        <v/>
      </c>
      <c r="AT325">
        <f>HYPERLINK("http://www.worldcat.org/oclc/712032","WorldCat Record")</f>
        <v/>
      </c>
      <c r="AU325" t="inlineStr">
        <is>
          <t>1662248:eng</t>
        </is>
      </c>
      <c r="AV325" t="inlineStr">
        <is>
          <t>712032</t>
        </is>
      </c>
      <c r="AW325" t="inlineStr">
        <is>
          <t>991003182469702656</t>
        </is>
      </c>
      <c r="AX325" t="inlineStr">
        <is>
          <t>991003182469702656</t>
        </is>
      </c>
      <c r="AY325" t="inlineStr">
        <is>
          <t>2256823060002656</t>
        </is>
      </c>
      <c r="AZ325" t="inlineStr">
        <is>
          <t>BOOK</t>
        </is>
      </c>
      <c r="BC325" t="inlineStr">
        <is>
          <t>32285001061539</t>
        </is>
      </c>
      <c r="BD325" t="inlineStr">
        <is>
          <t>893524511</t>
        </is>
      </c>
    </row>
    <row r="326">
      <c r="A326" t="inlineStr">
        <is>
          <t>No</t>
        </is>
      </c>
      <c r="B326" t="inlineStr">
        <is>
          <t>PE1408 .W34</t>
        </is>
      </c>
      <c r="C326" t="inlineStr">
        <is>
          <t>0                      PE 1408000W  34</t>
        </is>
      </c>
      <c r="D326" t="inlineStr">
        <is>
          <t>American college English, a handbook of usage and composition [by] Harry R. Warfel, Ernst G. Mathews [and] John C. Bushman.</t>
        </is>
      </c>
      <c r="F326" t="inlineStr">
        <is>
          <t>No</t>
        </is>
      </c>
      <c r="G326" t="inlineStr">
        <is>
          <t>1</t>
        </is>
      </c>
      <c r="H326" t="inlineStr">
        <is>
          <t>No</t>
        </is>
      </c>
      <c r="I326" t="inlineStr">
        <is>
          <t>No</t>
        </is>
      </c>
      <c r="J326" t="inlineStr">
        <is>
          <t>0</t>
        </is>
      </c>
      <c r="K326" t="inlineStr">
        <is>
          <t>Warfel, Harry R. (Harry Redcay), 1899-1971.</t>
        </is>
      </c>
      <c r="L326" t="inlineStr">
        <is>
          <t>New York, American Book Co. [1949]</t>
        </is>
      </c>
      <c r="M326" t="inlineStr">
        <is>
          <t>1949</t>
        </is>
      </c>
      <c r="O326" t="inlineStr">
        <is>
          <t>eng</t>
        </is>
      </c>
      <c r="P326" t="inlineStr">
        <is>
          <t>nyu</t>
        </is>
      </c>
      <c r="R326" t="inlineStr">
        <is>
          <t xml:space="preserve">PE </t>
        </is>
      </c>
      <c r="S326" t="n">
        <v>2</v>
      </c>
      <c r="T326" t="n">
        <v>2</v>
      </c>
      <c r="U326" t="inlineStr">
        <is>
          <t>1998-10-28</t>
        </is>
      </c>
      <c r="V326" t="inlineStr">
        <is>
          <t>1998-10-28</t>
        </is>
      </c>
      <c r="W326" t="inlineStr">
        <is>
          <t>1997-09-24</t>
        </is>
      </c>
      <c r="X326" t="inlineStr">
        <is>
          <t>1997-09-24</t>
        </is>
      </c>
      <c r="Y326" t="n">
        <v>112</v>
      </c>
      <c r="Z326" t="n">
        <v>95</v>
      </c>
      <c r="AA326" t="n">
        <v>95</v>
      </c>
      <c r="AB326" t="n">
        <v>3</v>
      </c>
      <c r="AC326" t="n">
        <v>3</v>
      </c>
      <c r="AD326" t="n">
        <v>7</v>
      </c>
      <c r="AE326" t="n">
        <v>7</v>
      </c>
      <c r="AF326" t="n">
        <v>3</v>
      </c>
      <c r="AG326" t="n">
        <v>3</v>
      </c>
      <c r="AH326" t="n">
        <v>0</v>
      </c>
      <c r="AI326" t="n">
        <v>0</v>
      </c>
      <c r="AJ326" t="n">
        <v>3</v>
      </c>
      <c r="AK326" t="n">
        <v>3</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HYPERLINK("https://creighton-primo.hosted.exlibrisgroup.com/primo-explore/search?tab=default_tab&amp;search_scope=EVERYTHING&amp;vid=01CRU&amp;lang=en_US&amp;offset=0&amp;query=any,contains,991003739739702656","Catalog Record")</f>
        <v/>
      </c>
      <c r="AT326">
        <f>HYPERLINK("http://www.worldcat.org/oclc/1402003","WorldCat Record")</f>
        <v/>
      </c>
      <c r="AU326" t="inlineStr">
        <is>
          <t>2754328837:eng</t>
        </is>
      </c>
      <c r="AV326" t="inlineStr">
        <is>
          <t>1402003</t>
        </is>
      </c>
      <c r="AW326" t="inlineStr">
        <is>
          <t>991003739739702656</t>
        </is>
      </c>
      <c r="AX326" t="inlineStr">
        <is>
          <t>991003739739702656</t>
        </is>
      </c>
      <c r="AY326" t="inlineStr">
        <is>
          <t>2263261740002656</t>
        </is>
      </c>
      <c r="AZ326" t="inlineStr">
        <is>
          <t>BOOK</t>
        </is>
      </c>
      <c r="BC326" t="inlineStr">
        <is>
          <t>32285003246799</t>
        </is>
      </c>
      <c r="BD326" t="inlineStr">
        <is>
          <t>893900297</t>
        </is>
      </c>
    </row>
    <row r="327">
      <c r="A327" t="inlineStr">
        <is>
          <t>No</t>
        </is>
      </c>
      <c r="B327" t="inlineStr">
        <is>
          <t>PE1408 .W37</t>
        </is>
      </c>
      <c r="C327" t="inlineStr">
        <is>
          <t>0                      PE 1408000W  37</t>
        </is>
      </c>
      <c r="D327" t="inlineStr">
        <is>
          <t>Practical English handbook / [by] Floyd C. Watkins, Edwin T. Martin [and] William B. Dillingham.</t>
        </is>
      </c>
      <c r="F327" t="inlineStr">
        <is>
          <t>No</t>
        </is>
      </c>
      <c r="G327" t="inlineStr">
        <is>
          <t>1</t>
        </is>
      </c>
      <c r="H327" t="inlineStr">
        <is>
          <t>No</t>
        </is>
      </c>
      <c r="I327" t="inlineStr">
        <is>
          <t>No</t>
        </is>
      </c>
      <c r="J327" t="inlineStr">
        <is>
          <t>0</t>
        </is>
      </c>
      <c r="K327" t="inlineStr">
        <is>
          <t>Watkins, Floyd C.</t>
        </is>
      </c>
      <c r="L327" t="inlineStr">
        <is>
          <t>Boston : Houghton Mifflin, 1965</t>
        </is>
      </c>
      <c r="M327" t="inlineStr">
        <is>
          <t>1965</t>
        </is>
      </c>
      <c r="N327" t="inlineStr">
        <is>
          <t>2nd ed.</t>
        </is>
      </c>
      <c r="O327" t="inlineStr">
        <is>
          <t>eng</t>
        </is>
      </c>
      <c r="P327" t="inlineStr">
        <is>
          <t>___</t>
        </is>
      </c>
      <c r="R327" t="inlineStr">
        <is>
          <t xml:space="preserve">PE </t>
        </is>
      </c>
      <c r="S327" t="n">
        <v>4</v>
      </c>
      <c r="T327" t="n">
        <v>4</v>
      </c>
      <c r="U327" t="inlineStr">
        <is>
          <t>1996-08-12</t>
        </is>
      </c>
      <c r="V327" t="inlineStr">
        <is>
          <t>1996-08-12</t>
        </is>
      </c>
      <c r="W327" t="inlineStr">
        <is>
          <t>1990-03-13</t>
        </is>
      </c>
      <c r="X327" t="inlineStr">
        <is>
          <t>1990-03-13</t>
        </is>
      </c>
      <c r="Y327" t="n">
        <v>113</v>
      </c>
      <c r="Z327" t="n">
        <v>84</v>
      </c>
      <c r="AA327" t="n">
        <v>718</v>
      </c>
      <c r="AB327" t="n">
        <v>1</v>
      </c>
      <c r="AC327" t="n">
        <v>9</v>
      </c>
      <c r="AD327" t="n">
        <v>4</v>
      </c>
      <c r="AE327" t="n">
        <v>22</v>
      </c>
      <c r="AF327" t="n">
        <v>1</v>
      </c>
      <c r="AG327" t="n">
        <v>8</v>
      </c>
      <c r="AH327" t="n">
        <v>1</v>
      </c>
      <c r="AI327" t="n">
        <v>3</v>
      </c>
      <c r="AJ327" t="n">
        <v>2</v>
      </c>
      <c r="AK327" t="n">
        <v>9</v>
      </c>
      <c r="AL327" t="n">
        <v>0</v>
      </c>
      <c r="AM327" t="n">
        <v>3</v>
      </c>
      <c r="AN327" t="n">
        <v>0</v>
      </c>
      <c r="AO327" t="n">
        <v>1</v>
      </c>
      <c r="AP327" t="inlineStr">
        <is>
          <t>No</t>
        </is>
      </c>
      <c r="AQ327" t="inlineStr">
        <is>
          <t>No</t>
        </is>
      </c>
      <c r="AS327">
        <f>HYPERLINK("https://creighton-primo.hosted.exlibrisgroup.com/primo-explore/search?tab=default_tab&amp;search_scope=EVERYTHING&amp;vid=01CRU&amp;lang=en_US&amp;offset=0&amp;query=any,contains,991003630059702656","Catalog Record")</f>
        <v/>
      </c>
      <c r="AT327">
        <f>HYPERLINK("http://www.worldcat.org/oclc/1221413","WorldCat Record")</f>
        <v/>
      </c>
      <c r="AU327" t="inlineStr">
        <is>
          <t>1244394:eng</t>
        </is>
      </c>
      <c r="AV327" t="inlineStr">
        <is>
          <t>1221413</t>
        </is>
      </c>
      <c r="AW327" t="inlineStr">
        <is>
          <t>991003630059702656</t>
        </is>
      </c>
      <c r="AX327" t="inlineStr">
        <is>
          <t>991003630059702656</t>
        </is>
      </c>
      <c r="AY327" t="inlineStr">
        <is>
          <t>2260602850002656</t>
        </is>
      </c>
      <c r="AZ327" t="inlineStr">
        <is>
          <t>BOOK</t>
        </is>
      </c>
      <c r="BC327" t="inlineStr">
        <is>
          <t>32285000083484</t>
        </is>
      </c>
      <c r="BD327" t="inlineStr">
        <is>
          <t>893318195</t>
        </is>
      </c>
    </row>
    <row r="328">
      <c r="A328" t="inlineStr">
        <is>
          <t>No</t>
        </is>
      </c>
      <c r="B328" t="inlineStr">
        <is>
          <t>PE1408 .W586 1997</t>
        </is>
      </c>
      <c r="C328" t="inlineStr">
        <is>
          <t>0                      PE 1408000W  586         1997</t>
        </is>
      </c>
      <c r="D328" t="inlineStr">
        <is>
          <t>A brief guide to writing from readings / Stephen W. Wilhoit.</t>
        </is>
      </c>
      <c r="F328" t="inlineStr">
        <is>
          <t>No</t>
        </is>
      </c>
      <c r="G328" t="inlineStr">
        <is>
          <t>1</t>
        </is>
      </c>
      <c r="H328" t="inlineStr">
        <is>
          <t>No</t>
        </is>
      </c>
      <c r="I328" t="inlineStr">
        <is>
          <t>No</t>
        </is>
      </c>
      <c r="J328" t="inlineStr">
        <is>
          <t>0</t>
        </is>
      </c>
      <c r="K328" t="inlineStr">
        <is>
          <t>Wilhoit, Stephen.</t>
        </is>
      </c>
      <c r="L328" t="inlineStr">
        <is>
          <t>Boston : Allyn &amp; Bacon, c1997.</t>
        </is>
      </c>
      <c r="M328" t="inlineStr">
        <is>
          <t>1997</t>
        </is>
      </c>
      <c r="O328" t="inlineStr">
        <is>
          <t>eng</t>
        </is>
      </c>
      <c r="P328" t="inlineStr">
        <is>
          <t>mau</t>
        </is>
      </c>
      <c r="R328" t="inlineStr">
        <is>
          <t xml:space="preserve">PE </t>
        </is>
      </c>
      <c r="S328" t="n">
        <v>5</v>
      </c>
      <c r="T328" t="n">
        <v>5</v>
      </c>
      <c r="U328" t="inlineStr">
        <is>
          <t>1998-10-26</t>
        </is>
      </c>
      <c r="V328" t="inlineStr">
        <is>
          <t>1998-10-26</t>
        </is>
      </c>
      <c r="W328" t="inlineStr">
        <is>
          <t>1997-10-14</t>
        </is>
      </c>
      <c r="X328" t="inlineStr">
        <is>
          <t>1997-10-14</t>
        </is>
      </c>
      <c r="Y328" t="n">
        <v>47</v>
      </c>
      <c r="Z328" t="n">
        <v>33</v>
      </c>
      <c r="AA328" t="n">
        <v>138</v>
      </c>
      <c r="AB328" t="n">
        <v>1</v>
      </c>
      <c r="AC328" t="n">
        <v>1</v>
      </c>
      <c r="AD328" t="n">
        <v>0</v>
      </c>
      <c r="AE328" t="n">
        <v>3</v>
      </c>
      <c r="AF328" t="n">
        <v>0</v>
      </c>
      <c r="AG328" t="n">
        <v>2</v>
      </c>
      <c r="AH328" t="n">
        <v>0</v>
      </c>
      <c r="AI328" t="n">
        <v>1</v>
      </c>
      <c r="AJ328" t="n">
        <v>0</v>
      </c>
      <c r="AK328" t="n">
        <v>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HYPERLINK("https://creighton-primo.hosted.exlibrisgroup.com/primo-explore/search?tab=default_tab&amp;search_scope=EVERYTHING&amp;vid=01CRU&amp;lang=en_US&amp;offset=0&amp;query=any,contains,991002641859702656","Catalog Record")</f>
        <v/>
      </c>
      <c r="AT328">
        <f>HYPERLINK("http://www.worldcat.org/oclc/34583839","WorldCat Record")</f>
        <v/>
      </c>
      <c r="AU328" t="inlineStr">
        <is>
          <t>679234:eng</t>
        </is>
      </c>
      <c r="AV328" t="inlineStr">
        <is>
          <t>34583839</t>
        </is>
      </c>
      <c r="AW328" t="inlineStr">
        <is>
          <t>991002641859702656</t>
        </is>
      </c>
      <c r="AX328" t="inlineStr">
        <is>
          <t>991002641859702656</t>
        </is>
      </c>
      <c r="AY328" t="inlineStr">
        <is>
          <t>2265174790002656</t>
        </is>
      </c>
      <c r="AZ328" t="inlineStr">
        <is>
          <t>BOOK</t>
        </is>
      </c>
      <c r="BB328" t="inlineStr">
        <is>
          <t>9780205188604</t>
        </is>
      </c>
      <c r="BC328" t="inlineStr">
        <is>
          <t>32285003253811</t>
        </is>
      </c>
      <c r="BD328" t="inlineStr">
        <is>
          <t>893792705</t>
        </is>
      </c>
    </row>
    <row r="329">
      <c r="A329" t="inlineStr">
        <is>
          <t>No</t>
        </is>
      </c>
      <c r="B329" t="inlineStr">
        <is>
          <t>PE1408 .W674</t>
        </is>
      </c>
      <c r="C329" t="inlineStr">
        <is>
          <t>0                      PE 1408000W  674</t>
        </is>
      </c>
      <c r="D329" t="inlineStr">
        <is>
          <t>The Odyssey handbook and guide to writing [by] George B. Woods and W. Arthur Turner.</t>
        </is>
      </c>
      <c r="F329" t="inlineStr">
        <is>
          <t>No</t>
        </is>
      </c>
      <c r="G329" t="inlineStr">
        <is>
          <t>1</t>
        </is>
      </c>
      <c r="H329" t="inlineStr">
        <is>
          <t>No</t>
        </is>
      </c>
      <c r="I329" t="inlineStr">
        <is>
          <t>No</t>
        </is>
      </c>
      <c r="J329" t="inlineStr">
        <is>
          <t>0</t>
        </is>
      </c>
      <c r="K329" t="inlineStr">
        <is>
          <t>Woods, George Benjamin, 1878-1958.</t>
        </is>
      </c>
      <c r="L329" t="inlineStr">
        <is>
          <t>New York, Odyssey Press [1954]</t>
        </is>
      </c>
      <c r="M329" t="inlineStr">
        <is>
          <t>1954</t>
        </is>
      </c>
      <c r="N329" t="inlineStr">
        <is>
          <t>[1st ed.]</t>
        </is>
      </c>
      <c r="O329" t="inlineStr">
        <is>
          <t>eng</t>
        </is>
      </c>
      <c r="P329" t="inlineStr">
        <is>
          <t xml:space="preserve">xx </t>
        </is>
      </c>
      <c r="R329" t="inlineStr">
        <is>
          <t xml:space="preserve">PE </t>
        </is>
      </c>
      <c r="S329" t="n">
        <v>7</v>
      </c>
      <c r="T329" t="n">
        <v>7</v>
      </c>
      <c r="U329" t="inlineStr">
        <is>
          <t>1998-10-28</t>
        </is>
      </c>
      <c r="V329" t="inlineStr">
        <is>
          <t>1998-10-28</t>
        </is>
      </c>
      <c r="W329" t="inlineStr">
        <is>
          <t>1997-09-24</t>
        </is>
      </c>
      <c r="X329" t="inlineStr">
        <is>
          <t>1997-09-24</t>
        </is>
      </c>
      <c r="Y329" t="n">
        <v>107</v>
      </c>
      <c r="Z329" t="n">
        <v>101</v>
      </c>
      <c r="AA329" t="n">
        <v>103</v>
      </c>
      <c r="AB329" t="n">
        <v>1</v>
      </c>
      <c r="AC329" t="n">
        <v>1</v>
      </c>
      <c r="AD329" t="n">
        <v>5</v>
      </c>
      <c r="AE329" t="n">
        <v>5</v>
      </c>
      <c r="AF329" t="n">
        <v>2</v>
      </c>
      <c r="AG329" t="n">
        <v>2</v>
      </c>
      <c r="AH329" t="n">
        <v>1</v>
      </c>
      <c r="AI329" t="n">
        <v>1</v>
      </c>
      <c r="AJ329" t="n">
        <v>2</v>
      </c>
      <c r="AK329" t="n">
        <v>2</v>
      </c>
      <c r="AL329" t="n">
        <v>0</v>
      </c>
      <c r="AM329" t="n">
        <v>0</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HYPERLINK("https://creighton-primo.hosted.exlibrisgroup.com/primo-explore/search?tab=default_tab&amp;search_scope=EVERYTHING&amp;vid=01CRU&amp;lang=en_US&amp;offset=0&amp;query=any,contains,991004004039702656","Catalog Record")</f>
        <v/>
      </c>
      <c r="AT329">
        <f>HYPERLINK("http://www.worldcat.org/oclc/2079686","WorldCat Record")</f>
        <v/>
      </c>
      <c r="AU329" t="inlineStr">
        <is>
          <t>4112993:eng</t>
        </is>
      </c>
      <c r="AV329" t="inlineStr">
        <is>
          <t>2079686</t>
        </is>
      </c>
      <c r="AW329" t="inlineStr">
        <is>
          <t>991004004039702656</t>
        </is>
      </c>
      <c r="AX329" t="inlineStr">
        <is>
          <t>991004004039702656</t>
        </is>
      </c>
      <c r="AY329" t="inlineStr">
        <is>
          <t>2260342040002656</t>
        </is>
      </c>
      <c r="AZ329" t="inlineStr">
        <is>
          <t>BOOK</t>
        </is>
      </c>
      <c r="BC329" t="inlineStr">
        <is>
          <t>32285003246856</t>
        </is>
      </c>
      <c r="BD329" t="inlineStr">
        <is>
          <t>893417109</t>
        </is>
      </c>
    </row>
    <row r="330">
      <c r="A330" t="inlineStr">
        <is>
          <t>No</t>
        </is>
      </c>
      <c r="B330" t="inlineStr">
        <is>
          <t>PE1408 .Z4</t>
        </is>
      </c>
      <c r="C330" t="inlineStr">
        <is>
          <t>0                      PE 1408000Z  4</t>
        </is>
      </c>
      <c r="D330" t="inlineStr">
        <is>
          <t>Advanced writing, by Robert L. Zetler and W. George Crouch.</t>
        </is>
      </c>
      <c r="F330" t="inlineStr">
        <is>
          <t>No</t>
        </is>
      </c>
      <c r="G330" t="inlineStr">
        <is>
          <t>1</t>
        </is>
      </c>
      <c r="H330" t="inlineStr">
        <is>
          <t>No</t>
        </is>
      </c>
      <c r="I330" t="inlineStr">
        <is>
          <t>No</t>
        </is>
      </c>
      <c r="J330" t="inlineStr">
        <is>
          <t>0</t>
        </is>
      </c>
      <c r="K330" t="inlineStr">
        <is>
          <t>Zetler, Robert L.</t>
        </is>
      </c>
      <c r="L330" t="inlineStr">
        <is>
          <t>New York, Ronald Press Co. [c1951]</t>
        </is>
      </c>
      <c r="M330" t="inlineStr">
        <is>
          <t>1951</t>
        </is>
      </c>
      <c r="O330" t="inlineStr">
        <is>
          <t>eng</t>
        </is>
      </c>
      <c r="P330" t="inlineStr">
        <is>
          <t>nyu</t>
        </is>
      </c>
      <c r="R330" t="inlineStr">
        <is>
          <t xml:space="preserve">PE </t>
        </is>
      </c>
      <c r="S330" t="n">
        <v>2</v>
      </c>
      <c r="T330" t="n">
        <v>2</v>
      </c>
      <c r="U330" t="inlineStr">
        <is>
          <t>1999-05-13</t>
        </is>
      </c>
      <c r="V330" t="inlineStr">
        <is>
          <t>1999-05-13</t>
        </is>
      </c>
      <c r="W330" t="inlineStr">
        <is>
          <t>1997-09-24</t>
        </is>
      </c>
      <c r="X330" t="inlineStr">
        <is>
          <t>1997-09-24</t>
        </is>
      </c>
      <c r="Y330" t="n">
        <v>77</v>
      </c>
      <c r="Z330" t="n">
        <v>74</v>
      </c>
      <c r="AA330" t="n">
        <v>81</v>
      </c>
      <c r="AB330" t="n">
        <v>2</v>
      </c>
      <c r="AC330" t="n">
        <v>2</v>
      </c>
      <c r="AD330" t="n">
        <v>2</v>
      </c>
      <c r="AE330" t="n">
        <v>2</v>
      </c>
      <c r="AF330" t="n">
        <v>1</v>
      </c>
      <c r="AG330" t="n">
        <v>1</v>
      </c>
      <c r="AH330" t="n">
        <v>0</v>
      </c>
      <c r="AI330" t="n">
        <v>0</v>
      </c>
      <c r="AJ330" t="n">
        <v>0</v>
      </c>
      <c r="AK330" t="n">
        <v>0</v>
      </c>
      <c r="AL330" t="n">
        <v>1</v>
      </c>
      <c r="AM330" t="n">
        <v>1</v>
      </c>
      <c r="AN330" t="n">
        <v>0</v>
      </c>
      <c r="AO330" t="n">
        <v>0</v>
      </c>
      <c r="AP330" t="inlineStr">
        <is>
          <t>Yes</t>
        </is>
      </c>
      <c r="AQ330" t="inlineStr">
        <is>
          <t>No</t>
        </is>
      </c>
      <c r="AR330">
        <f>HYPERLINK("http://catalog.hathitrust.org/Record/001183129","HathiTrust Record")</f>
        <v/>
      </c>
      <c r="AS330">
        <f>HYPERLINK("https://creighton-primo.hosted.exlibrisgroup.com/primo-explore/search?tab=default_tab&amp;search_scope=EVERYTHING&amp;vid=01CRU&amp;lang=en_US&amp;offset=0&amp;query=any,contains,991003926899702656","Catalog Record")</f>
        <v/>
      </c>
      <c r="AT330">
        <f>HYPERLINK("http://www.worldcat.org/oclc/1885247","WorldCat Record")</f>
        <v/>
      </c>
      <c r="AU330" t="inlineStr">
        <is>
          <t>3135393:eng</t>
        </is>
      </c>
      <c r="AV330" t="inlineStr">
        <is>
          <t>1885247</t>
        </is>
      </c>
      <c r="AW330" t="inlineStr">
        <is>
          <t>991003926899702656</t>
        </is>
      </c>
      <c r="AX330" t="inlineStr">
        <is>
          <t>991003926899702656</t>
        </is>
      </c>
      <c r="AY330" t="inlineStr">
        <is>
          <t>2257042380002656</t>
        </is>
      </c>
      <c r="AZ330" t="inlineStr">
        <is>
          <t>BOOK</t>
        </is>
      </c>
      <c r="BC330" t="inlineStr">
        <is>
          <t>32285003246914</t>
        </is>
      </c>
      <c r="BD330" t="inlineStr">
        <is>
          <t>893611695</t>
        </is>
      </c>
    </row>
    <row r="331">
      <c r="A331" t="inlineStr">
        <is>
          <t>No</t>
        </is>
      </c>
      <c r="B331" t="inlineStr">
        <is>
          <t>PE1411 .G4</t>
        </is>
      </c>
      <c r="C331" t="inlineStr">
        <is>
          <t>0                      PE 1411000G  4</t>
        </is>
      </c>
      <c r="D331" t="inlineStr">
        <is>
          <t>Outlines of rhetoric. Embodied in rules, illustrative examples, and progressive course of prose composition. By John F. Genung.</t>
        </is>
      </c>
      <c r="F331" t="inlineStr">
        <is>
          <t>No</t>
        </is>
      </c>
      <c r="G331" t="inlineStr">
        <is>
          <t>1</t>
        </is>
      </c>
      <c r="H331" t="inlineStr">
        <is>
          <t>No</t>
        </is>
      </c>
      <c r="I331" t="inlineStr">
        <is>
          <t>No</t>
        </is>
      </c>
      <c r="J331" t="inlineStr">
        <is>
          <t>0</t>
        </is>
      </c>
      <c r="K331" t="inlineStr">
        <is>
          <t>Genung, John Franklin, 1850-1919.</t>
        </is>
      </c>
      <c r="L331" t="inlineStr">
        <is>
          <t>Boston, Ginn &amp; Co., 1893.</t>
        </is>
      </c>
      <c r="M331" t="inlineStr">
        <is>
          <t>1893</t>
        </is>
      </c>
      <c r="O331" t="inlineStr">
        <is>
          <t>eng</t>
        </is>
      </c>
      <c r="P331" t="inlineStr">
        <is>
          <t>mau</t>
        </is>
      </c>
      <c r="R331" t="inlineStr">
        <is>
          <t xml:space="preserve">PE </t>
        </is>
      </c>
      <c r="S331" t="n">
        <v>3</v>
      </c>
      <c r="T331" t="n">
        <v>3</v>
      </c>
      <c r="U331" t="inlineStr">
        <is>
          <t>1998-12-10</t>
        </is>
      </c>
      <c r="V331" t="inlineStr">
        <is>
          <t>1998-12-10</t>
        </is>
      </c>
      <c r="W331" t="inlineStr">
        <is>
          <t>1997-09-26</t>
        </is>
      </c>
      <c r="X331" t="inlineStr">
        <is>
          <t>1997-09-26</t>
        </is>
      </c>
      <c r="Y331" t="n">
        <v>112</v>
      </c>
      <c r="Z331" t="n">
        <v>106</v>
      </c>
      <c r="AA331" t="n">
        <v>236</v>
      </c>
      <c r="AB331" t="n">
        <v>3</v>
      </c>
      <c r="AC331" t="n">
        <v>4</v>
      </c>
      <c r="AD331" t="n">
        <v>8</v>
      </c>
      <c r="AE331" t="n">
        <v>17</v>
      </c>
      <c r="AF331" t="n">
        <v>3</v>
      </c>
      <c r="AG331" t="n">
        <v>3</v>
      </c>
      <c r="AH331" t="n">
        <v>2</v>
      </c>
      <c r="AI331" t="n">
        <v>5</v>
      </c>
      <c r="AJ331" t="n">
        <v>2</v>
      </c>
      <c r="AK331" t="n">
        <v>9</v>
      </c>
      <c r="AL331" t="n">
        <v>2</v>
      </c>
      <c r="AM331" t="n">
        <v>3</v>
      </c>
      <c r="AN331" t="n">
        <v>0</v>
      </c>
      <c r="AO331" t="n">
        <v>0</v>
      </c>
      <c r="AP331" t="inlineStr">
        <is>
          <t>Yes</t>
        </is>
      </c>
      <c r="AQ331" t="inlineStr">
        <is>
          <t>No</t>
        </is>
      </c>
      <c r="AR331">
        <f>HYPERLINK("http://catalog.hathitrust.org/Record/001899463","HathiTrust Record")</f>
        <v/>
      </c>
      <c r="AS331">
        <f>HYPERLINK("https://creighton-primo.hosted.exlibrisgroup.com/primo-explore/search?tab=default_tab&amp;search_scope=EVERYTHING&amp;vid=01CRU&amp;lang=en_US&amp;offset=0&amp;query=any,contains,991004332319702656","Catalog Record")</f>
        <v/>
      </c>
      <c r="AT331">
        <f>HYPERLINK("http://www.worldcat.org/oclc/3064994","WorldCat Record")</f>
        <v/>
      </c>
      <c r="AU331" t="inlineStr">
        <is>
          <t>4650818:eng</t>
        </is>
      </c>
      <c r="AV331" t="inlineStr">
        <is>
          <t>3064994</t>
        </is>
      </c>
      <c r="AW331" t="inlineStr">
        <is>
          <t>991004332319702656</t>
        </is>
      </c>
      <c r="AX331" t="inlineStr">
        <is>
          <t>991004332319702656</t>
        </is>
      </c>
      <c r="AY331" t="inlineStr">
        <is>
          <t>2262851120002656</t>
        </is>
      </c>
      <c r="AZ331" t="inlineStr">
        <is>
          <t>BOOK</t>
        </is>
      </c>
      <c r="BC331" t="inlineStr">
        <is>
          <t>32285003246922</t>
        </is>
      </c>
      <c r="BD331" t="inlineStr">
        <is>
          <t>893693815</t>
        </is>
      </c>
    </row>
    <row r="332">
      <c r="A332" t="inlineStr">
        <is>
          <t>No</t>
        </is>
      </c>
      <c r="B332" t="inlineStr">
        <is>
          <t>PE1411 .P4 1965</t>
        </is>
      </c>
      <c r="C332" t="inlineStr">
        <is>
          <t>0                      PE 1411000P  4           1965</t>
        </is>
      </c>
      <c r="D332" t="inlineStr">
        <is>
          <t>Writer's guide and index to English / [by] Porter G. Perrin.</t>
        </is>
      </c>
      <c r="F332" t="inlineStr">
        <is>
          <t>No</t>
        </is>
      </c>
      <c r="G332" t="inlineStr">
        <is>
          <t>1</t>
        </is>
      </c>
      <c r="H332" t="inlineStr">
        <is>
          <t>No</t>
        </is>
      </c>
      <c r="I332" t="inlineStr">
        <is>
          <t>No</t>
        </is>
      </c>
      <c r="J332" t="inlineStr">
        <is>
          <t>0</t>
        </is>
      </c>
      <c r="K332" t="inlineStr">
        <is>
          <t>Perrin, Porter Gale, 1896-1962.</t>
        </is>
      </c>
      <c r="L332" t="inlineStr">
        <is>
          <t>Chicago : Scott, Foresman, [1965]</t>
        </is>
      </c>
      <c r="M332" t="inlineStr">
        <is>
          <t>1965</t>
        </is>
      </c>
      <c r="N332" t="inlineStr">
        <is>
          <t>4th ed. rev., by Karl W. Dykema [and] Wilma R. Ebbitt.</t>
        </is>
      </c>
      <c r="O332" t="inlineStr">
        <is>
          <t>eng</t>
        </is>
      </c>
      <c r="P332" t="inlineStr">
        <is>
          <t>ilu</t>
        </is>
      </c>
      <c r="R332" t="inlineStr">
        <is>
          <t xml:space="preserve">PE </t>
        </is>
      </c>
      <c r="S332" t="n">
        <v>2</v>
      </c>
      <c r="T332" t="n">
        <v>2</v>
      </c>
      <c r="U332" t="inlineStr">
        <is>
          <t>2007-11-29</t>
        </is>
      </c>
      <c r="V332" t="inlineStr">
        <is>
          <t>2007-11-29</t>
        </is>
      </c>
      <c r="W332" t="inlineStr">
        <is>
          <t>1993-04-23</t>
        </is>
      </c>
      <c r="X332" t="inlineStr">
        <is>
          <t>1993-04-23</t>
        </is>
      </c>
      <c r="Y332" t="n">
        <v>507</v>
      </c>
      <c r="Z332" t="n">
        <v>479</v>
      </c>
      <c r="AA332" t="n">
        <v>1149</v>
      </c>
      <c r="AB332" t="n">
        <v>6</v>
      </c>
      <c r="AC332" t="n">
        <v>13</v>
      </c>
      <c r="AD332" t="n">
        <v>19</v>
      </c>
      <c r="AE332" t="n">
        <v>44</v>
      </c>
      <c r="AF332" t="n">
        <v>4</v>
      </c>
      <c r="AG332" t="n">
        <v>12</v>
      </c>
      <c r="AH332" t="n">
        <v>6</v>
      </c>
      <c r="AI332" t="n">
        <v>11</v>
      </c>
      <c r="AJ332" t="n">
        <v>7</v>
      </c>
      <c r="AK332" t="n">
        <v>16</v>
      </c>
      <c r="AL332" t="n">
        <v>5</v>
      </c>
      <c r="AM332" t="n">
        <v>9</v>
      </c>
      <c r="AN332" t="n">
        <v>0</v>
      </c>
      <c r="AO332" t="n">
        <v>3</v>
      </c>
      <c r="AP332" t="inlineStr">
        <is>
          <t>No</t>
        </is>
      </c>
      <c r="AQ332" t="inlineStr">
        <is>
          <t>No</t>
        </is>
      </c>
      <c r="AS332">
        <f>HYPERLINK("https://creighton-primo.hosted.exlibrisgroup.com/primo-explore/search?tab=default_tab&amp;search_scope=EVERYTHING&amp;vid=01CRU&amp;lang=en_US&amp;offset=0&amp;query=any,contains,991003661289702656","Catalog Record")</f>
        <v/>
      </c>
      <c r="AT332">
        <f>HYPERLINK("http://www.worldcat.org/oclc/1270767","WorldCat Record")</f>
        <v/>
      </c>
      <c r="AU332" t="inlineStr">
        <is>
          <t>1875185:eng</t>
        </is>
      </c>
      <c r="AV332" t="inlineStr">
        <is>
          <t>1270767</t>
        </is>
      </c>
      <c r="AW332" t="inlineStr">
        <is>
          <t>991003661289702656</t>
        </is>
      </c>
      <c r="AX332" t="inlineStr">
        <is>
          <t>991003661289702656</t>
        </is>
      </c>
      <c r="AY332" t="inlineStr">
        <is>
          <t>2265604880002656</t>
        </is>
      </c>
      <c r="AZ332" t="inlineStr">
        <is>
          <t>BOOK</t>
        </is>
      </c>
      <c r="BC332" t="inlineStr">
        <is>
          <t>32285001647154</t>
        </is>
      </c>
      <c r="BD332" t="inlineStr">
        <is>
          <t>893416639</t>
        </is>
      </c>
    </row>
    <row r="333">
      <c r="A333" t="inlineStr">
        <is>
          <t>No</t>
        </is>
      </c>
      <c r="B333" t="inlineStr">
        <is>
          <t>PE1413 .D3 1980</t>
        </is>
      </c>
      <c r="C333" t="inlineStr">
        <is>
          <t>0                      PE 1413000D  3           1980</t>
        </is>
      </c>
      <c r="D333" t="inlineStr">
        <is>
          <t>The writer's workbook / Susan Day.</t>
        </is>
      </c>
      <c r="F333" t="inlineStr">
        <is>
          <t>No</t>
        </is>
      </c>
      <c r="G333" t="inlineStr">
        <is>
          <t>1</t>
        </is>
      </c>
      <c r="H333" t="inlineStr">
        <is>
          <t>No</t>
        </is>
      </c>
      <c r="I333" t="inlineStr">
        <is>
          <t>No</t>
        </is>
      </c>
      <c r="J333" t="inlineStr">
        <is>
          <t>0</t>
        </is>
      </c>
      <c r="K333" t="inlineStr">
        <is>
          <t>Day, Susan, 1950 October 12-</t>
        </is>
      </c>
      <c r="L333" t="inlineStr">
        <is>
          <t>New York : McGraw-Hill, c1980.</t>
        </is>
      </c>
      <c r="M333" t="inlineStr">
        <is>
          <t>1980</t>
        </is>
      </c>
      <c r="O333" t="inlineStr">
        <is>
          <t>eng</t>
        </is>
      </c>
      <c r="P333" t="inlineStr">
        <is>
          <t>nyu</t>
        </is>
      </c>
      <c r="R333" t="inlineStr">
        <is>
          <t xml:space="preserve">PE </t>
        </is>
      </c>
      <c r="S333" t="n">
        <v>1</v>
      </c>
      <c r="T333" t="n">
        <v>1</v>
      </c>
      <c r="U333" t="inlineStr">
        <is>
          <t>1999-03-29</t>
        </is>
      </c>
      <c r="V333" t="inlineStr">
        <is>
          <t>1999-03-29</t>
        </is>
      </c>
      <c r="W333" t="inlineStr">
        <is>
          <t>1993-09-24</t>
        </is>
      </c>
      <c r="X333" t="inlineStr">
        <is>
          <t>1993-09-24</t>
        </is>
      </c>
      <c r="Y333" t="n">
        <v>28</v>
      </c>
      <c r="Z333" t="n">
        <v>24</v>
      </c>
      <c r="AA333" t="n">
        <v>27</v>
      </c>
      <c r="AB333" t="n">
        <v>1</v>
      </c>
      <c r="AC333" t="n">
        <v>1</v>
      </c>
      <c r="AD333" t="n">
        <v>0</v>
      </c>
      <c r="AE333" t="n">
        <v>0</v>
      </c>
      <c r="AF333" t="n">
        <v>0</v>
      </c>
      <c r="AG333" t="n">
        <v>0</v>
      </c>
      <c r="AH333" t="n">
        <v>0</v>
      </c>
      <c r="AI333" t="n">
        <v>0</v>
      </c>
      <c r="AJ333" t="n">
        <v>0</v>
      </c>
      <c r="AK333" t="n">
        <v>0</v>
      </c>
      <c r="AL333" t="n">
        <v>0</v>
      </c>
      <c r="AM333" t="n">
        <v>0</v>
      </c>
      <c r="AN333" t="n">
        <v>0</v>
      </c>
      <c r="AO333" t="n">
        <v>0</v>
      </c>
      <c r="AP333" t="inlineStr">
        <is>
          <t>No</t>
        </is>
      </c>
      <c r="AQ333" t="inlineStr">
        <is>
          <t>Yes</t>
        </is>
      </c>
      <c r="AR333">
        <f>HYPERLINK("http://catalog.hathitrust.org/Record/007066381","HathiTrust Record")</f>
        <v/>
      </c>
      <c r="AS333">
        <f>HYPERLINK("https://creighton-primo.hosted.exlibrisgroup.com/primo-explore/search?tab=default_tab&amp;search_scope=EVERYTHING&amp;vid=01CRU&amp;lang=en_US&amp;offset=0&amp;query=any,contains,991005107549702656","Catalog Record")</f>
        <v/>
      </c>
      <c r="AT333">
        <f>HYPERLINK("http://www.worldcat.org/oclc/7358032","WorldCat Record")</f>
        <v/>
      </c>
      <c r="AU333" t="inlineStr">
        <is>
          <t>2991705:eng</t>
        </is>
      </c>
      <c r="AV333" t="inlineStr">
        <is>
          <t>7358032</t>
        </is>
      </c>
      <c r="AW333" t="inlineStr">
        <is>
          <t>991005107549702656</t>
        </is>
      </c>
      <c r="AX333" t="inlineStr">
        <is>
          <t>991005107549702656</t>
        </is>
      </c>
      <c r="AY333" t="inlineStr">
        <is>
          <t>2255026660002656</t>
        </is>
      </c>
      <c r="AZ333" t="inlineStr">
        <is>
          <t>BOOK</t>
        </is>
      </c>
      <c r="BC333" t="inlineStr">
        <is>
          <t>32285001758118</t>
        </is>
      </c>
      <c r="BD333" t="inlineStr">
        <is>
          <t>893719781</t>
        </is>
      </c>
    </row>
    <row r="334">
      <c r="A334" t="inlineStr">
        <is>
          <t>No</t>
        </is>
      </c>
      <c r="B334" t="inlineStr">
        <is>
          <t>PE1413 .H85 1990</t>
        </is>
      </c>
      <c r="C334" t="inlineStr">
        <is>
          <t>0                      PE 1413000H  85          1990</t>
        </is>
      </c>
      <c r="D334" t="inlineStr">
        <is>
          <t>Basic composition for ESL : an expository workbook / Jann Huizenga, Courtenay Meade Snellings, Gladys Berro Francis.</t>
        </is>
      </c>
      <c r="F334" t="inlineStr">
        <is>
          <t>No</t>
        </is>
      </c>
      <c r="G334" t="inlineStr">
        <is>
          <t>1</t>
        </is>
      </c>
      <c r="H334" t="inlineStr">
        <is>
          <t>No</t>
        </is>
      </c>
      <c r="I334" t="inlineStr">
        <is>
          <t>No</t>
        </is>
      </c>
      <c r="J334" t="inlineStr">
        <is>
          <t>0</t>
        </is>
      </c>
      <c r="K334" t="inlineStr">
        <is>
          <t>Huizenga, Jann.</t>
        </is>
      </c>
      <c r="L334" t="inlineStr">
        <is>
          <t>Boston, MA : Heinle &amp; Heinle, c1990.</t>
        </is>
      </c>
      <c r="M334" t="inlineStr">
        <is>
          <t>1990</t>
        </is>
      </c>
      <c r="N334" t="inlineStr">
        <is>
          <t>3rd ed.</t>
        </is>
      </c>
      <c r="O334" t="inlineStr">
        <is>
          <t>eng</t>
        </is>
      </c>
      <c r="P334" t="inlineStr">
        <is>
          <t>mau</t>
        </is>
      </c>
      <c r="R334" t="inlineStr">
        <is>
          <t xml:space="preserve">PE </t>
        </is>
      </c>
      <c r="S334" t="n">
        <v>1</v>
      </c>
      <c r="T334" t="n">
        <v>1</v>
      </c>
      <c r="U334" t="inlineStr">
        <is>
          <t>2009-03-02</t>
        </is>
      </c>
      <c r="V334" t="inlineStr">
        <is>
          <t>2009-03-02</t>
        </is>
      </c>
      <c r="W334" t="inlineStr">
        <is>
          <t>2009-03-02</t>
        </is>
      </c>
      <c r="X334" t="inlineStr">
        <is>
          <t>2009-03-02</t>
        </is>
      </c>
      <c r="Y334" t="n">
        <v>86</v>
      </c>
      <c r="Z334" t="n">
        <v>71</v>
      </c>
      <c r="AA334" t="n">
        <v>159</v>
      </c>
      <c r="AB334" t="n">
        <v>2</v>
      </c>
      <c r="AC334" t="n">
        <v>3</v>
      </c>
      <c r="AD334" t="n">
        <v>3</v>
      </c>
      <c r="AE334" t="n">
        <v>5</v>
      </c>
      <c r="AF334" t="n">
        <v>1</v>
      </c>
      <c r="AG334" t="n">
        <v>1</v>
      </c>
      <c r="AH334" t="n">
        <v>0</v>
      </c>
      <c r="AI334" t="n">
        <v>1</v>
      </c>
      <c r="AJ334" t="n">
        <v>1</v>
      </c>
      <c r="AK334" t="n">
        <v>2</v>
      </c>
      <c r="AL334" t="n">
        <v>1</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HYPERLINK("https://creighton-primo.hosted.exlibrisgroup.com/primo-explore/search?tab=default_tab&amp;search_scope=EVERYTHING&amp;vid=01CRU&amp;lang=en_US&amp;offset=0&amp;query=any,contains,991005300109702656","Catalog Record")</f>
        <v/>
      </c>
      <c r="AT334">
        <f>HYPERLINK("http://www.worldcat.org/oclc/32025105","WorldCat Record")</f>
        <v/>
      </c>
      <c r="AU334" t="inlineStr">
        <is>
          <t>5387335:eng</t>
        </is>
      </c>
      <c r="AV334" t="inlineStr">
        <is>
          <t>32025105</t>
        </is>
      </c>
      <c r="AW334" t="inlineStr">
        <is>
          <t>991005300109702656</t>
        </is>
      </c>
      <c r="AX334" t="inlineStr">
        <is>
          <t>991005300109702656</t>
        </is>
      </c>
      <c r="AY334" t="inlineStr">
        <is>
          <t>2260507450002656</t>
        </is>
      </c>
      <c r="AZ334" t="inlineStr">
        <is>
          <t>BOOK</t>
        </is>
      </c>
      <c r="BB334" t="inlineStr">
        <is>
          <t>9780838430040</t>
        </is>
      </c>
      <c r="BC334" t="inlineStr">
        <is>
          <t>32285005506729</t>
        </is>
      </c>
      <c r="BD334" t="inlineStr">
        <is>
          <t>893870859</t>
        </is>
      </c>
    </row>
    <row r="335">
      <c r="A335" t="inlineStr">
        <is>
          <t>No</t>
        </is>
      </c>
      <c r="B335" t="inlineStr">
        <is>
          <t>PE1417 .A7 1962</t>
        </is>
      </c>
      <c r="C335" t="inlineStr">
        <is>
          <t>0                      PE 1417000A  7           1962</t>
        </is>
      </c>
      <c r="D335" t="inlineStr">
        <is>
          <t>A reader for writers : a critical anthology of prose readings / [by] Jerome W. Archer and Joseph Schwartz.</t>
        </is>
      </c>
      <c r="F335" t="inlineStr">
        <is>
          <t>No</t>
        </is>
      </c>
      <c r="G335" t="inlineStr">
        <is>
          <t>1</t>
        </is>
      </c>
      <c r="H335" t="inlineStr">
        <is>
          <t>No</t>
        </is>
      </c>
      <c r="I335" t="inlineStr">
        <is>
          <t>No</t>
        </is>
      </c>
      <c r="J335" t="inlineStr">
        <is>
          <t>0</t>
        </is>
      </c>
      <c r="K335" t="inlineStr">
        <is>
          <t>Archer, Jerome Walter, 1907-, editor.</t>
        </is>
      </c>
      <c r="L335" t="inlineStr">
        <is>
          <t>New York : McGraw-Hill, 1962.</t>
        </is>
      </c>
      <c r="M335" t="inlineStr">
        <is>
          <t>1962</t>
        </is>
      </c>
      <c r="O335" t="inlineStr">
        <is>
          <t>eng</t>
        </is>
      </c>
      <c r="P335" t="inlineStr">
        <is>
          <t>nyu</t>
        </is>
      </c>
      <c r="R335" t="inlineStr">
        <is>
          <t xml:space="preserve">PE </t>
        </is>
      </c>
      <c r="S335" t="n">
        <v>1</v>
      </c>
      <c r="T335" t="n">
        <v>1</v>
      </c>
      <c r="U335" t="inlineStr">
        <is>
          <t>2006-10-30</t>
        </is>
      </c>
      <c r="V335" t="inlineStr">
        <is>
          <t>2006-10-30</t>
        </is>
      </c>
      <c r="W335" t="inlineStr">
        <is>
          <t>2006-10-30</t>
        </is>
      </c>
      <c r="X335" t="inlineStr">
        <is>
          <t>2006-10-30</t>
        </is>
      </c>
      <c r="Y335" t="n">
        <v>173</v>
      </c>
      <c r="Z335" t="n">
        <v>161</v>
      </c>
      <c r="AA335" t="n">
        <v>360</v>
      </c>
      <c r="AB335" t="n">
        <v>4</v>
      </c>
      <c r="AC335" t="n">
        <v>5</v>
      </c>
      <c r="AD335" t="n">
        <v>9</v>
      </c>
      <c r="AE335" t="n">
        <v>15</v>
      </c>
      <c r="AF335" t="n">
        <v>2</v>
      </c>
      <c r="AG335" t="n">
        <v>6</v>
      </c>
      <c r="AH335" t="n">
        <v>1</v>
      </c>
      <c r="AI335" t="n">
        <v>2</v>
      </c>
      <c r="AJ335" t="n">
        <v>5</v>
      </c>
      <c r="AK335" t="n">
        <v>6</v>
      </c>
      <c r="AL335" t="n">
        <v>3</v>
      </c>
      <c r="AM335" t="n">
        <v>4</v>
      </c>
      <c r="AN335" t="n">
        <v>0</v>
      </c>
      <c r="AO335" t="n">
        <v>0</v>
      </c>
      <c r="AP335" t="inlineStr">
        <is>
          <t>No</t>
        </is>
      </c>
      <c r="AQ335" t="inlineStr">
        <is>
          <t>Yes</t>
        </is>
      </c>
      <c r="AR335">
        <f>HYPERLINK("http://catalog.hathitrust.org/Record/101860177","HathiTrust Record")</f>
        <v/>
      </c>
      <c r="AS335">
        <f>HYPERLINK("https://creighton-primo.hosted.exlibrisgroup.com/primo-explore/search?tab=default_tab&amp;search_scope=EVERYTHING&amp;vid=01CRU&amp;lang=en_US&amp;offset=0&amp;query=any,contains,991004961029702656","Catalog Record")</f>
        <v/>
      </c>
      <c r="AT335">
        <f>HYPERLINK("http://www.worldcat.org/oclc/2601262","WorldCat Record")</f>
        <v/>
      </c>
      <c r="AU335" t="inlineStr">
        <is>
          <t>902300270:eng</t>
        </is>
      </c>
      <c r="AV335" t="inlineStr">
        <is>
          <t>2601262</t>
        </is>
      </c>
      <c r="AW335" t="inlineStr">
        <is>
          <t>991004961029702656</t>
        </is>
      </c>
      <c r="AX335" t="inlineStr">
        <is>
          <t>991004961029702656</t>
        </is>
      </c>
      <c r="AY335" t="inlineStr">
        <is>
          <t>2272323300002656</t>
        </is>
      </c>
      <c r="AZ335" t="inlineStr">
        <is>
          <t>BOOK</t>
        </is>
      </c>
      <c r="BC335" t="inlineStr">
        <is>
          <t>32285005229934</t>
        </is>
      </c>
      <c r="BD335" t="inlineStr">
        <is>
          <t>893254271</t>
        </is>
      </c>
    </row>
    <row r="336">
      <c r="A336" t="inlineStr">
        <is>
          <t>No</t>
        </is>
      </c>
      <c r="B336" t="inlineStr">
        <is>
          <t>PE1417 .B373 1990</t>
        </is>
      </c>
      <c r="C336" t="inlineStr">
        <is>
          <t>0                      PE 1417000B  373         1990</t>
        </is>
      </c>
      <c r="D336" t="inlineStr">
        <is>
          <t>Ways of reading : an anthology for writers / David Bartholomae, Anthony Petrosky.</t>
        </is>
      </c>
      <c r="F336" t="inlineStr">
        <is>
          <t>No</t>
        </is>
      </c>
      <c r="G336" t="inlineStr">
        <is>
          <t>1</t>
        </is>
      </c>
      <c r="H336" t="inlineStr">
        <is>
          <t>No</t>
        </is>
      </c>
      <c r="I336" t="inlineStr">
        <is>
          <t>No</t>
        </is>
      </c>
      <c r="J336" t="inlineStr">
        <is>
          <t>0</t>
        </is>
      </c>
      <c r="K336" t="inlineStr">
        <is>
          <t>Bartholomae, David.</t>
        </is>
      </c>
      <c r="L336" t="inlineStr">
        <is>
          <t>Boston : Bedford Books of St. Martin's Press, c1990.</t>
        </is>
      </c>
      <c r="M336" t="inlineStr">
        <is>
          <t>1990</t>
        </is>
      </c>
      <c r="N336" t="inlineStr">
        <is>
          <t>2nd ed.</t>
        </is>
      </c>
      <c r="O336" t="inlineStr">
        <is>
          <t>eng</t>
        </is>
      </c>
      <c r="P336" t="inlineStr">
        <is>
          <t>mau</t>
        </is>
      </c>
      <c r="R336" t="inlineStr">
        <is>
          <t xml:space="preserve">PE </t>
        </is>
      </c>
      <c r="S336" t="n">
        <v>9</v>
      </c>
      <c r="T336" t="n">
        <v>9</v>
      </c>
      <c r="U336" t="inlineStr">
        <is>
          <t>2007-11-21</t>
        </is>
      </c>
      <c r="V336" t="inlineStr">
        <is>
          <t>2007-11-21</t>
        </is>
      </c>
      <c r="W336" t="inlineStr">
        <is>
          <t>1996-09-04</t>
        </is>
      </c>
      <c r="X336" t="inlineStr">
        <is>
          <t>1996-09-04</t>
        </is>
      </c>
      <c r="Y336" t="n">
        <v>77</v>
      </c>
      <c r="Z336" t="n">
        <v>67</v>
      </c>
      <c r="AA336" t="n">
        <v>511</v>
      </c>
      <c r="AB336" t="n">
        <v>1</v>
      </c>
      <c r="AC336" t="n">
        <v>3</v>
      </c>
      <c r="AD336" t="n">
        <v>0</v>
      </c>
      <c r="AE336" t="n">
        <v>19</v>
      </c>
      <c r="AF336" t="n">
        <v>0</v>
      </c>
      <c r="AG336" t="n">
        <v>6</v>
      </c>
      <c r="AH336" t="n">
        <v>0</v>
      </c>
      <c r="AI336" t="n">
        <v>6</v>
      </c>
      <c r="AJ336" t="n">
        <v>0</v>
      </c>
      <c r="AK336" t="n">
        <v>6</v>
      </c>
      <c r="AL336" t="n">
        <v>0</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HYPERLINK("https://creighton-primo.hosted.exlibrisgroup.com/primo-explore/search?tab=default_tab&amp;search_scope=EVERYTHING&amp;vid=01CRU&amp;lang=en_US&amp;offset=0&amp;query=any,contains,991001671299702656","Catalog Record")</f>
        <v/>
      </c>
      <c r="AT336">
        <f>HYPERLINK("http://www.worldcat.org/oclc/21294322","WorldCat Record")</f>
        <v/>
      </c>
      <c r="AU336" t="inlineStr">
        <is>
          <t>240948:eng</t>
        </is>
      </c>
      <c r="AV336" t="inlineStr">
        <is>
          <t>21294322</t>
        </is>
      </c>
      <c r="AW336" t="inlineStr">
        <is>
          <t>991001671299702656</t>
        </is>
      </c>
      <c r="AX336" t="inlineStr">
        <is>
          <t>991001671299702656</t>
        </is>
      </c>
      <c r="AY336" t="inlineStr">
        <is>
          <t>2265275850002656</t>
        </is>
      </c>
      <c r="AZ336" t="inlineStr">
        <is>
          <t>BOOK</t>
        </is>
      </c>
      <c r="BB336" t="inlineStr">
        <is>
          <t>9780312030773</t>
        </is>
      </c>
      <c r="BC336" t="inlineStr">
        <is>
          <t>32285002294337</t>
        </is>
      </c>
      <c r="BD336" t="inlineStr">
        <is>
          <t>893590532</t>
        </is>
      </c>
    </row>
    <row r="337">
      <c r="A337" t="inlineStr">
        <is>
          <t>No</t>
        </is>
      </c>
      <c r="B337" t="inlineStr">
        <is>
          <t>PE1417 .B397 2000</t>
        </is>
      </c>
      <c r="C337" t="inlineStr">
        <is>
          <t>0                      PE 1417000B  397         2000</t>
        </is>
      </c>
      <c r="D337" t="inlineStr">
        <is>
          <t>Narrative design : working with imagination, craft, and form / Madison Smartt Bell.</t>
        </is>
      </c>
      <c r="F337" t="inlineStr">
        <is>
          <t>No</t>
        </is>
      </c>
      <c r="G337" t="inlineStr">
        <is>
          <t>1</t>
        </is>
      </c>
      <c r="H337" t="inlineStr">
        <is>
          <t>No</t>
        </is>
      </c>
      <c r="I337" t="inlineStr">
        <is>
          <t>No</t>
        </is>
      </c>
      <c r="J337" t="inlineStr">
        <is>
          <t>0</t>
        </is>
      </c>
      <c r="K337" t="inlineStr">
        <is>
          <t>Bell, Madison Smartt.</t>
        </is>
      </c>
      <c r="L337" t="inlineStr">
        <is>
          <t>New York : W.W. Norton, 2000, c1997.</t>
        </is>
      </c>
      <c r="M337" t="inlineStr">
        <is>
          <t>2000</t>
        </is>
      </c>
      <c r="O337" t="inlineStr">
        <is>
          <t>eng</t>
        </is>
      </c>
      <c r="P337" t="inlineStr">
        <is>
          <t>nyu</t>
        </is>
      </c>
      <c r="R337" t="inlineStr">
        <is>
          <t xml:space="preserve">PE </t>
        </is>
      </c>
      <c r="S337" t="n">
        <v>4</v>
      </c>
      <c r="T337" t="n">
        <v>4</v>
      </c>
      <c r="U337" t="inlineStr">
        <is>
          <t>2010-07-15</t>
        </is>
      </c>
      <c r="V337" t="inlineStr">
        <is>
          <t>2010-07-15</t>
        </is>
      </c>
      <c r="W337" t="inlineStr">
        <is>
          <t>2009-01-13</t>
        </is>
      </c>
      <c r="X337" t="inlineStr">
        <is>
          <t>2009-01-13</t>
        </is>
      </c>
      <c r="Y337" t="n">
        <v>167</v>
      </c>
      <c r="Z337" t="n">
        <v>148</v>
      </c>
      <c r="AA337" t="n">
        <v>149</v>
      </c>
      <c r="AB337" t="n">
        <v>3</v>
      </c>
      <c r="AC337" t="n">
        <v>3</v>
      </c>
      <c r="AD337" t="n">
        <v>6</v>
      </c>
      <c r="AE337" t="n">
        <v>7</v>
      </c>
      <c r="AF337" t="n">
        <v>3</v>
      </c>
      <c r="AG337" t="n">
        <v>4</v>
      </c>
      <c r="AH337" t="n">
        <v>0</v>
      </c>
      <c r="AI337" t="n">
        <v>0</v>
      </c>
      <c r="AJ337" t="n">
        <v>2</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HYPERLINK("https://creighton-primo.hosted.exlibrisgroup.com/primo-explore/search?tab=default_tab&amp;search_scope=EVERYTHING&amp;vid=01CRU&amp;lang=en_US&amp;offset=0&amp;query=any,contains,991005289919702656","Catalog Record")</f>
        <v/>
      </c>
      <c r="AT337">
        <f>HYPERLINK("http://www.worldcat.org/oclc/44085736","WorldCat Record")</f>
        <v/>
      </c>
      <c r="AU337" t="inlineStr">
        <is>
          <t>3858142853:eng</t>
        </is>
      </c>
      <c r="AV337" t="inlineStr">
        <is>
          <t>44085736</t>
        </is>
      </c>
      <c r="AW337" t="inlineStr">
        <is>
          <t>991005289919702656</t>
        </is>
      </c>
      <c r="AX337" t="inlineStr">
        <is>
          <t>991005289919702656</t>
        </is>
      </c>
      <c r="AY337" t="inlineStr">
        <is>
          <t>2269915790002656</t>
        </is>
      </c>
      <c r="AZ337" t="inlineStr">
        <is>
          <t>BOOK</t>
        </is>
      </c>
      <c r="BB337" t="inlineStr">
        <is>
          <t>9780393320213</t>
        </is>
      </c>
      <c r="BC337" t="inlineStr">
        <is>
          <t>32285005477640</t>
        </is>
      </c>
      <c r="BD337" t="inlineStr">
        <is>
          <t>893248668</t>
        </is>
      </c>
    </row>
    <row r="338">
      <c r="A338" t="inlineStr">
        <is>
          <t>No</t>
        </is>
      </c>
      <c r="B338" t="inlineStr">
        <is>
          <t>PE1417 .B72</t>
        </is>
      </c>
      <c r="C338" t="inlineStr">
        <is>
          <t>0                      PE 1417000B  72</t>
        </is>
      </c>
      <c r="D338" t="inlineStr">
        <is>
          <t>The strategy of composition : a rhetoric with readings / [by] Clarence A. Brown [and] Robert Zoellner.</t>
        </is>
      </c>
      <c r="F338" t="inlineStr">
        <is>
          <t>No</t>
        </is>
      </c>
      <c r="G338" t="inlineStr">
        <is>
          <t>1</t>
        </is>
      </c>
      <c r="H338" t="inlineStr">
        <is>
          <t>No</t>
        </is>
      </c>
      <c r="I338" t="inlineStr">
        <is>
          <t>No</t>
        </is>
      </c>
      <c r="J338" t="inlineStr">
        <is>
          <t>0</t>
        </is>
      </c>
      <c r="K338" t="inlineStr">
        <is>
          <t>Brown, Clarence Arthur.</t>
        </is>
      </c>
      <c r="L338" t="inlineStr">
        <is>
          <t>New York : Ronald Press Co., [1968]</t>
        </is>
      </c>
      <c r="M338" t="inlineStr">
        <is>
          <t>1968</t>
        </is>
      </c>
      <c r="O338" t="inlineStr">
        <is>
          <t>eng</t>
        </is>
      </c>
      <c r="P338" t="inlineStr">
        <is>
          <t>nyu</t>
        </is>
      </c>
      <c r="R338" t="inlineStr">
        <is>
          <t xml:space="preserve">PE </t>
        </is>
      </c>
      <c r="S338" t="n">
        <v>1</v>
      </c>
      <c r="T338" t="n">
        <v>1</v>
      </c>
      <c r="U338" t="inlineStr">
        <is>
          <t>1995-08-24</t>
        </is>
      </c>
      <c r="V338" t="inlineStr">
        <is>
          <t>1995-08-24</t>
        </is>
      </c>
      <c r="W338" t="inlineStr">
        <is>
          <t>1991-10-21</t>
        </is>
      </c>
      <c r="X338" t="inlineStr">
        <is>
          <t>1991-10-21</t>
        </is>
      </c>
      <c r="Y338" t="n">
        <v>49</v>
      </c>
      <c r="Z338" t="n">
        <v>44</v>
      </c>
      <c r="AA338" t="n">
        <v>46</v>
      </c>
      <c r="AB338" t="n">
        <v>3</v>
      </c>
      <c r="AC338" t="n">
        <v>3</v>
      </c>
      <c r="AD338" t="n">
        <v>4</v>
      </c>
      <c r="AE338" t="n">
        <v>4</v>
      </c>
      <c r="AF338" t="n">
        <v>1</v>
      </c>
      <c r="AG338" t="n">
        <v>1</v>
      </c>
      <c r="AH338" t="n">
        <v>0</v>
      </c>
      <c r="AI338" t="n">
        <v>0</v>
      </c>
      <c r="AJ338" t="n">
        <v>1</v>
      </c>
      <c r="AK338" t="n">
        <v>1</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HYPERLINK("https://creighton-primo.hosted.exlibrisgroup.com/primo-explore/search?tab=default_tab&amp;search_scope=EVERYTHING&amp;vid=01CRU&amp;lang=en_US&amp;offset=0&amp;query=any,contains,991002773379702656","Catalog Record")</f>
        <v/>
      </c>
      <c r="AT338">
        <f>HYPERLINK("http://www.worldcat.org/oclc/437835","WorldCat Record")</f>
        <v/>
      </c>
      <c r="AU338" t="inlineStr">
        <is>
          <t>933969152:eng</t>
        </is>
      </c>
      <c r="AV338" t="inlineStr">
        <is>
          <t>437835</t>
        </is>
      </c>
      <c r="AW338" t="inlineStr">
        <is>
          <t>991002773379702656</t>
        </is>
      </c>
      <c r="AX338" t="inlineStr">
        <is>
          <t>991002773379702656</t>
        </is>
      </c>
      <c r="AY338" t="inlineStr">
        <is>
          <t>2267977610002656</t>
        </is>
      </c>
      <c r="AZ338" t="inlineStr">
        <is>
          <t>BOOK</t>
        </is>
      </c>
      <c r="BC338" t="inlineStr">
        <is>
          <t>32285000775253</t>
        </is>
      </c>
      <c r="BD338" t="inlineStr">
        <is>
          <t>893604012</t>
        </is>
      </c>
    </row>
    <row r="339">
      <c r="A339" t="inlineStr">
        <is>
          <t>No</t>
        </is>
      </c>
      <c r="B339" t="inlineStr">
        <is>
          <t>PE1417 .C65435 2005</t>
        </is>
      </c>
      <c r="C339" t="inlineStr">
        <is>
          <t>0                      PE 1417000C  65435       2005</t>
        </is>
      </c>
      <c r="D339" t="inlineStr">
        <is>
          <t>Convergences : message, method, medium / [compiled by] Robert Atwan.</t>
        </is>
      </c>
      <c r="F339" t="inlineStr">
        <is>
          <t>No</t>
        </is>
      </c>
      <c r="G339" t="inlineStr">
        <is>
          <t>1</t>
        </is>
      </c>
      <c r="H339" t="inlineStr">
        <is>
          <t>No</t>
        </is>
      </c>
      <c r="I339" t="inlineStr">
        <is>
          <t>No</t>
        </is>
      </c>
      <c r="J339" t="inlineStr">
        <is>
          <t>0</t>
        </is>
      </c>
      <c r="L339" t="inlineStr">
        <is>
          <t>Boston : Bedford/St. Martin's, c2005.</t>
        </is>
      </c>
      <c r="M339" t="inlineStr">
        <is>
          <t>2005</t>
        </is>
      </c>
      <c r="N339" t="inlineStr">
        <is>
          <t>2nd ed.</t>
        </is>
      </c>
      <c r="O339" t="inlineStr">
        <is>
          <t>eng</t>
        </is>
      </c>
      <c r="P339" t="inlineStr">
        <is>
          <t>mau</t>
        </is>
      </c>
      <c r="R339" t="inlineStr">
        <is>
          <t xml:space="preserve">PE </t>
        </is>
      </c>
      <c r="S339" t="n">
        <v>1</v>
      </c>
      <c r="T339" t="n">
        <v>1</v>
      </c>
      <c r="U339" t="inlineStr">
        <is>
          <t>2009-11-24</t>
        </is>
      </c>
      <c r="V339" t="inlineStr">
        <is>
          <t>2009-11-24</t>
        </is>
      </c>
      <c r="W339" t="inlineStr">
        <is>
          <t>2007-01-26</t>
        </is>
      </c>
      <c r="X339" t="inlineStr">
        <is>
          <t>2007-01-26</t>
        </is>
      </c>
      <c r="Y339" t="n">
        <v>68</v>
      </c>
      <c r="Z339" t="n">
        <v>66</v>
      </c>
      <c r="AA339" t="n">
        <v>119</v>
      </c>
      <c r="AB339" t="n">
        <v>2</v>
      </c>
      <c r="AC339" t="n">
        <v>2</v>
      </c>
      <c r="AD339" t="n">
        <v>3</v>
      </c>
      <c r="AE339" t="n">
        <v>3</v>
      </c>
      <c r="AF339" t="n">
        <v>0</v>
      </c>
      <c r="AG339" t="n">
        <v>0</v>
      </c>
      <c r="AH339" t="n">
        <v>1</v>
      </c>
      <c r="AI339" t="n">
        <v>1</v>
      </c>
      <c r="AJ339" t="n">
        <v>1</v>
      </c>
      <c r="AK339" t="n">
        <v>1</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HYPERLINK("https://creighton-primo.hosted.exlibrisgroup.com/primo-explore/search?tab=default_tab&amp;search_scope=EVERYTHING&amp;vid=01CRU&amp;lang=en_US&amp;offset=0&amp;query=any,contains,991005005419702656","Catalog Record")</f>
        <v/>
      </c>
      <c r="AT339">
        <f>HYPERLINK("http://www.worldcat.org/oclc/60880777","WorldCat Record")</f>
        <v/>
      </c>
      <c r="AU339" t="inlineStr">
        <is>
          <t>796443003:eng</t>
        </is>
      </c>
      <c r="AV339" t="inlineStr">
        <is>
          <t>60880777</t>
        </is>
      </c>
      <c r="AW339" t="inlineStr">
        <is>
          <t>991005005419702656</t>
        </is>
      </c>
      <c r="AX339" t="inlineStr">
        <is>
          <t>991005005419702656</t>
        </is>
      </c>
      <c r="AY339" t="inlineStr">
        <is>
          <t>2265469780002656</t>
        </is>
      </c>
      <c r="AZ339" t="inlineStr">
        <is>
          <t>BOOK</t>
        </is>
      </c>
      <c r="BB339" t="inlineStr">
        <is>
          <t>9780312412913</t>
        </is>
      </c>
      <c r="BC339" t="inlineStr">
        <is>
          <t>32285005219539</t>
        </is>
      </c>
      <c r="BD339" t="inlineStr">
        <is>
          <t>893628454</t>
        </is>
      </c>
    </row>
    <row r="340">
      <c r="A340" t="inlineStr">
        <is>
          <t>No</t>
        </is>
      </c>
      <c r="B340" t="inlineStr">
        <is>
          <t>PE1417 .C75 1987</t>
        </is>
      </c>
      <c r="C340" t="inlineStr">
        <is>
          <t>0                      PE 1417000C  75          1987</t>
        </is>
      </c>
      <c r="D340" t="inlineStr">
        <is>
          <t>Crossing cultures : readings for composition / [compiled by] Henry Knepler, Myrna Knepler.</t>
        </is>
      </c>
      <c r="F340" t="inlineStr">
        <is>
          <t>No</t>
        </is>
      </c>
      <c r="G340" t="inlineStr">
        <is>
          <t>1</t>
        </is>
      </c>
      <c r="H340" t="inlineStr">
        <is>
          <t>No</t>
        </is>
      </c>
      <c r="I340" t="inlineStr">
        <is>
          <t>No</t>
        </is>
      </c>
      <c r="J340" t="inlineStr">
        <is>
          <t>0</t>
        </is>
      </c>
      <c r="L340" t="inlineStr">
        <is>
          <t>New York : Macmillan, c1987.</t>
        </is>
      </c>
      <c r="M340" t="inlineStr">
        <is>
          <t>1987</t>
        </is>
      </c>
      <c r="N340" t="inlineStr">
        <is>
          <t>2nd ed.</t>
        </is>
      </c>
      <c r="O340" t="inlineStr">
        <is>
          <t>eng</t>
        </is>
      </c>
      <c r="P340" t="inlineStr">
        <is>
          <t>nyu</t>
        </is>
      </c>
      <c r="R340" t="inlineStr">
        <is>
          <t xml:space="preserve">PE </t>
        </is>
      </c>
      <c r="S340" t="n">
        <v>3</v>
      </c>
      <c r="T340" t="n">
        <v>3</v>
      </c>
      <c r="U340" t="inlineStr">
        <is>
          <t>1996-01-26</t>
        </is>
      </c>
      <c r="V340" t="inlineStr">
        <is>
          <t>1996-01-26</t>
        </is>
      </c>
      <c r="W340" t="inlineStr">
        <is>
          <t>1993-08-09</t>
        </is>
      </c>
      <c r="X340" t="inlineStr">
        <is>
          <t>1993-08-09</t>
        </is>
      </c>
      <c r="Y340" t="n">
        <v>92</v>
      </c>
      <c r="Z340" t="n">
        <v>75</v>
      </c>
      <c r="AA340" t="n">
        <v>313</v>
      </c>
      <c r="AB340" t="n">
        <v>1</v>
      </c>
      <c r="AC340" t="n">
        <v>1</v>
      </c>
      <c r="AD340" t="n">
        <v>3</v>
      </c>
      <c r="AE340" t="n">
        <v>7</v>
      </c>
      <c r="AF340" t="n">
        <v>1</v>
      </c>
      <c r="AG340" t="n">
        <v>1</v>
      </c>
      <c r="AH340" t="n">
        <v>0</v>
      </c>
      <c r="AI340" t="n">
        <v>3</v>
      </c>
      <c r="AJ340" t="n">
        <v>2</v>
      </c>
      <c r="AK340" t="n">
        <v>3</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HYPERLINK("https://creighton-primo.hosted.exlibrisgroup.com/primo-explore/search?tab=default_tab&amp;search_scope=EVERYTHING&amp;vid=01CRU&amp;lang=en_US&amp;offset=0&amp;query=any,contains,991000804909702656","Catalog Record")</f>
        <v/>
      </c>
      <c r="AT340">
        <f>HYPERLINK("http://www.worldcat.org/oclc/13270845","WorldCat Record")</f>
        <v/>
      </c>
      <c r="AU340" t="inlineStr">
        <is>
          <t>796523175:eng</t>
        </is>
      </c>
      <c r="AV340" t="inlineStr">
        <is>
          <t>13270845</t>
        </is>
      </c>
      <c r="AW340" t="inlineStr">
        <is>
          <t>991000804909702656</t>
        </is>
      </c>
      <c r="AX340" t="inlineStr">
        <is>
          <t>991000804909702656</t>
        </is>
      </c>
      <c r="AY340" t="inlineStr">
        <is>
          <t>2271784770002656</t>
        </is>
      </c>
      <c r="AZ340" t="inlineStr">
        <is>
          <t>BOOK</t>
        </is>
      </c>
      <c r="BB340" t="inlineStr">
        <is>
          <t>9780023652202</t>
        </is>
      </c>
      <c r="BC340" t="inlineStr">
        <is>
          <t>32285001756385</t>
        </is>
      </c>
      <c r="BD340" t="inlineStr">
        <is>
          <t>893608302</t>
        </is>
      </c>
    </row>
    <row r="341">
      <c r="A341" t="inlineStr">
        <is>
          <t>No</t>
        </is>
      </c>
      <c r="B341" t="inlineStr">
        <is>
          <t>PE1417 .E46 1995</t>
        </is>
      </c>
      <c r="C341" t="inlineStr">
        <is>
          <t>0                      PE 1417000E  46          1995</t>
        </is>
      </c>
      <c r="D341" t="inlineStr">
        <is>
          <t>Encountering cultures : reading and writing in a changing world / edited by Richard Holeton.</t>
        </is>
      </c>
      <c r="F341" t="inlineStr">
        <is>
          <t>No</t>
        </is>
      </c>
      <c r="G341" t="inlineStr">
        <is>
          <t>1</t>
        </is>
      </c>
      <c r="H341" t="inlineStr">
        <is>
          <t>No</t>
        </is>
      </c>
      <c r="I341" t="inlineStr">
        <is>
          <t>No</t>
        </is>
      </c>
      <c r="J341" t="inlineStr">
        <is>
          <t>0</t>
        </is>
      </c>
      <c r="L341" t="inlineStr">
        <is>
          <t>Englewood Cliffs, NJ : Prentice Hall, c1995.</t>
        </is>
      </c>
      <c r="M341" t="inlineStr">
        <is>
          <t>1995</t>
        </is>
      </c>
      <c r="N341" t="inlineStr">
        <is>
          <t>2nd ed.</t>
        </is>
      </c>
      <c r="O341" t="inlineStr">
        <is>
          <t>eng</t>
        </is>
      </c>
      <c r="P341" t="inlineStr">
        <is>
          <t>nju</t>
        </is>
      </c>
      <c r="R341" t="inlineStr">
        <is>
          <t xml:space="preserve">PE </t>
        </is>
      </c>
      <c r="S341" t="n">
        <v>6</v>
      </c>
      <c r="T341" t="n">
        <v>6</v>
      </c>
      <c r="U341" t="inlineStr">
        <is>
          <t>1996-01-26</t>
        </is>
      </c>
      <c r="V341" t="inlineStr">
        <is>
          <t>1996-01-26</t>
        </is>
      </c>
      <c r="W341" t="inlineStr">
        <is>
          <t>1995-03-29</t>
        </is>
      </c>
      <c r="X341" t="inlineStr">
        <is>
          <t>1995-03-29</t>
        </is>
      </c>
      <c r="Y341" t="n">
        <v>111</v>
      </c>
      <c r="Z341" t="n">
        <v>89</v>
      </c>
      <c r="AA341" t="n">
        <v>161</v>
      </c>
      <c r="AB341" t="n">
        <v>2</v>
      </c>
      <c r="AC341" t="n">
        <v>2</v>
      </c>
      <c r="AD341" t="n">
        <v>4</v>
      </c>
      <c r="AE341" t="n">
        <v>5</v>
      </c>
      <c r="AF341" t="n">
        <v>3</v>
      </c>
      <c r="AG341" t="n">
        <v>3</v>
      </c>
      <c r="AH341" t="n">
        <v>0</v>
      </c>
      <c r="AI341" t="n">
        <v>1</v>
      </c>
      <c r="AJ341" t="n">
        <v>0</v>
      </c>
      <c r="AK341" t="n">
        <v>1</v>
      </c>
      <c r="AL341" t="n">
        <v>1</v>
      </c>
      <c r="AM341" t="n">
        <v>1</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HYPERLINK("https://creighton-primo.hosted.exlibrisgroup.com/primo-explore/search?tab=default_tab&amp;search_scope=EVERYTHING&amp;vid=01CRU&amp;lang=en_US&amp;offset=0&amp;query=any,contains,991002426869702656","Catalog Record")</f>
        <v/>
      </c>
      <c r="AT341">
        <f>HYPERLINK("http://www.worldcat.org/oclc/31608945","WorldCat Record")</f>
        <v/>
      </c>
      <c r="AU341" t="inlineStr">
        <is>
          <t>796281666:eng</t>
        </is>
      </c>
      <c r="AV341" t="inlineStr">
        <is>
          <t>31608945</t>
        </is>
      </c>
      <c r="AW341" t="inlineStr">
        <is>
          <t>991002426869702656</t>
        </is>
      </c>
      <c r="AX341" t="inlineStr">
        <is>
          <t>991002426869702656</t>
        </is>
      </c>
      <c r="AY341" t="inlineStr">
        <is>
          <t>2266389040002656</t>
        </is>
      </c>
      <c r="AZ341" t="inlineStr">
        <is>
          <t>BOOK</t>
        </is>
      </c>
      <c r="BB341" t="inlineStr">
        <is>
          <t>9780132998277</t>
        </is>
      </c>
      <c r="BC341" t="inlineStr">
        <is>
          <t>32285002015385</t>
        </is>
      </c>
      <c r="BD341" t="inlineStr">
        <is>
          <t>893409083</t>
        </is>
      </c>
    </row>
    <row r="342">
      <c r="A342" t="inlineStr">
        <is>
          <t>No</t>
        </is>
      </c>
      <c r="B342" t="inlineStr">
        <is>
          <t>PE1417 .F73 1983</t>
        </is>
      </c>
      <c r="C342" t="inlineStr">
        <is>
          <t>0                      PE 1417000F  73          1983</t>
        </is>
      </c>
      <c r="D342" t="inlineStr">
        <is>
          <t>The Freshman reader : essays and casebook / [compiled by] Kent Forrester, Jerry A. Herndon.</t>
        </is>
      </c>
      <c r="F342" t="inlineStr">
        <is>
          <t>No</t>
        </is>
      </c>
      <c r="G342" t="inlineStr">
        <is>
          <t>1</t>
        </is>
      </c>
      <c r="H342" t="inlineStr">
        <is>
          <t>No</t>
        </is>
      </c>
      <c r="I342" t="inlineStr">
        <is>
          <t>No</t>
        </is>
      </c>
      <c r="J342" t="inlineStr">
        <is>
          <t>0</t>
        </is>
      </c>
      <c r="L342" t="inlineStr">
        <is>
          <t>New York : Holt, Rinehart and Winston, c1983.</t>
        </is>
      </c>
      <c r="M342" t="inlineStr">
        <is>
          <t>1983</t>
        </is>
      </c>
      <c r="O342" t="inlineStr">
        <is>
          <t>eng</t>
        </is>
      </c>
      <c r="P342" t="inlineStr">
        <is>
          <t>nyu</t>
        </is>
      </c>
      <c r="R342" t="inlineStr">
        <is>
          <t xml:space="preserve">PE </t>
        </is>
      </c>
      <c r="S342" t="n">
        <v>3</v>
      </c>
      <c r="T342" t="n">
        <v>3</v>
      </c>
      <c r="U342" t="inlineStr">
        <is>
          <t>1996-01-26</t>
        </is>
      </c>
      <c r="V342" t="inlineStr">
        <is>
          <t>1996-01-26</t>
        </is>
      </c>
      <c r="W342" t="inlineStr">
        <is>
          <t>1993-04-23</t>
        </is>
      </c>
      <c r="X342" t="inlineStr">
        <is>
          <t>1993-04-23</t>
        </is>
      </c>
      <c r="Y342" t="n">
        <v>47</v>
      </c>
      <c r="Z342" t="n">
        <v>41</v>
      </c>
      <c r="AA342" t="n">
        <v>41</v>
      </c>
      <c r="AB342" t="n">
        <v>1</v>
      </c>
      <c r="AC342" t="n">
        <v>1</v>
      </c>
      <c r="AD342" t="n">
        <v>1</v>
      </c>
      <c r="AE342" t="n">
        <v>1</v>
      </c>
      <c r="AF342" t="n">
        <v>0</v>
      </c>
      <c r="AG342" t="n">
        <v>0</v>
      </c>
      <c r="AH342" t="n">
        <v>1</v>
      </c>
      <c r="AI342" t="n">
        <v>1</v>
      </c>
      <c r="AJ342" t="n">
        <v>1</v>
      </c>
      <c r="AK342" t="n">
        <v>1</v>
      </c>
      <c r="AL342" t="n">
        <v>0</v>
      </c>
      <c r="AM342" t="n">
        <v>0</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HYPERLINK("https://creighton-primo.hosted.exlibrisgroup.com/primo-explore/search?tab=default_tab&amp;search_scope=EVERYTHING&amp;vid=01CRU&amp;lang=en_US&amp;offset=0&amp;query=any,contains,991005250859702656","Catalog Record")</f>
        <v/>
      </c>
      <c r="AT342">
        <f>HYPERLINK("http://www.worldcat.org/oclc/8493134","WorldCat Record")</f>
        <v/>
      </c>
      <c r="AU342" t="inlineStr">
        <is>
          <t>401590:eng</t>
        </is>
      </c>
      <c r="AV342" t="inlineStr">
        <is>
          <t>8493134</t>
        </is>
      </c>
      <c r="AW342" t="inlineStr">
        <is>
          <t>991005250859702656</t>
        </is>
      </c>
      <c r="AX342" t="inlineStr">
        <is>
          <t>991005250859702656</t>
        </is>
      </c>
      <c r="AY342" t="inlineStr">
        <is>
          <t>2261663130002656</t>
        </is>
      </c>
      <c r="AZ342" t="inlineStr">
        <is>
          <t>BOOK</t>
        </is>
      </c>
      <c r="BB342" t="inlineStr">
        <is>
          <t>9780030592966</t>
        </is>
      </c>
      <c r="BC342" t="inlineStr">
        <is>
          <t>32285001647170</t>
        </is>
      </c>
      <c r="BD342" t="inlineStr">
        <is>
          <t>893236541</t>
        </is>
      </c>
    </row>
    <row r="343">
      <c r="A343" t="inlineStr">
        <is>
          <t>No</t>
        </is>
      </c>
      <c r="B343" t="inlineStr">
        <is>
          <t>PE1417 .P6 1993</t>
        </is>
      </c>
      <c r="C343" t="inlineStr">
        <is>
          <t>0                      PE 1417000P  6           1993</t>
        </is>
      </c>
      <c r="D343" t="inlineStr">
        <is>
          <t>Popular writing in America : the interaction of style and audience / [compiled by] Donald McQuade, Robert Atwan.</t>
        </is>
      </c>
      <c r="F343" t="inlineStr">
        <is>
          <t>No</t>
        </is>
      </c>
      <c r="G343" t="inlineStr">
        <is>
          <t>1</t>
        </is>
      </c>
      <c r="H343" t="inlineStr">
        <is>
          <t>No</t>
        </is>
      </c>
      <c r="I343" t="inlineStr">
        <is>
          <t>Yes</t>
        </is>
      </c>
      <c r="J343" t="inlineStr">
        <is>
          <t>0</t>
        </is>
      </c>
      <c r="L343" t="inlineStr">
        <is>
          <t>New York : Oxford University Press, 1993.</t>
        </is>
      </c>
      <c r="M343" t="inlineStr">
        <is>
          <t>1993</t>
        </is>
      </c>
      <c r="N343" t="inlineStr">
        <is>
          <t>5th ed.</t>
        </is>
      </c>
      <c r="O343" t="inlineStr">
        <is>
          <t>eng</t>
        </is>
      </c>
      <c r="P343" t="inlineStr">
        <is>
          <t>nyu</t>
        </is>
      </c>
      <c r="R343" t="inlineStr">
        <is>
          <t xml:space="preserve">PE </t>
        </is>
      </c>
      <c r="S343" t="n">
        <v>1</v>
      </c>
      <c r="T343" t="n">
        <v>1</v>
      </c>
      <c r="U343" t="inlineStr">
        <is>
          <t>1993-07-30</t>
        </is>
      </c>
      <c r="V343" t="inlineStr">
        <is>
          <t>1993-07-30</t>
        </is>
      </c>
      <c r="W343" t="inlineStr">
        <is>
          <t>1993-07-02</t>
        </is>
      </c>
      <c r="X343" t="inlineStr">
        <is>
          <t>1993-07-02</t>
        </is>
      </c>
      <c r="Y343" t="n">
        <v>216</v>
      </c>
      <c r="Z343" t="n">
        <v>175</v>
      </c>
      <c r="AA343" t="n">
        <v>800</v>
      </c>
      <c r="AB343" t="n">
        <v>3</v>
      </c>
      <c r="AC343" t="n">
        <v>5</v>
      </c>
      <c r="AD343" t="n">
        <v>9</v>
      </c>
      <c r="AE343" t="n">
        <v>31</v>
      </c>
      <c r="AF343" t="n">
        <v>4</v>
      </c>
      <c r="AG343" t="n">
        <v>12</v>
      </c>
      <c r="AH343" t="n">
        <v>1</v>
      </c>
      <c r="AI343" t="n">
        <v>5</v>
      </c>
      <c r="AJ343" t="n">
        <v>4</v>
      </c>
      <c r="AK343" t="n">
        <v>16</v>
      </c>
      <c r="AL343" t="n">
        <v>2</v>
      </c>
      <c r="AM343" t="n">
        <v>4</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HYPERLINK("https://creighton-primo.hosted.exlibrisgroup.com/primo-explore/search?tab=default_tab&amp;search_scope=EVERYTHING&amp;vid=01CRU&amp;lang=en_US&amp;offset=0&amp;query=any,contains,991002046289702656","Catalog Record")</f>
        <v/>
      </c>
      <c r="AT343">
        <f>HYPERLINK("http://www.worldcat.org/oclc/26128976","WorldCat Record")</f>
        <v/>
      </c>
      <c r="AU343" t="inlineStr">
        <is>
          <t>150998970:eng</t>
        </is>
      </c>
      <c r="AV343" t="inlineStr">
        <is>
          <t>26128976</t>
        </is>
      </c>
      <c r="AW343" t="inlineStr">
        <is>
          <t>991002046289702656</t>
        </is>
      </c>
      <c r="AX343" t="inlineStr">
        <is>
          <t>991002046289702656</t>
        </is>
      </c>
      <c r="AY343" t="inlineStr">
        <is>
          <t>2257185060002656</t>
        </is>
      </c>
      <c r="AZ343" t="inlineStr">
        <is>
          <t>BOOK</t>
        </is>
      </c>
      <c r="BB343" t="inlineStr">
        <is>
          <t>9780195073089</t>
        </is>
      </c>
      <c r="BC343" t="inlineStr">
        <is>
          <t>32285001700730</t>
        </is>
      </c>
      <c r="BD343" t="inlineStr">
        <is>
          <t>893232502</t>
        </is>
      </c>
    </row>
    <row r="344">
      <c r="A344" t="inlineStr">
        <is>
          <t>No</t>
        </is>
      </c>
      <c r="B344" t="inlineStr">
        <is>
          <t>PE1417 .P855 1997</t>
        </is>
      </c>
      <c r="C344" t="inlineStr">
        <is>
          <t>0                      PE 1417000P  855         1997</t>
        </is>
      </c>
      <c r="D344" t="inlineStr">
        <is>
          <t>Purpose and process : a reader for writers / [edited by] Stephen Reid.</t>
        </is>
      </c>
      <c r="F344" t="inlineStr">
        <is>
          <t>No</t>
        </is>
      </c>
      <c r="G344" t="inlineStr">
        <is>
          <t>1</t>
        </is>
      </c>
      <c r="H344" t="inlineStr">
        <is>
          <t>No</t>
        </is>
      </c>
      <c r="I344" t="inlineStr">
        <is>
          <t>No</t>
        </is>
      </c>
      <c r="J344" t="inlineStr">
        <is>
          <t>0</t>
        </is>
      </c>
      <c r="L344" t="inlineStr">
        <is>
          <t>Upper Saddle River, NJ : Prentice Hall, c1997.</t>
        </is>
      </c>
      <c r="M344" t="inlineStr">
        <is>
          <t>1997</t>
        </is>
      </c>
      <c r="N344" t="inlineStr">
        <is>
          <t>3rd ed.</t>
        </is>
      </c>
      <c r="O344" t="inlineStr">
        <is>
          <t>eng</t>
        </is>
      </c>
      <c r="P344" t="inlineStr">
        <is>
          <t>nju</t>
        </is>
      </c>
      <c r="R344" t="inlineStr">
        <is>
          <t xml:space="preserve">PE </t>
        </is>
      </c>
      <c r="S344" t="n">
        <v>5</v>
      </c>
      <c r="T344" t="n">
        <v>5</v>
      </c>
      <c r="U344" t="inlineStr">
        <is>
          <t>2007-11-19</t>
        </is>
      </c>
      <c r="V344" t="inlineStr">
        <is>
          <t>2007-11-19</t>
        </is>
      </c>
      <c r="W344" t="inlineStr">
        <is>
          <t>1997-04-29</t>
        </is>
      </c>
      <c r="X344" t="inlineStr">
        <is>
          <t>1997-04-29</t>
        </is>
      </c>
      <c r="Y344" t="n">
        <v>45</v>
      </c>
      <c r="Z344" t="n">
        <v>41</v>
      </c>
      <c r="AA344" t="n">
        <v>161</v>
      </c>
      <c r="AB344" t="n">
        <v>1</v>
      </c>
      <c r="AC344" t="n">
        <v>1</v>
      </c>
      <c r="AD344" t="n">
        <v>0</v>
      </c>
      <c r="AE344" t="n">
        <v>4</v>
      </c>
      <c r="AF344" t="n">
        <v>0</v>
      </c>
      <c r="AG344" t="n">
        <v>3</v>
      </c>
      <c r="AH344" t="n">
        <v>0</v>
      </c>
      <c r="AI344" t="n">
        <v>2</v>
      </c>
      <c r="AJ344" t="n">
        <v>0</v>
      </c>
      <c r="AK344" t="n">
        <v>2</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HYPERLINK("https://creighton-primo.hosted.exlibrisgroup.com/primo-explore/search?tab=default_tab&amp;search_scope=EVERYTHING&amp;vid=01CRU&amp;lang=en_US&amp;offset=0&amp;query=any,contains,991002708609702656","Catalog Record")</f>
        <v/>
      </c>
      <c r="AT344">
        <f>HYPERLINK("http://www.worldcat.org/oclc/35397892","WorldCat Record")</f>
        <v/>
      </c>
      <c r="AU344" t="inlineStr">
        <is>
          <t>796439452:eng</t>
        </is>
      </c>
      <c r="AV344" t="inlineStr">
        <is>
          <t>35397892</t>
        </is>
      </c>
      <c r="AW344" t="inlineStr">
        <is>
          <t>991002708609702656</t>
        </is>
      </c>
      <c r="AX344" t="inlineStr">
        <is>
          <t>991002708609702656</t>
        </is>
      </c>
      <c r="AY344" t="inlineStr">
        <is>
          <t>2262307740002656</t>
        </is>
      </c>
      <c r="AZ344" t="inlineStr">
        <is>
          <t>BOOK</t>
        </is>
      </c>
      <c r="BB344" t="inlineStr">
        <is>
          <t>9780132373890</t>
        </is>
      </c>
      <c r="BC344" t="inlineStr">
        <is>
          <t>32285002542578</t>
        </is>
      </c>
      <c r="BD344" t="inlineStr">
        <is>
          <t>893323274</t>
        </is>
      </c>
    </row>
    <row r="345">
      <c r="A345" t="inlineStr">
        <is>
          <t>No</t>
        </is>
      </c>
      <c r="B345" t="inlineStr">
        <is>
          <t>PE1417 .W28 2001</t>
        </is>
      </c>
      <c r="C345" t="inlineStr">
        <is>
          <t>0                      PE 1417000W  28          2001</t>
        </is>
      </c>
      <c r="D345" t="inlineStr">
        <is>
          <t>Many voices : a multicultural reader / Linda Watkins-Goffman, Richard W. Goffman.</t>
        </is>
      </c>
      <c r="F345" t="inlineStr">
        <is>
          <t>No</t>
        </is>
      </c>
      <c r="G345" t="inlineStr">
        <is>
          <t>1</t>
        </is>
      </c>
      <c r="H345" t="inlineStr">
        <is>
          <t>No</t>
        </is>
      </c>
      <c r="I345" t="inlineStr">
        <is>
          <t>No</t>
        </is>
      </c>
      <c r="J345" t="inlineStr">
        <is>
          <t>0</t>
        </is>
      </c>
      <c r="K345" t="inlineStr">
        <is>
          <t>Watkins-Goffman, Linda.</t>
        </is>
      </c>
      <c r="L345" t="inlineStr">
        <is>
          <t>Upper Saddle River, N.J. : Prentice Hall, c2001.</t>
        </is>
      </c>
      <c r="M345" t="inlineStr">
        <is>
          <t>2001</t>
        </is>
      </c>
      <c r="O345" t="inlineStr">
        <is>
          <t>eng</t>
        </is>
      </c>
      <c r="P345" t="inlineStr">
        <is>
          <t>nju</t>
        </is>
      </c>
      <c r="R345" t="inlineStr">
        <is>
          <t xml:space="preserve">PE </t>
        </is>
      </c>
      <c r="S345" t="n">
        <v>2</v>
      </c>
      <c r="T345" t="n">
        <v>2</v>
      </c>
      <c r="U345" t="inlineStr">
        <is>
          <t>2002-04-28</t>
        </is>
      </c>
      <c r="V345" t="inlineStr">
        <is>
          <t>2002-04-28</t>
        </is>
      </c>
      <c r="W345" t="inlineStr">
        <is>
          <t>2000-12-05</t>
        </is>
      </c>
      <c r="X345" t="inlineStr">
        <is>
          <t>2000-12-05</t>
        </is>
      </c>
      <c r="Y345" t="n">
        <v>85</v>
      </c>
      <c r="Z345" t="n">
        <v>75</v>
      </c>
      <c r="AA345" t="n">
        <v>75</v>
      </c>
      <c r="AB345" t="n">
        <v>1</v>
      </c>
      <c r="AC345" t="n">
        <v>1</v>
      </c>
      <c r="AD345" t="n">
        <v>3</v>
      </c>
      <c r="AE345" t="n">
        <v>3</v>
      </c>
      <c r="AF345" t="n">
        <v>2</v>
      </c>
      <c r="AG345" t="n">
        <v>2</v>
      </c>
      <c r="AH345" t="n">
        <v>0</v>
      </c>
      <c r="AI345" t="n">
        <v>0</v>
      </c>
      <c r="AJ345" t="n">
        <v>3</v>
      </c>
      <c r="AK345" t="n">
        <v>3</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HYPERLINK("https://creighton-primo.hosted.exlibrisgroup.com/primo-explore/search?tab=default_tab&amp;search_scope=EVERYTHING&amp;vid=01CRU&amp;lang=en_US&amp;offset=0&amp;query=any,contains,991003320429702656","Catalog Record")</f>
        <v/>
      </c>
      <c r="AT345">
        <f>HYPERLINK("http://www.worldcat.org/oclc/42810776","WorldCat Record")</f>
        <v/>
      </c>
      <c r="AU345" t="inlineStr">
        <is>
          <t>27735592:eng</t>
        </is>
      </c>
      <c r="AV345" t="inlineStr">
        <is>
          <t>42810776</t>
        </is>
      </c>
      <c r="AW345" t="inlineStr">
        <is>
          <t>991003320429702656</t>
        </is>
      </c>
      <c r="AX345" t="inlineStr">
        <is>
          <t>991003320429702656</t>
        </is>
      </c>
      <c r="AY345" t="inlineStr">
        <is>
          <t>2260738720002656</t>
        </is>
      </c>
      <c r="AZ345" t="inlineStr">
        <is>
          <t>BOOK</t>
        </is>
      </c>
      <c r="BB345" t="inlineStr">
        <is>
          <t>9780139756245</t>
        </is>
      </c>
      <c r="BC345" t="inlineStr">
        <is>
          <t>32285004269881</t>
        </is>
      </c>
      <c r="BD345" t="inlineStr">
        <is>
          <t>893598472</t>
        </is>
      </c>
    </row>
    <row r="346">
      <c r="A346" t="inlineStr">
        <is>
          <t>No</t>
        </is>
      </c>
      <c r="B346" t="inlineStr">
        <is>
          <t>PE1417 .W29 1995</t>
        </is>
      </c>
      <c r="C346" t="inlineStr">
        <is>
          <t>0                      PE 1417000W  29          1995</t>
        </is>
      </c>
      <c r="D346" t="inlineStr">
        <is>
          <t>Writing for change : a community reader / Ann Watters, Marjorie Ford.</t>
        </is>
      </c>
      <c r="F346" t="inlineStr">
        <is>
          <t>No</t>
        </is>
      </c>
      <c r="G346" t="inlineStr">
        <is>
          <t>1</t>
        </is>
      </c>
      <c r="H346" t="inlineStr">
        <is>
          <t>No</t>
        </is>
      </c>
      <c r="I346" t="inlineStr">
        <is>
          <t>No</t>
        </is>
      </c>
      <c r="J346" t="inlineStr">
        <is>
          <t>0</t>
        </is>
      </c>
      <c r="K346" t="inlineStr">
        <is>
          <t>Watters, Ann.</t>
        </is>
      </c>
      <c r="L346" t="inlineStr">
        <is>
          <t>New York : McGraw-Hill, c1995.</t>
        </is>
      </c>
      <c r="M346" t="inlineStr">
        <is>
          <t>1995</t>
        </is>
      </c>
      <c r="O346" t="inlineStr">
        <is>
          <t>eng</t>
        </is>
      </c>
      <c r="P346" t="inlineStr">
        <is>
          <t>nyu</t>
        </is>
      </c>
      <c r="R346" t="inlineStr">
        <is>
          <t xml:space="preserve">PE </t>
        </is>
      </c>
      <c r="S346" t="n">
        <v>2</v>
      </c>
      <c r="T346" t="n">
        <v>2</v>
      </c>
      <c r="U346" t="inlineStr">
        <is>
          <t>2009-08-14</t>
        </is>
      </c>
      <c r="V346" t="inlineStr">
        <is>
          <t>2009-08-14</t>
        </is>
      </c>
      <c r="W346" t="inlineStr">
        <is>
          <t>2001-01-25</t>
        </is>
      </c>
      <c r="X346" t="inlineStr">
        <is>
          <t>2001-01-25</t>
        </is>
      </c>
      <c r="Y346" t="n">
        <v>74</v>
      </c>
      <c r="Z346" t="n">
        <v>68</v>
      </c>
      <c r="AA346" t="n">
        <v>68</v>
      </c>
      <c r="AB346" t="n">
        <v>1</v>
      </c>
      <c r="AC346" t="n">
        <v>1</v>
      </c>
      <c r="AD346" t="n">
        <v>5</v>
      </c>
      <c r="AE346" t="n">
        <v>5</v>
      </c>
      <c r="AF346" t="n">
        <v>3</v>
      </c>
      <c r="AG346" t="n">
        <v>3</v>
      </c>
      <c r="AH346" t="n">
        <v>2</v>
      </c>
      <c r="AI346" t="n">
        <v>2</v>
      </c>
      <c r="AJ346" t="n">
        <v>2</v>
      </c>
      <c r="AK346" t="n">
        <v>2</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HYPERLINK("https://creighton-primo.hosted.exlibrisgroup.com/primo-explore/search?tab=default_tab&amp;search_scope=EVERYTHING&amp;vid=01CRU&amp;lang=en_US&amp;offset=0&amp;query=any,contains,991003359569702656","Catalog Record")</f>
        <v/>
      </c>
      <c r="AT346">
        <f>HYPERLINK("http://www.worldcat.org/oclc/30700726","WorldCat Record")</f>
        <v/>
      </c>
      <c r="AU346" t="inlineStr">
        <is>
          <t>2536261:eng</t>
        </is>
      </c>
      <c r="AV346" t="inlineStr">
        <is>
          <t>30700726</t>
        </is>
      </c>
      <c r="AW346" t="inlineStr">
        <is>
          <t>991003359569702656</t>
        </is>
      </c>
      <c r="AX346" t="inlineStr">
        <is>
          <t>991003359569702656</t>
        </is>
      </c>
      <c r="AY346" t="inlineStr">
        <is>
          <t>2263827770002656</t>
        </is>
      </c>
      <c r="AZ346" t="inlineStr">
        <is>
          <t>BOOK</t>
        </is>
      </c>
      <c r="BB346" t="inlineStr">
        <is>
          <t>9780070686151</t>
        </is>
      </c>
      <c r="BC346" t="inlineStr">
        <is>
          <t>32285004292172</t>
        </is>
      </c>
      <c r="BD346" t="inlineStr">
        <is>
          <t>893317923</t>
        </is>
      </c>
    </row>
    <row r="347">
      <c r="A347" t="inlineStr">
        <is>
          <t>No</t>
        </is>
      </c>
      <c r="B347" t="inlineStr">
        <is>
          <t>PE1417 .W56</t>
        </is>
      </c>
      <c r="C347" t="inlineStr">
        <is>
          <t>0                      PE 1417000W  56</t>
        </is>
      </c>
      <c r="D347" t="inlineStr">
        <is>
          <t>Rhetoric and writing / [by] W. Ross Winterowd.</t>
        </is>
      </c>
      <c r="F347" t="inlineStr">
        <is>
          <t>No</t>
        </is>
      </c>
      <c r="G347" t="inlineStr">
        <is>
          <t>1</t>
        </is>
      </c>
      <c r="H347" t="inlineStr">
        <is>
          <t>No</t>
        </is>
      </c>
      <c r="I347" t="inlineStr">
        <is>
          <t>No</t>
        </is>
      </c>
      <c r="J347" t="inlineStr">
        <is>
          <t>0</t>
        </is>
      </c>
      <c r="K347" t="inlineStr">
        <is>
          <t>Winterowd, W. Ross.</t>
        </is>
      </c>
      <c r="L347" t="inlineStr">
        <is>
          <t>Boston, Allyn and Bacon, 1965.</t>
        </is>
      </c>
      <c r="M347" t="inlineStr">
        <is>
          <t>1965</t>
        </is>
      </c>
      <c r="O347" t="inlineStr">
        <is>
          <t>eng</t>
        </is>
      </c>
      <c r="P347" t="inlineStr">
        <is>
          <t xml:space="preserve">xx </t>
        </is>
      </c>
      <c r="R347" t="inlineStr">
        <is>
          <t xml:space="preserve">PE </t>
        </is>
      </c>
      <c r="S347" t="n">
        <v>1</v>
      </c>
      <c r="T347" t="n">
        <v>1</v>
      </c>
      <c r="U347" t="inlineStr">
        <is>
          <t>2006-09-20</t>
        </is>
      </c>
      <c r="V347" t="inlineStr">
        <is>
          <t>2006-09-20</t>
        </is>
      </c>
      <c r="W347" t="inlineStr">
        <is>
          <t>1997-09-08</t>
        </is>
      </c>
      <c r="X347" t="inlineStr">
        <is>
          <t>1997-09-08</t>
        </is>
      </c>
      <c r="Y347" t="n">
        <v>171</v>
      </c>
      <c r="Z347" t="n">
        <v>156</v>
      </c>
      <c r="AA347" t="n">
        <v>157</v>
      </c>
      <c r="AB347" t="n">
        <v>3</v>
      </c>
      <c r="AC347" t="n">
        <v>3</v>
      </c>
      <c r="AD347" t="n">
        <v>14</v>
      </c>
      <c r="AE347" t="n">
        <v>14</v>
      </c>
      <c r="AF347" t="n">
        <v>4</v>
      </c>
      <c r="AG347" t="n">
        <v>4</v>
      </c>
      <c r="AH347" t="n">
        <v>4</v>
      </c>
      <c r="AI347" t="n">
        <v>4</v>
      </c>
      <c r="AJ347" t="n">
        <v>8</v>
      </c>
      <c r="AK347" t="n">
        <v>8</v>
      </c>
      <c r="AL347" t="n">
        <v>2</v>
      </c>
      <c r="AM347" t="n">
        <v>2</v>
      </c>
      <c r="AN347" t="n">
        <v>0</v>
      </c>
      <c r="AO347" t="n">
        <v>0</v>
      </c>
      <c r="AP347" t="inlineStr">
        <is>
          <t>No</t>
        </is>
      </c>
      <c r="AQ347" t="inlineStr">
        <is>
          <t>Yes</t>
        </is>
      </c>
      <c r="AR347">
        <f>HYPERLINK("http://catalog.hathitrust.org/Record/101860183","HathiTrust Record")</f>
        <v/>
      </c>
      <c r="AS347">
        <f>HYPERLINK("https://creighton-primo.hosted.exlibrisgroup.com/primo-explore/search?tab=default_tab&amp;search_scope=EVERYTHING&amp;vid=01CRU&amp;lang=en_US&amp;offset=0&amp;query=any,contains,991000986659702656","Catalog Record")</f>
        <v/>
      </c>
      <c r="AT347">
        <f>HYPERLINK("http://www.worldcat.org/oclc/170999","WorldCat Record")</f>
        <v/>
      </c>
      <c r="AU347" t="inlineStr">
        <is>
          <t>2905391633:eng</t>
        </is>
      </c>
      <c r="AV347" t="inlineStr">
        <is>
          <t>170999</t>
        </is>
      </c>
      <c r="AW347" t="inlineStr">
        <is>
          <t>991000986659702656</t>
        </is>
      </c>
      <c r="AX347" t="inlineStr">
        <is>
          <t>991000986659702656</t>
        </is>
      </c>
      <c r="AY347" t="inlineStr">
        <is>
          <t>2269305970002656</t>
        </is>
      </c>
      <c r="AZ347" t="inlineStr">
        <is>
          <t>BOOK</t>
        </is>
      </c>
      <c r="BC347" t="inlineStr">
        <is>
          <t>32285003165015</t>
        </is>
      </c>
      <c r="BD347" t="inlineStr">
        <is>
          <t>893237785</t>
        </is>
      </c>
    </row>
    <row r="348">
      <c r="A348" t="inlineStr">
        <is>
          <t>No</t>
        </is>
      </c>
      <c r="B348" t="inlineStr">
        <is>
          <t>PE1419 .I7 D63 V2</t>
        </is>
      </c>
      <c r="C348" t="inlineStr">
        <is>
          <t>0                      PE 1419000I  7                  D  63                 V  2</t>
        </is>
      </c>
      <c r="D348" t="inlineStr">
        <is>
          <t>Model English ... by Francis P. Donnelly.</t>
        </is>
      </c>
      <c r="F348" t="inlineStr">
        <is>
          <t>Yes</t>
        </is>
      </c>
      <c r="G348" t="inlineStr">
        <is>
          <t>1</t>
        </is>
      </c>
      <c r="H348" t="inlineStr">
        <is>
          <t>Yes</t>
        </is>
      </c>
      <c r="I348" t="inlineStr">
        <is>
          <t>No</t>
        </is>
      </c>
      <c r="J348" t="inlineStr">
        <is>
          <t>0</t>
        </is>
      </c>
      <c r="K348" t="inlineStr">
        <is>
          <t>Donnelly, Francis P. (Francis Patrick), 1869-1959.</t>
        </is>
      </c>
      <c r="L348" t="inlineStr">
        <is>
          <t>Boston, New York [etc.] Allyn and Bacon [c1919-20]</t>
        </is>
      </c>
      <c r="M348" t="inlineStr">
        <is>
          <t>1919</t>
        </is>
      </c>
      <c r="O348" t="inlineStr">
        <is>
          <t>eng</t>
        </is>
      </c>
      <c r="P348" t="inlineStr">
        <is>
          <t>mau</t>
        </is>
      </c>
      <c r="R348" t="inlineStr">
        <is>
          <t xml:space="preserve">PE </t>
        </is>
      </c>
      <c r="S348" t="n">
        <v>0</v>
      </c>
      <c r="T348" t="n">
        <v>0</v>
      </c>
      <c r="U348" t="inlineStr">
        <is>
          <t>2003-04-16</t>
        </is>
      </c>
      <c r="V348" t="inlineStr">
        <is>
          <t>2003-04-16</t>
        </is>
      </c>
      <c r="W348" t="inlineStr">
        <is>
          <t>1997-09-25</t>
        </is>
      </c>
      <c r="X348" t="inlineStr">
        <is>
          <t>1997-09-25</t>
        </is>
      </c>
      <c r="Y348" t="n">
        <v>38</v>
      </c>
      <c r="Z348" t="n">
        <v>36</v>
      </c>
      <c r="AA348" t="n">
        <v>53</v>
      </c>
      <c r="AB348" t="n">
        <v>1</v>
      </c>
      <c r="AC348" t="n">
        <v>1</v>
      </c>
      <c r="AD348" t="n">
        <v>14</v>
      </c>
      <c r="AE348" t="n">
        <v>15</v>
      </c>
      <c r="AF348" t="n">
        <v>3</v>
      </c>
      <c r="AG348" t="n">
        <v>4</v>
      </c>
      <c r="AH348" t="n">
        <v>5</v>
      </c>
      <c r="AI348" t="n">
        <v>5</v>
      </c>
      <c r="AJ348" t="n">
        <v>11</v>
      </c>
      <c r="AK348" t="n">
        <v>12</v>
      </c>
      <c r="AL348" t="n">
        <v>0</v>
      </c>
      <c r="AM348" t="n">
        <v>0</v>
      </c>
      <c r="AN348" t="n">
        <v>0</v>
      </c>
      <c r="AO348" t="n">
        <v>0</v>
      </c>
      <c r="AP348" t="inlineStr">
        <is>
          <t>Yes</t>
        </is>
      </c>
      <c r="AQ348" t="inlineStr">
        <is>
          <t>No</t>
        </is>
      </c>
      <c r="AR348">
        <f>HYPERLINK("http://catalog.hathitrust.org/Record/100376117","HathiTrust Record")</f>
        <v/>
      </c>
      <c r="AS348">
        <f>HYPERLINK("https://creighton-primo.hosted.exlibrisgroup.com/primo-explore/search?tab=default_tab&amp;search_scope=EVERYTHING&amp;vid=01CRU&amp;lang=en_US&amp;offset=0&amp;query=any,contains,991005076549702656","Catalog Record")</f>
        <v/>
      </c>
      <c r="AT348">
        <f>HYPERLINK("http://www.worldcat.org/oclc/7120007","WorldCat Record")</f>
        <v/>
      </c>
      <c r="AU348" t="inlineStr">
        <is>
          <t>3375948611:eng</t>
        </is>
      </c>
      <c r="AV348" t="inlineStr">
        <is>
          <t>7120007</t>
        </is>
      </c>
      <c r="AW348" t="inlineStr">
        <is>
          <t>991005076549702656</t>
        </is>
      </c>
      <c r="AX348" t="inlineStr">
        <is>
          <t>991005076549702656</t>
        </is>
      </c>
      <c r="AY348" t="inlineStr">
        <is>
          <t>2266705950002656</t>
        </is>
      </c>
      <c r="AZ348" t="inlineStr">
        <is>
          <t>BOOK</t>
        </is>
      </c>
      <c r="BC348" t="inlineStr">
        <is>
          <t>32285003247193</t>
        </is>
      </c>
      <c r="BD348" t="inlineStr">
        <is>
          <t>893782980</t>
        </is>
      </c>
    </row>
    <row r="349">
      <c r="A349" t="inlineStr">
        <is>
          <t>No</t>
        </is>
      </c>
      <c r="B349" t="inlineStr">
        <is>
          <t>PE1419.I7 D63</t>
        </is>
      </c>
      <c r="C349" t="inlineStr">
        <is>
          <t>0                      PE 1419000I  7                  D  63</t>
        </is>
      </c>
      <c r="D349" t="inlineStr">
        <is>
          <t>Model English ... by Francis P. Donnelly.</t>
        </is>
      </c>
      <c r="F349" t="inlineStr">
        <is>
          <t>Yes</t>
        </is>
      </c>
      <c r="G349" t="inlineStr">
        <is>
          <t>1</t>
        </is>
      </c>
      <c r="H349" t="inlineStr">
        <is>
          <t>Yes</t>
        </is>
      </c>
      <c r="I349" t="inlineStr">
        <is>
          <t>No</t>
        </is>
      </c>
      <c r="J349" t="inlineStr">
        <is>
          <t>0</t>
        </is>
      </c>
      <c r="K349" t="inlineStr">
        <is>
          <t>Donnelly, Francis P. (Francis Patrick), 1869-1959.</t>
        </is>
      </c>
      <c r="L349" t="inlineStr">
        <is>
          <t>Boston, New York [etc.] Allyn and Bacon [c1919-20]</t>
        </is>
      </c>
      <c r="M349" t="inlineStr">
        <is>
          <t>1919</t>
        </is>
      </c>
      <c r="O349" t="inlineStr">
        <is>
          <t>eng</t>
        </is>
      </c>
      <c r="P349" t="inlineStr">
        <is>
          <t>mau</t>
        </is>
      </c>
      <c r="R349" t="inlineStr">
        <is>
          <t xml:space="preserve">PE </t>
        </is>
      </c>
      <c r="S349" t="n">
        <v>0</v>
      </c>
      <c r="T349" t="n">
        <v>0</v>
      </c>
      <c r="U349" t="inlineStr">
        <is>
          <t>2003-04-16</t>
        </is>
      </c>
      <c r="V349" t="inlineStr">
        <is>
          <t>2003-04-16</t>
        </is>
      </c>
      <c r="W349" t="inlineStr">
        <is>
          <t>1997-09-25</t>
        </is>
      </c>
      <c r="X349" t="inlineStr">
        <is>
          <t>1997-09-25</t>
        </is>
      </c>
      <c r="Y349" t="n">
        <v>38</v>
      </c>
      <c r="Z349" t="n">
        <v>36</v>
      </c>
      <c r="AA349" t="n">
        <v>53</v>
      </c>
      <c r="AB349" t="n">
        <v>1</v>
      </c>
      <c r="AC349" t="n">
        <v>1</v>
      </c>
      <c r="AD349" t="n">
        <v>14</v>
      </c>
      <c r="AE349" t="n">
        <v>15</v>
      </c>
      <c r="AF349" t="n">
        <v>3</v>
      </c>
      <c r="AG349" t="n">
        <v>4</v>
      </c>
      <c r="AH349" t="n">
        <v>5</v>
      </c>
      <c r="AI349" t="n">
        <v>5</v>
      </c>
      <c r="AJ349" t="n">
        <v>11</v>
      </c>
      <c r="AK349" t="n">
        <v>12</v>
      </c>
      <c r="AL349" t="n">
        <v>0</v>
      </c>
      <c r="AM349" t="n">
        <v>0</v>
      </c>
      <c r="AN349" t="n">
        <v>0</v>
      </c>
      <c r="AO349" t="n">
        <v>0</v>
      </c>
      <c r="AP349" t="inlineStr">
        <is>
          <t>Yes</t>
        </is>
      </c>
      <c r="AQ349" t="inlineStr">
        <is>
          <t>No</t>
        </is>
      </c>
      <c r="AR349">
        <f>HYPERLINK("http://catalog.hathitrust.org/Record/100376117","HathiTrust Record")</f>
        <v/>
      </c>
      <c r="AS349">
        <f>HYPERLINK("https://creighton-primo.hosted.exlibrisgroup.com/primo-explore/search?tab=default_tab&amp;search_scope=EVERYTHING&amp;vid=01CRU&amp;lang=en_US&amp;offset=0&amp;query=any,contains,991005076549702656","Catalog Record")</f>
        <v/>
      </c>
      <c r="AT349">
        <f>HYPERLINK("http://www.worldcat.org/oclc/7120007","WorldCat Record")</f>
        <v/>
      </c>
      <c r="AU349" t="inlineStr">
        <is>
          <t>3375948611:eng</t>
        </is>
      </c>
      <c r="AV349" t="inlineStr">
        <is>
          <t>7120007</t>
        </is>
      </c>
      <c r="AW349" t="inlineStr">
        <is>
          <t>991005076549702656</t>
        </is>
      </c>
      <c r="AX349" t="inlineStr">
        <is>
          <t>991005076549702656</t>
        </is>
      </c>
      <c r="AY349" t="inlineStr">
        <is>
          <t>2266705950002656</t>
        </is>
      </c>
      <c r="AZ349" t="inlineStr">
        <is>
          <t>BOOK</t>
        </is>
      </c>
      <c r="BC349" t="inlineStr">
        <is>
          <t>32285003247185</t>
        </is>
      </c>
      <c r="BD349" t="inlineStr">
        <is>
          <t>893807787</t>
        </is>
      </c>
    </row>
    <row r="350">
      <c r="A350" t="inlineStr">
        <is>
          <t>No</t>
        </is>
      </c>
      <c r="B350" t="inlineStr">
        <is>
          <t>PE1421 .C5</t>
        </is>
      </c>
      <c r="C350" t="inlineStr">
        <is>
          <t>0                      PE 1421000C  5</t>
        </is>
      </c>
      <c r="D350" t="inlineStr">
        <is>
          <t>An analysis of the stylistic technique of Addison, Johnson, Hazlitt, and Pater / by Zilpha E. Chandler.</t>
        </is>
      </c>
      <c r="F350" t="inlineStr">
        <is>
          <t>No</t>
        </is>
      </c>
      <c r="G350" t="inlineStr">
        <is>
          <t>1</t>
        </is>
      </c>
      <c r="H350" t="inlineStr">
        <is>
          <t>No</t>
        </is>
      </c>
      <c r="I350" t="inlineStr">
        <is>
          <t>No</t>
        </is>
      </c>
      <c r="J350" t="inlineStr">
        <is>
          <t>0</t>
        </is>
      </c>
      <c r="K350" t="inlineStr">
        <is>
          <t>Chandler, Zilpha Emma, 1894-</t>
        </is>
      </c>
      <c r="L350" t="inlineStr">
        <is>
          <t>Iowa City, Ia., The University [1928]</t>
        </is>
      </c>
      <c r="M350" t="inlineStr">
        <is>
          <t>1928</t>
        </is>
      </c>
      <c r="O350" t="inlineStr">
        <is>
          <t>eng</t>
        </is>
      </c>
      <c r="P350" t="inlineStr">
        <is>
          <t>iau</t>
        </is>
      </c>
      <c r="Q350" t="inlineStr">
        <is>
          <t>University of Iowa humanistic studies ; vol. 4, no. 3</t>
        </is>
      </c>
      <c r="R350" t="inlineStr">
        <is>
          <t xml:space="preserve">PE </t>
        </is>
      </c>
      <c r="S350" t="n">
        <v>3</v>
      </c>
      <c r="T350" t="n">
        <v>3</v>
      </c>
      <c r="U350" t="inlineStr">
        <is>
          <t>1998-10-28</t>
        </is>
      </c>
      <c r="V350" t="inlineStr">
        <is>
          <t>1998-10-28</t>
        </is>
      </c>
      <c r="W350" t="inlineStr">
        <is>
          <t>1997-09-08</t>
        </is>
      </c>
      <c r="X350" t="inlineStr">
        <is>
          <t>1997-09-08</t>
        </is>
      </c>
      <c r="Y350" t="n">
        <v>178</v>
      </c>
      <c r="Z350" t="n">
        <v>152</v>
      </c>
      <c r="AA350" t="n">
        <v>156</v>
      </c>
      <c r="AB350" t="n">
        <v>3</v>
      </c>
      <c r="AC350" t="n">
        <v>3</v>
      </c>
      <c r="AD350" t="n">
        <v>7</v>
      </c>
      <c r="AE350" t="n">
        <v>7</v>
      </c>
      <c r="AF350" t="n">
        <v>3</v>
      </c>
      <c r="AG350" t="n">
        <v>3</v>
      </c>
      <c r="AH350" t="n">
        <v>2</v>
      </c>
      <c r="AI350" t="n">
        <v>2</v>
      </c>
      <c r="AJ350" t="n">
        <v>1</v>
      </c>
      <c r="AK350" t="n">
        <v>1</v>
      </c>
      <c r="AL350" t="n">
        <v>2</v>
      </c>
      <c r="AM350" t="n">
        <v>2</v>
      </c>
      <c r="AN350" t="n">
        <v>0</v>
      </c>
      <c r="AO350" t="n">
        <v>0</v>
      </c>
      <c r="AP350" t="inlineStr">
        <is>
          <t>No</t>
        </is>
      </c>
      <c r="AQ350" t="inlineStr">
        <is>
          <t>No</t>
        </is>
      </c>
      <c r="AR350">
        <f>HYPERLINK("http://catalog.hathitrust.org/Record/001436095","HathiTrust Record")</f>
        <v/>
      </c>
      <c r="AS350">
        <f>HYPERLINK("https://creighton-primo.hosted.exlibrisgroup.com/primo-explore/search?tab=default_tab&amp;search_scope=EVERYTHING&amp;vid=01CRU&amp;lang=en_US&amp;offset=0&amp;query=any,contains,991002259009702656","Catalog Record")</f>
        <v/>
      </c>
      <c r="AT350">
        <f>HYPERLINK("http://www.worldcat.org/oclc/303336","WorldCat Record")</f>
        <v/>
      </c>
      <c r="AU350" t="inlineStr">
        <is>
          <t>3980128094:eng</t>
        </is>
      </c>
      <c r="AV350" t="inlineStr">
        <is>
          <t>303336</t>
        </is>
      </c>
      <c r="AW350" t="inlineStr">
        <is>
          <t>991002259009702656</t>
        </is>
      </c>
      <c r="AX350" t="inlineStr">
        <is>
          <t>991002259009702656</t>
        </is>
      </c>
      <c r="AY350" t="inlineStr">
        <is>
          <t>2272665230002656</t>
        </is>
      </c>
      <c r="AZ350" t="inlineStr">
        <is>
          <t>BOOK</t>
        </is>
      </c>
      <c r="BC350" t="inlineStr">
        <is>
          <t>32285003165023</t>
        </is>
      </c>
      <c r="BD350" t="inlineStr">
        <is>
          <t>893597213</t>
        </is>
      </c>
    </row>
    <row r="351">
      <c r="A351" t="inlineStr">
        <is>
          <t>No</t>
        </is>
      </c>
      <c r="B351" t="inlineStr">
        <is>
          <t>PE1421 .C65</t>
        </is>
      </c>
      <c r="C351" t="inlineStr">
        <is>
          <t>0                      PE 1421000C  65</t>
        </is>
      </c>
      <c r="D351" t="inlineStr">
        <is>
          <t>Theories of style, with especial reference to prose composition; essays, excerpts, and translations, arranged and adapted by Lane Cooper ...</t>
        </is>
      </c>
      <c r="F351" t="inlineStr">
        <is>
          <t>No</t>
        </is>
      </c>
      <c r="G351" t="inlineStr">
        <is>
          <t>1</t>
        </is>
      </c>
      <c r="H351" t="inlineStr">
        <is>
          <t>No</t>
        </is>
      </c>
      <c r="I351" t="inlineStr">
        <is>
          <t>No</t>
        </is>
      </c>
      <c r="J351" t="inlineStr">
        <is>
          <t>0</t>
        </is>
      </c>
      <c r="K351" t="inlineStr">
        <is>
          <t>Cooper, Lane, 1875-1959, editor.</t>
        </is>
      </c>
      <c r="L351" t="inlineStr">
        <is>
          <t>New York, The Macmillan Company; London, Macmillan &amp; Co., 1907.</t>
        </is>
      </c>
      <c r="M351" t="inlineStr">
        <is>
          <t>1907</t>
        </is>
      </c>
      <c r="O351" t="inlineStr">
        <is>
          <t>eng</t>
        </is>
      </c>
      <c r="P351" t="inlineStr">
        <is>
          <t>nyu</t>
        </is>
      </c>
      <c r="R351" t="inlineStr">
        <is>
          <t xml:space="preserve">PE </t>
        </is>
      </c>
      <c r="S351" t="n">
        <v>2</v>
      </c>
      <c r="T351" t="n">
        <v>2</v>
      </c>
      <c r="U351" t="inlineStr">
        <is>
          <t>1998-10-28</t>
        </is>
      </c>
      <c r="V351" t="inlineStr">
        <is>
          <t>1998-10-28</t>
        </is>
      </c>
      <c r="W351" t="inlineStr">
        <is>
          <t>1997-09-25</t>
        </is>
      </c>
      <c r="X351" t="inlineStr">
        <is>
          <t>1997-09-25</t>
        </is>
      </c>
      <c r="Y351" t="n">
        <v>180</v>
      </c>
      <c r="Z351" t="n">
        <v>172</v>
      </c>
      <c r="AA351" t="n">
        <v>305</v>
      </c>
      <c r="AB351" t="n">
        <v>3</v>
      </c>
      <c r="AC351" t="n">
        <v>4</v>
      </c>
      <c r="AD351" t="n">
        <v>15</v>
      </c>
      <c r="AE351" t="n">
        <v>22</v>
      </c>
      <c r="AF351" t="n">
        <v>5</v>
      </c>
      <c r="AG351" t="n">
        <v>5</v>
      </c>
      <c r="AH351" t="n">
        <v>4</v>
      </c>
      <c r="AI351" t="n">
        <v>5</v>
      </c>
      <c r="AJ351" t="n">
        <v>9</v>
      </c>
      <c r="AK351" t="n">
        <v>14</v>
      </c>
      <c r="AL351" t="n">
        <v>2</v>
      </c>
      <c r="AM351" t="n">
        <v>3</v>
      </c>
      <c r="AN351" t="n">
        <v>0</v>
      </c>
      <c r="AO351" t="n">
        <v>0</v>
      </c>
      <c r="AP351" t="inlineStr">
        <is>
          <t>Yes</t>
        </is>
      </c>
      <c r="AQ351" t="inlineStr">
        <is>
          <t>No</t>
        </is>
      </c>
      <c r="AR351">
        <f>HYPERLINK("http://catalog.hathitrust.org/Record/001899417","HathiTrust Record")</f>
        <v/>
      </c>
      <c r="AS351">
        <f>HYPERLINK("https://creighton-primo.hosted.exlibrisgroup.com/primo-explore/search?tab=default_tab&amp;search_scope=EVERYTHING&amp;vid=01CRU&amp;lang=en_US&amp;offset=0&amp;query=any,contains,991002306339702656","Catalog Record")</f>
        <v/>
      </c>
      <c r="AT351">
        <f>HYPERLINK("http://www.worldcat.org/oclc/40316979","WorldCat Record")</f>
        <v/>
      </c>
      <c r="AU351" t="inlineStr">
        <is>
          <t>4434748797:eng</t>
        </is>
      </c>
      <c r="AV351" t="inlineStr">
        <is>
          <t>40316979</t>
        </is>
      </c>
      <c r="AW351" t="inlineStr">
        <is>
          <t>991002306339702656</t>
        </is>
      </c>
      <c r="AX351" t="inlineStr">
        <is>
          <t>991002306339702656</t>
        </is>
      </c>
      <c r="AY351" t="inlineStr">
        <is>
          <t>2270496240002656</t>
        </is>
      </c>
      <c r="AZ351" t="inlineStr">
        <is>
          <t>BOOK</t>
        </is>
      </c>
      <c r="BC351" t="inlineStr">
        <is>
          <t>32285003247219</t>
        </is>
      </c>
      <c r="BD351" t="inlineStr">
        <is>
          <t>893804448</t>
        </is>
      </c>
    </row>
    <row r="352">
      <c r="A352" t="inlineStr">
        <is>
          <t>No</t>
        </is>
      </c>
      <c r="B352" t="inlineStr">
        <is>
          <t>PE1421 .C68 1987</t>
        </is>
      </c>
      <c r="C352" t="inlineStr">
        <is>
          <t>0                      PE 1421000C  68          1987</t>
        </is>
      </c>
      <c r="D352" t="inlineStr">
        <is>
          <t>Free verse and prose style : an operational definition and description / Winifred Crombie.</t>
        </is>
      </c>
      <c r="F352" t="inlineStr">
        <is>
          <t>No</t>
        </is>
      </c>
      <c r="G352" t="inlineStr">
        <is>
          <t>1</t>
        </is>
      </c>
      <c r="H352" t="inlineStr">
        <is>
          <t>No</t>
        </is>
      </c>
      <c r="I352" t="inlineStr">
        <is>
          <t>No</t>
        </is>
      </c>
      <c r="J352" t="inlineStr">
        <is>
          <t>0</t>
        </is>
      </c>
      <c r="K352" t="inlineStr">
        <is>
          <t>Crombie, Winifred.</t>
        </is>
      </c>
      <c r="L352" t="inlineStr">
        <is>
          <t>London ; New York : Croom Helm, c1987.</t>
        </is>
      </c>
      <c r="M352" t="inlineStr">
        <is>
          <t>1987</t>
        </is>
      </c>
      <c r="O352" t="inlineStr">
        <is>
          <t>eng</t>
        </is>
      </c>
      <c r="P352" t="inlineStr">
        <is>
          <t>enk</t>
        </is>
      </c>
      <c r="R352" t="inlineStr">
        <is>
          <t xml:space="preserve">PE </t>
        </is>
      </c>
      <c r="S352" t="n">
        <v>3</v>
      </c>
      <c r="T352" t="n">
        <v>3</v>
      </c>
      <c r="U352" t="inlineStr">
        <is>
          <t>1998-10-28</t>
        </is>
      </c>
      <c r="V352" t="inlineStr">
        <is>
          <t>1998-10-28</t>
        </is>
      </c>
      <c r="W352" t="inlineStr">
        <is>
          <t>1993-04-23</t>
        </is>
      </c>
      <c r="X352" t="inlineStr">
        <is>
          <t>1993-04-23</t>
        </is>
      </c>
      <c r="Y352" t="n">
        <v>222</v>
      </c>
      <c r="Z352" t="n">
        <v>152</v>
      </c>
      <c r="AA352" t="n">
        <v>157</v>
      </c>
      <c r="AB352" t="n">
        <v>3</v>
      </c>
      <c r="AC352" t="n">
        <v>3</v>
      </c>
      <c r="AD352" t="n">
        <v>8</v>
      </c>
      <c r="AE352" t="n">
        <v>8</v>
      </c>
      <c r="AF352" t="n">
        <v>2</v>
      </c>
      <c r="AG352" t="n">
        <v>2</v>
      </c>
      <c r="AH352" t="n">
        <v>2</v>
      </c>
      <c r="AI352" t="n">
        <v>2</v>
      </c>
      <c r="AJ352" t="n">
        <v>5</v>
      </c>
      <c r="AK352" t="n">
        <v>5</v>
      </c>
      <c r="AL352" t="n">
        <v>2</v>
      </c>
      <c r="AM352" t="n">
        <v>2</v>
      </c>
      <c r="AN352" t="n">
        <v>0</v>
      </c>
      <c r="AO352" t="n">
        <v>0</v>
      </c>
      <c r="AP352" t="inlineStr">
        <is>
          <t>No</t>
        </is>
      </c>
      <c r="AQ352" t="inlineStr">
        <is>
          <t>Yes</t>
        </is>
      </c>
      <c r="AR352">
        <f>HYPERLINK("http://catalog.hathitrust.org/Record/000881830","HathiTrust Record")</f>
        <v/>
      </c>
      <c r="AS352">
        <f>HYPERLINK("https://creighton-primo.hosted.exlibrisgroup.com/primo-explore/search?tab=default_tab&amp;search_scope=EVERYTHING&amp;vid=01CRU&amp;lang=en_US&amp;offset=0&amp;query=any,contains,991001047319702656","Catalog Record")</f>
        <v/>
      </c>
      <c r="AT352">
        <f>HYPERLINK("http://www.worldcat.org/oclc/15629553","WorldCat Record")</f>
        <v/>
      </c>
      <c r="AU352" t="inlineStr">
        <is>
          <t>836620262:eng</t>
        </is>
      </c>
      <c r="AV352" t="inlineStr">
        <is>
          <t>15629553</t>
        </is>
      </c>
      <c r="AW352" t="inlineStr">
        <is>
          <t>991001047319702656</t>
        </is>
      </c>
      <c r="AX352" t="inlineStr">
        <is>
          <t>991001047319702656</t>
        </is>
      </c>
      <c r="AY352" t="inlineStr">
        <is>
          <t>2267576980002656</t>
        </is>
      </c>
      <c r="AZ352" t="inlineStr">
        <is>
          <t>BOOK</t>
        </is>
      </c>
      <c r="BB352" t="inlineStr">
        <is>
          <t>9780709948544</t>
        </is>
      </c>
      <c r="BC352" t="inlineStr">
        <is>
          <t>32285001647212</t>
        </is>
      </c>
      <c r="BD352" t="inlineStr">
        <is>
          <t>893496774</t>
        </is>
      </c>
    </row>
    <row r="353">
      <c r="A353" t="inlineStr">
        <is>
          <t>No</t>
        </is>
      </c>
      <c r="B353" t="inlineStr">
        <is>
          <t>PE1421 .F54</t>
        </is>
      </c>
      <c r="C353" t="inlineStr">
        <is>
          <t>0                      PE 1421000F  54</t>
        </is>
      </c>
      <c r="D353" t="inlineStr">
        <is>
          <t>The ABC of style; a guide to plain English [by] Rudolf Flesch.</t>
        </is>
      </c>
      <c r="F353" t="inlineStr">
        <is>
          <t>No</t>
        </is>
      </c>
      <c r="G353" t="inlineStr">
        <is>
          <t>1</t>
        </is>
      </c>
      <c r="H353" t="inlineStr">
        <is>
          <t>No</t>
        </is>
      </c>
      <c r="I353" t="inlineStr">
        <is>
          <t>No</t>
        </is>
      </c>
      <c r="J353" t="inlineStr">
        <is>
          <t>0</t>
        </is>
      </c>
      <c r="K353" t="inlineStr">
        <is>
          <t>Flesch, Rudolf, 1911-1986.</t>
        </is>
      </c>
      <c r="L353" t="inlineStr">
        <is>
          <t>New York, Harper &amp; Row [1964]</t>
        </is>
      </c>
      <c r="M353" t="inlineStr">
        <is>
          <t>1964</t>
        </is>
      </c>
      <c r="N353" t="inlineStr">
        <is>
          <t>[1st ed.]</t>
        </is>
      </c>
      <c r="O353" t="inlineStr">
        <is>
          <t>eng</t>
        </is>
      </c>
      <c r="P353" t="inlineStr">
        <is>
          <t>nyu</t>
        </is>
      </c>
      <c r="R353" t="inlineStr">
        <is>
          <t xml:space="preserve">PE </t>
        </is>
      </c>
      <c r="S353" t="n">
        <v>2</v>
      </c>
      <c r="T353" t="n">
        <v>2</v>
      </c>
      <c r="U353" t="inlineStr">
        <is>
          <t>1998-10-28</t>
        </is>
      </c>
      <c r="V353" t="inlineStr">
        <is>
          <t>1998-10-28</t>
        </is>
      </c>
      <c r="W353" t="inlineStr">
        <is>
          <t>1997-09-25</t>
        </is>
      </c>
      <c r="X353" t="inlineStr">
        <is>
          <t>1997-09-25</t>
        </is>
      </c>
      <c r="Y353" t="n">
        <v>617</v>
      </c>
      <c r="Z353" t="n">
        <v>577</v>
      </c>
      <c r="AA353" t="n">
        <v>677</v>
      </c>
      <c r="AB353" t="n">
        <v>5</v>
      </c>
      <c r="AC353" t="n">
        <v>6</v>
      </c>
      <c r="AD353" t="n">
        <v>18</v>
      </c>
      <c r="AE353" t="n">
        <v>20</v>
      </c>
      <c r="AF353" t="n">
        <v>7</v>
      </c>
      <c r="AG353" t="n">
        <v>7</v>
      </c>
      <c r="AH353" t="n">
        <v>3</v>
      </c>
      <c r="AI353" t="n">
        <v>3</v>
      </c>
      <c r="AJ353" t="n">
        <v>8</v>
      </c>
      <c r="AK353" t="n">
        <v>9</v>
      </c>
      <c r="AL353" t="n">
        <v>3</v>
      </c>
      <c r="AM353" t="n">
        <v>4</v>
      </c>
      <c r="AN353" t="n">
        <v>0</v>
      </c>
      <c r="AO353" t="n">
        <v>0</v>
      </c>
      <c r="AP353" t="inlineStr">
        <is>
          <t>No</t>
        </is>
      </c>
      <c r="AQ353" t="inlineStr">
        <is>
          <t>Yes</t>
        </is>
      </c>
      <c r="AR353">
        <f>HYPERLINK("http://catalog.hathitrust.org/Record/010075994","HathiTrust Record")</f>
        <v/>
      </c>
      <c r="AS353">
        <f>HYPERLINK("https://creighton-primo.hosted.exlibrisgroup.com/primo-explore/search?tab=default_tab&amp;search_scope=EVERYTHING&amp;vid=01CRU&amp;lang=en_US&amp;offset=0&amp;query=any,contains,991003392539702656","Catalog Record")</f>
        <v/>
      </c>
      <c r="AT353">
        <f>HYPERLINK("http://www.worldcat.org/oclc/930981","WorldCat Record")</f>
        <v/>
      </c>
      <c r="AU353" t="inlineStr">
        <is>
          <t>196644496:eng</t>
        </is>
      </c>
      <c r="AV353" t="inlineStr">
        <is>
          <t>930981</t>
        </is>
      </c>
      <c r="AW353" t="inlineStr">
        <is>
          <t>991003392539702656</t>
        </is>
      </c>
      <c r="AX353" t="inlineStr">
        <is>
          <t>991003392539702656</t>
        </is>
      </c>
      <c r="AY353" t="inlineStr">
        <is>
          <t>2269056280002656</t>
        </is>
      </c>
      <c r="AZ353" t="inlineStr">
        <is>
          <t>BOOK</t>
        </is>
      </c>
      <c r="BC353" t="inlineStr">
        <is>
          <t>32285003247250</t>
        </is>
      </c>
      <c r="BD353" t="inlineStr">
        <is>
          <t>893592482</t>
        </is>
      </c>
    </row>
    <row r="354">
      <c r="A354" t="inlineStr">
        <is>
          <t>No</t>
        </is>
      </c>
      <c r="B354" t="inlineStr">
        <is>
          <t>PE1421 .H3</t>
        </is>
      </c>
      <c r="C354" t="inlineStr">
        <is>
          <t>0                      PE 1421000H  3</t>
        </is>
      </c>
      <c r="D354" t="inlineStr">
        <is>
          <t>The modern stylists.</t>
        </is>
      </c>
      <c r="F354" t="inlineStr">
        <is>
          <t>No</t>
        </is>
      </c>
      <c r="G354" t="inlineStr">
        <is>
          <t>1</t>
        </is>
      </c>
      <c r="H354" t="inlineStr">
        <is>
          <t>No</t>
        </is>
      </c>
      <c r="I354" t="inlineStr">
        <is>
          <t>No</t>
        </is>
      </c>
      <c r="J354" t="inlineStr">
        <is>
          <t>0</t>
        </is>
      </c>
      <c r="K354" t="inlineStr">
        <is>
          <t>Hall, Donald, 1928-2018 compiler.</t>
        </is>
      </c>
      <c r="L354" t="inlineStr">
        <is>
          <t>New York, Free Press [1968]</t>
        </is>
      </c>
      <c r="M354" t="inlineStr">
        <is>
          <t>1968</t>
        </is>
      </c>
      <c r="O354" t="inlineStr">
        <is>
          <t>eng</t>
        </is>
      </c>
      <c r="P354" t="inlineStr">
        <is>
          <t>nyu</t>
        </is>
      </c>
      <c r="R354" t="inlineStr">
        <is>
          <t xml:space="preserve">PE </t>
        </is>
      </c>
      <c r="S354" t="n">
        <v>2</v>
      </c>
      <c r="T354" t="n">
        <v>2</v>
      </c>
      <c r="U354" t="inlineStr">
        <is>
          <t>1998-11-08</t>
        </is>
      </c>
      <c r="V354" t="inlineStr">
        <is>
          <t>1998-11-08</t>
        </is>
      </c>
      <c r="W354" t="inlineStr">
        <is>
          <t>1997-09-25</t>
        </is>
      </c>
      <c r="X354" t="inlineStr">
        <is>
          <t>1997-09-25</t>
        </is>
      </c>
      <c r="Y354" t="n">
        <v>636</v>
      </c>
      <c r="Z354" t="n">
        <v>596</v>
      </c>
      <c r="AA354" t="n">
        <v>606</v>
      </c>
      <c r="AB354" t="n">
        <v>9</v>
      </c>
      <c r="AC354" t="n">
        <v>9</v>
      </c>
      <c r="AD354" t="n">
        <v>23</v>
      </c>
      <c r="AE354" t="n">
        <v>23</v>
      </c>
      <c r="AF354" t="n">
        <v>7</v>
      </c>
      <c r="AG354" t="n">
        <v>7</v>
      </c>
      <c r="AH354" t="n">
        <v>3</v>
      </c>
      <c r="AI354" t="n">
        <v>3</v>
      </c>
      <c r="AJ354" t="n">
        <v>8</v>
      </c>
      <c r="AK354" t="n">
        <v>8</v>
      </c>
      <c r="AL354" t="n">
        <v>7</v>
      </c>
      <c r="AM354" t="n">
        <v>7</v>
      </c>
      <c r="AN354" t="n">
        <v>0</v>
      </c>
      <c r="AO354" t="n">
        <v>0</v>
      </c>
      <c r="AP354" t="inlineStr">
        <is>
          <t>No</t>
        </is>
      </c>
      <c r="AQ354" t="inlineStr">
        <is>
          <t>Yes</t>
        </is>
      </c>
      <c r="AR354">
        <f>HYPERLINK("http://catalog.hathitrust.org/Record/001463132","HathiTrust Record")</f>
        <v/>
      </c>
      <c r="AS354">
        <f>HYPERLINK("https://creighton-primo.hosted.exlibrisgroup.com/primo-explore/search?tab=default_tab&amp;search_scope=EVERYTHING&amp;vid=01CRU&amp;lang=en_US&amp;offset=0&amp;query=any,contains,991002772549702656","Catalog Record")</f>
        <v/>
      </c>
      <c r="AT354">
        <f>HYPERLINK("http://www.worldcat.org/oclc/437535","WorldCat Record")</f>
        <v/>
      </c>
      <c r="AU354" t="inlineStr">
        <is>
          <t>497044917:eng</t>
        </is>
      </c>
      <c r="AV354" t="inlineStr">
        <is>
          <t>437535</t>
        </is>
      </c>
      <c r="AW354" t="inlineStr">
        <is>
          <t>991002772549702656</t>
        </is>
      </c>
      <c r="AX354" t="inlineStr">
        <is>
          <t>991002772549702656</t>
        </is>
      </c>
      <c r="AY354" t="inlineStr">
        <is>
          <t>2267936790002656</t>
        </is>
      </c>
      <c r="AZ354" t="inlineStr">
        <is>
          <t>BOOK</t>
        </is>
      </c>
      <c r="BC354" t="inlineStr">
        <is>
          <t>32285003247292</t>
        </is>
      </c>
      <c r="BD354" t="inlineStr">
        <is>
          <t>893721630</t>
        </is>
      </c>
    </row>
    <row r="355">
      <c r="A355" t="inlineStr">
        <is>
          <t>No</t>
        </is>
      </c>
      <c r="B355" t="inlineStr">
        <is>
          <t>PE1421 .M5</t>
        </is>
      </c>
      <c r="C355" t="inlineStr">
        <is>
          <t>0                      PE 1421000M  5</t>
        </is>
      </c>
      <c r="D355" t="inlineStr">
        <is>
          <t>Style and proportion: the language of prose and poetry.</t>
        </is>
      </c>
      <c r="F355" t="inlineStr">
        <is>
          <t>No</t>
        </is>
      </c>
      <c r="G355" t="inlineStr">
        <is>
          <t>1</t>
        </is>
      </c>
      <c r="H355" t="inlineStr">
        <is>
          <t>No</t>
        </is>
      </c>
      <c r="I355" t="inlineStr">
        <is>
          <t>No</t>
        </is>
      </c>
      <c r="J355" t="inlineStr">
        <is>
          <t>0</t>
        </is>
      </c>
      <c r="K355" t="inlineStr">
        <is>
          <t>Miles, Josephine, 1911-1985.</t>
        </is>
      </c>
      <c r="L355" t="inlineStr">
        <is>
          <t>Boston, Little, Brown [1967]</t>
        </is>
      </c>
      <c r="M355" t="inlineStr">
        <is>
          <t>1967</t>
        </is>
      </c>
      <c r="O355" t="inlineStr">
        <is>
          <t>eng</t>
        </is>
      </c>
      <c r="P355" t="inlineStr">
        <is>
          <t>mau</t>
        </is>
      </c>
      <c r="R355" t="inlineStr">
        <is>
          <t xml:space="preserve">PE </t>
        </is>
      </c>
      <c r="S355" t="n">
        <v>2</v>
      </c>
      <c r="T355" t="n">
        <v>2</v>
      </c>
      <c r="U355" t="inlineStr">
        <is>
          <t>1998-11-08</t>
        </is>
      </c>
      <c r="V355" t="inlineStr">
        <is>
          <t>1998-11-08</t>
        </is>
      </c>
      <c r="W355" t="inlineStr">
        <is>
          <t>1997-09-26</t>
        </is>
      </c>
      <c r="X355" t="inlineStr">
        <is>
          <t>1997-09-26</t>
        </is>
      </c>
      <c r="Y355" t="n">
        <v>507</v>
      </c>
      <c r="Z355" t="n">
        <v>457</v>
      </c>
      <c r="AA355" t="n">
        <v>464</v>
      </c>
      <c r="AB355" t="n">
        <v>4</v>
      </c>
      <c r="AC355" t="n">
        <v>4</v>
      </c>
      <c r="AD355" t="n">
        <v>17</v>
      </c>
      <c r="AE355" t="n">
        <v>17</v>
      </c>
      <c r="AF355" t="n">
        <v>4</v>
      </c>
      <c r="AG355" t="n">
        <v>4</v>
      </c>
      <c r="AH355" t="n">
        <v>4</v>
      </c>
      <c r="AI355" t="n">
        <v>4</v>
      </c>
      <c r="AJ355" t="n">
        <v>11</v>
      </c>
      <c r="AK355" t="n">
        <v>11</v>
      </c>
      <c r="AL355" t="n">
        <v>3</v>
      </c>
      <c r="AM355" t="n">
        <v>3</v>
      </c>
      <c r="AN355" t="n">
        <v>0</v>
      </c>
      <c r="AO355" t="n">
        <v>0</v>
      </c>
      <c r="AP355" t="inlineStr">
        <is>
          <t>No</t>
        </is>
      </c>
      <c r="AQ355" t="inlineStr">
        <is>
          <t>Yes</t>
        </is>
      </c>
      <c r="AR355">
        <f>HYPERLINK("http://catalog.hathitrust.org/Record/001183144","HathiTrust Record")</f>
        <v/>
      </c>
      <c r="AS355">
        <f>HYPERLINK("https://creighton-primo.hosted.exlibrisgroup.com/primo-explore/search?tab=default_tab&amp;search_scope=EVERYTHING&amp;vid=01CRU&amp;lang=en_US&amp;offset=0&amp;query=any,contains,991002306279702656","Catalog Record")</f>
        <v/>
      </c>
      <c r="AT355">
        <f>HYPERLINK("http://www.worldcat.org/oclc/318536","WorldCat Record")</f>
        <v/>
      </c>
      <c r="AU355" t="inlineStr">
        <is>
          <t>199104333:eng</t>
        </is>
      </c>
      <c r="AV355" t="inlineStr">
        <is>
          <t>318536</t>
        </is>
      </c>
      <c r="AW355" t="inlineStr">
        <is>
          <t>991002306279702656</t>
        </is>
      </c>
      <c r="AX355" t="inlineStr">
        <is>
          <t>991002306279702656</t>
        </is>
      </c>
      <c r="AY355" t="inlineStr">
        <is>
          <t>2270499870002656</t>
        </is>
      </c>
      <c r="AZ355" t="inlineStr">
        <is>
          <t>BOOK</t>
        </is>
      </c>
      <c r="BC355" t="inlineStr">
        <is>
          <t>32285003247342</t>
        </is>
      </c>
      <c r="BD355" t="inlineStr">
        <is>
          <t>893697615</t>
        </is>
      </c>
    </row>
    <row r="356">
      <c r="A356" t="inlineStr">
        <is>
          <t>No</t>
        </is>
      </c>
      <c r="B356" t="inlineStr">
        <is>
          <t>PE1421 .S23 1981</t>
        </is>
      </c>
      <c r="C356" t="inlineStr">
        <is>
          <t>0                      PE 1421000S  23          1981</t>
        </is>
      </c>
      <c r="D356" t="inlineStr">
        <is>
          <t>On language / William Safire.</t>
        </is>
      </c>
      <c r="F356" t="inlineStr">
        <is>
          <t>No</t>
        </is>
      </c>
      <c r="G356" t="inlineStr">
        <is>
          <t>1</t>
        </is>
      </c>
      <c r="H356" t="inlineStr">
        <is>
          <t>No</t>
        </is>
      </c>
      <c r="I356" t="inlineStr">
        <is>
          <t>No</t>
        </is>
      </c>
      <c r="J356" t="inlineStr">
        <is>
          <t>0</t>
        </is>
      </c>
      <c r="K356" t="inlineStr">
        <is>
          <t>Safire, William, 1929-2009.</t>
        </is>
      </c>
      <c r="L356" t="inlineStr">
        <is>
          <t>[New York] : Avon, 1981, c1980.</t>
        </is>
      </c>
      <c r="M356" t="inlineStr">
        <is>
          <t>1981</t>
        </is>
      </c>
      <c r="O356" t="inlineStr">
        <is>
          <t>eng</t>
        </is>
      </c>
      <c r="P356" t="inlineStr">
        <is>
          <t>nyu</t>
        </is>
      </c>
      <c r="R356" t="inlineStr">
        <is>
          <t xml:space="preserve">PE </t>
        </is>
      </c>
      <c r="S356" t="n">
        <v>2</v>
      </c>
      <c r="T356" t="n">
        <v>2</v>
      </c>
      <c r="U356" t="inlineStr">
        <is>
          <t>2004-03-05</t>
        </is>
      </c>
      <c r="V356" t="inlineStr">
        <is>
          <t>2004-03-05</t>
        </is>
      </c>
      <c r="W356" t="inlineStr">
        <is>
          <t>1990-09-04</t>
        </is>
      </c>
      <c r="X356" t="inlineStr">
        <is>
          <t>1990-09-04</t>
        </is>
      </c>
      <c r="Y356" t="n">
        <v>100</v>
      </c>
      <c r="Z356" t="n">
        <v>87</v>
      </c>
      <c r="AA356" t="n">
        <v>1430</v>
      </c>
      <c r="AB356" t="n">
        <v>1</v>
      </c>
      <c r="AC356" t="n">
        <v>8</v>
      </c>
      <c r="AD356" t="n">
        <v>3</v>
      </c>
      <c r="AE356" t="n">
        <v>46</v>
      </c>
      <c r="AF356" t="n">
        <v>1</v>
      </c>
      <c r="AG356" t="n">
        <v>21</v>
      </c>
      <c r="AH356" t="n">
        <v>2</v>
      </c>
      <c r="AI356" t="n">
        <v>8</v>
      </c>
      <c r="AJ356" t="n">
        <v>1</v>
      </c>
      <c r="AK356" t="n">
        <v>23</v>
      </c>
      <c r="AL356" t="n">
        <v>0</v>
      </c>
      <c r="AM356" t="n">
        <v>4</v>
      </c>
      <c r="AN356" t="n">
        <v>0</v>
      </c>
      <c r="AO356" t="n">
        <v>1</v>
      </c>
      <c r="AP356" t="inlineStr">
        <is>
          <t>No</t>
        </is>
      </c>
      <c r="AQ356" t="inlineStr">
        <is>
          <t>No</t>
        </is>
      </c>
      <c r="AS356">
        <f>HYPERLINK("https://creighton-primo.hosted.exlibrisgroup.com/primo-explore/search?tab=default_tab&amp;search_scope=EVERYTHING&amp;vid=01CRU&amp;lang=en_US&amp;offset=0&amp;query=any,contains,991005218999702656","Catalog Record")</f>
        <v/>
      </c>
      <c r="AT356">
        <f>HYPERLINK("http://www.worldcat.org/oclc/8218144","WorldCat Record")</f>
        <v/>
      </c>
      <c r="AU356" t="inlineStr">
        <is>
          <t>3901123976:eng</t>
        </is>
      </c>
      <c r="AV356" t="inlineStr">
        <is>
          <t>8218144</t>
        </is>
      </c>
      <c r="AW356" t="inlineStr">
        <is>
          <t>991005218999702656</t>
        </is>
      </c>
      <c r="AX356" t="inlineStr">
        <is>
          <t>991005218999702656</t>
        </is>
      </c>
      <c r="AY356" t="inlineStr">
        <is>
          <t>2255000750002656</t>
        </is>
      </c>
      <c r="AZ356" t="inlineStr">
        <is>
          <t>BOOK</t>
        </is>
      </c>
      <c r="BB356" t="inlineStr">
        <is>
          <t>9780380564576</t>
        </is>
      </c>
      <c r="BC356" t="inlineStr">
        <is>
          <t>32285000024751</t>
        </is>
      </c>
      <c r="BD356" t="inlineStr">
        <is>
          <t>893254664</t>
        </is>
      </c>
    </row>
    <row r="357">
      <c r="A357" t="inlineStr">
        <is>
          <t>No</t>
        </is>
      </c>
      <c r="B357" t="inlineStr">
        <is>
          <t>PE1421 .S2334 2004</t>
        </is>
      </c>
      <c r="C357" t="inlineStr">
        <is>
          <t>0                      PE 1421000S  2334        2004</t>
        </is>
      </c>
      <c r="D357" t="inlineStr">
        <is>
          <t>The right word in the right place at the right time : wit and wisdom from the popular "On language" column in The New York times magazine / William Safire.</t>
        </is>
      </c>
      <c r="F357" t="inlineStr">
        <is>
          <t>No</t>
        </is>
      </c>
      <c r="G357" t="inlineStr">
        <is>
          <t>1</t>
        </is>
      </c>
      <c r="H357" t="inlineStr">
        <is>
          <t>No</t>
        </is>
      </c>
      <c r="I357" t="inlineStr">
        <is>
          <t>No</t>
        </is>
      </c>
      <c r="J357" t="inlineStr">
        <is>
          <t>0</t>
        </is>
      </c>
      <c r="K357" t="inlineStr">
        <is>
          <t>Safire, William, 1929-2009.</t>
        </is>
      </c>
      <c r="L357" t="inlineStr">
        <is>
          <t>New York : Simon &amp; Schuster, c2004.</t>
        </is>
      </c>
      <c r="M357" t="inlineStr">
        <is>
          <t>2004</t>
        </is>
      </c>
      <c r="O357" t="inlineStr">
        <is>
          <t>eng</t>
        </is>
      </c>
      <c r="P357" t="inlineStr">
        <is>
          <t>nyu</t>
        </is>
      </c>
      <c r="R357" t="inlineStr">
        <is>
          <t xml:space="preserve">PE </t>
        </is>
      </c>
      <c r="S357" t="n">
        <v>1</v>
      </c>
      <c r="T357" t="n">
        <v>1</v>
      </c>
      <c r="U357" t="inlineStr">
        <is>
          <t>2004-07-12</t>
        </is>
      </c>
      <c r="V357" t="inlineStr">
        <is>
          <t>2004-07-12</t>
        </is>
      </c>
      <c r="W357" t="inlineStr">
        <is>
          <t>2004-07-12</t>
        </is>
      </c>
      <c r="X357" t="inlineStr">
        <is>
          <t>2004-07-12</t>
        </is>
      </c>
      <c r="Y357" t="n">
        <v>684</v>
      </c>
      <c r="Z357" t="n">
        <v>651</v>
      </c>
      <c r="AA357" t="n">
        <v>674</v>
      </c>
      <c r="AB357" t="n">
        <v>4</v>
      </c>
      <c r="AC357" t="n">
        <v>4</v>
      </c>
      <c r="AD357" t="n">
        <v>10</v>
      </c>
      <c r="AE357" t="n">
        <v>10</v>
      </c>
      <c r="AF357" t="n">
        <v>4</v>
      </c>
      <c r="AG357" t="n">
        <v>4</v>
      </c>
      <c r="AH357" t="n">
        <v>4</v>
      </c>
      <c r="AI357" t="n">
        <v>4</v>
      </c>
      <c r="AJ357" t="n">
        <v>4</v>
      </c>
      <c r="AK357" t="n">
        <v>4</v>
      </c>
      <c r="AL357" t="n">
        <v>1</v>
      </c>
      <c r="AM357" t="n">
        <v>1</v>
      </c>
      <c r="AN357" t="n">
        <v>0</v>
      </c>
      <c r="AO357" t="n">
        <v>0</v>
      </c>
      <c r="AP357" t="inlineStr">
        <is>
          <t>No</t>
        </is>
      </c>
      <c r="AQ357" t="inlineStr">
        <is>
          <t>Yes</t>
        </is>
      </c>
      <c r="AR357">
        <f>HYPERLINK("http://catalog.hathitrust.org/Record/004729691","HathiTrust Record")</f>
        <v/>
      </c>
      <c r="AS357">
        <f>HYPERLINK("https://creighton-primo.hosted.exlibrisgroup.com/primo-explore/search?tab=default_tab&amp;search_scope=EVERYTHING&amp;vid=01CRU&amp;lang=en_US&amp;offset=0&amp;query=any,contains,991004316349702656","Catalog Record")</f>
        <v/>
      </c>
      <c r="AT357">
        <f>HYPERLINK("http://www.worldcat.org/oclc/54691636","WorldCat Record")</f>
        <v/>
      </c>
      <c r="AU357" t="inlineStr">
        <is>
          <t>327378400:eng</t>
        </is>
      </c>
      <c r="AV357" t="inlineStr">
        <is>
          <t>54691636</t>
        </is>
      </c>
      <c r="AW357" t="inlineStr">
        <is>
          <t>991004316349702656</t>
        </is>
      </c>
      <c r="AX357" t="inlineStr">
        <is>
          <t>991004316349702656</t>
        </is>
      </c>
      <c r="AY357" t="inlineStr">
        <is>
          <t>2258382180002656</t>
        </is>
      </c>
      <c r="AZ357" t="inlineStr">
        <is>
          <t>BOOK</t>
        </is>
      </c>
      <c r="BB357" t="inlineStr">
        <is>
          <t>9780743242448</t>
        </is>
      </c>
      <c r="BC357" t="inlineStr">
        <is>
          <t>32285004922836</t>
        </is>
      </c>
      <c r="BD357" t="inlineStr">
        <is>
          <t>893712440</t>
        </is>
      </c>
    </row>
    <row r="358">
      <c r="A358" t="inlineStr">
        <is>
          <t>No</t>
        </is>
      </c>
      <c r="B358" t="inlineStr">
        <is>
          <t>PE1429 .S3</t>
        </is>
      </c>
      <c r="C358" t="inlineStr">
        <is>
          <t>0                      PE 1429000S  3</t>
        </is>
      </c>
      <c r="D358" t="inlineStr">
        <is>
          <t>Essays for the study of structure and style [compiled by] Leo E. A. Saidla ...</t>
        </is>
      </c>
      <c r="F358" t="inlineStr">
        <is>
          <t>No</t>
        </is>
      </c>
      <c r="G358" t="inlineStr">
        <is>
          <t>1</t>
        </is>
      </c>
      <c r="H358" t="inlineStr">
        <is>
          <t>No</t>
        </is>
      </c>
      <c r="I358" t="inlineStr">
        <is>
          <t>No</t>
        </is>
      </c>
      <c r="J358" t="inlineStr">
        <is>
          <t>0</t>
        </is>
      </c>
      <c r="K358" t="inlineStr">
        <is>
          <t>Saidla, Leo E. A. (Leo Erval Alexandre), 1889-1961, compiler.</t>
        </is>
      </c>
      <c r="L358" t="inlineStr">
        <is>
          <t>New York, The Macmillan company, 1939.</t>
        </is>
      </c>
      <c r="M358" t="inlineStr">
        <is>
          <t>1939</t>
        </is>
      </c>
      <c r="O358" t="inlineStr">
        <is>
          <t>eng</t>
        </is>
      </c>
      <c r="P358" t="inlineStr">
        <is>
          <t>nyu</t>
        </is>
      </c>
      <c r="R358" t="inlineStr">
        <is>
          <t xml:space="preserve">PE </t>
        </is>
      </c>
      <c r="S358" t="n">
        <v>4</v>
      </c>
      <c r="T358" t="n">
        <v>4</v>
      </c>
      <c r="U358" t="inlineStr">
        <is>
          <t>1999-11-29</t>
        </is>
      </c>
      <c r="V358" t="inlineStr">
        <is>
          <t>1999-11-29</t>
        </is>
      </c>
      <c r="W358" t="inlineStr">
        <is>
          <t>1997-09-25</t>
        </is>
      </c>
      <c r="X358" t="inlineStr">
        <is>
          <t>1997-09-25</t>
        </is>
      </c>
      <c r="Y358" t="n">
        <v>154</v>
      </c>
      <c r="Z358" t="n">
        <v>143</v>
      </c>
      <c r="AA358" t="n">
        <v>159</v>
      </c>
      <c r="AB358" t="n">
        <v>1</v>
      </c>
      <c r="AC358" t="n">
        <v>1</v>
      </c>
      <c r="AD358" t="n">
        <v>7</v>
      </c>
      <c r="AE358" t="n">
        <v>9</v>
      </c>
      <c r="AF358" t="n">
        <v>2</v>
      </c>
      <c r="AG358" t="n">
        <v>4</v>
      </c>
      <c r="AH358" t="n">
        <v>2</v>
      </c>
      <c r="AI358" t="n">
        <v>2</v>
      </c>
      <c r="AJ358" t="n">
        <v>5</v>
      </c>
      <c r="AK358" t="n">
        <v>6</v>
      </c>
      <c r="AL358" t="n">
        <v>0</v>
      </c>
      <c r="AM358" t="n">
        <v>0</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HYPERLINK("https://creighton-primo.hosted.exlibrisgroup.com/primo-explore/search?tab=default_tab&amp;search_scope=EVERYTHING&amp;vid=01CRU&amp;lang=en_US&amp;offset=0&amp;query=any,contains,991003908459702656","Catalog Record")</f>
        <v/>
      </c>
      <c r="AT358">
        <f>HYPERLINK("http://www.worldcat.org/oclc/1846895","WorldCat Record")</f>
        <v/>
      </c>
      <c r="AU358" t="inlineStr">
        <is>
          <t>3086888:eng</t>
        </is>
      </c>
      <c r="AV358" t="inlineStr">
        <is>
          <t>1846895</t>
        </is>
      </c>
      <c r="AW358" t="inlineStr">
        <is>
          <t>991003908459702656</t>
        </is>
      </c>
      <c r="AX358" t="inlineStr">
        <is>
          <t>991003908459702656</t>
        </is>
      </c>
      <c r="AY358" t="inlineStr">
        <is>
          <t>2258365580002656</t>
        </is>
      </c>
      <c r="AZ358" t="inlineStr">
        <is>
          <t>BOOK</t>
        </is>
      </c>
      <c r="BC358" t="inlineStr">
        <is>
          <t>32285003247482</t>
        </is>
      </c>
      <c r="BD358" t="inlineStr">
        <is>
          <t>893234807</t>
        </is>
      </c>
    </row>
    <row r="359">
      <c r="A359" t="inlineStr">
        <is>
          <t>No</t>
        </is>
      </c>
      <c r="B359" t="inlineStr">
        <is>
          <t>PE1431 .F3 1982</t>
        </is>
      </c>
      <c r="C359" t="inlineStr">
        <is>
          <t>0                      PE 1431000F  3           1982</t>
        </is>
      </c>
      <c r="D359" t="inlineStr">
        <is>
          <t>A rhetoric of argument / Jeanne Fahnestock, Marie Secor ; with a foreword by Richard L. Larson.</t>
        </is>
      </c>
      <c r="F359" t="inlineStr">
        <is>
          <t>No</t>
        </is>
      </c>
      <c r="G359" t="inlineStr">
        <is>
          <t>1</t>
        </is>
      </c>
      <c r="H359" t="inlineStr">
        <is>
          <t>No</t>
        </is>
      </c>
      <c r="I359" t="inlineStr">
        <is>
          <t>No</t>
        </is>
      </c>
      <c r="J359" t="inlineStr">
        <is>
          <t>0</t>
        </is>
      </c>
      <c r="K359" t="inlineStr">
        <is>
          <t>Fahnestock, Jeanne, 1945-</t>
        </is>
      </c>
      <c r="L359" t="inlineStr">
        <is>
          <t>New York : Random House, c1982.</t>
        </is>
      </c>
      <c r="M359" t="inlineStr">
        <is>
          <t>1982</t>
        </is>
      </c>
      <c r="N359" t="inlineStr">
        <is>
          <t>1st ed.</t>
        </is>
      </c>
      <c r="O359" t="inlineStr">
        <is>
          <t>eng</t>
        </is>
      </c>
      <c r="P359" t="inlineStr">
        <is>
          <t>nyu</t>
        </is>
      </c>
      <c r="R359" t="inlineStr">
        <is>
          <t xml:space="preserve">PE </t>
        </is>
      </c>
      <c r="S359" t="n">
        <v>0</v>
      </c>
      <c r="T359" t="n">
        <v>0</v>
      </c>
      <c r="U359" t="inlineStr">
        <is>
          <t>2010-03-03</t>
        </is>
      </c>
      <c r="V359" t="inlineStr">
        <is>
          <t>2010-03-03</t>
        </is>
      </c>
      <c r="W359" t="inlineStr">
        <is>
          <t>1996-09-04</t>
        </is>
      </c>
      <c r="X359" t="inlineStr">
        <is>
          <t>1996-09-04</t>
        </is>
      </c>
      <c r="Y359" t="n">
        <v>141</v>
      </c>
      <c r="Z359" t="n">
        <v>107</v>
      </c>
      <c r="AA359" t="n">
        <v>218</v>
      </c>
      <c r="AB359" t="n">
        <v>2</v>
      </c>
      <c r="AC359" t="n">
        <v>3</v>
      </c>
      <c r="AD359" t="n">
        <v>3</v>
      </c>
      <c r="AE359" t="n">
        <v>9</v>
      </c>
      <c r="AF359" t="n">
        <v>1</v>
      </c>
      <c r="AG359" t="n">
        <v>2</v>
      </c>
      <c r="AH359" t="n">
        <v>0</v>
      </c>
      <c r="AI359" t="n">
        <v>2</v>
      </c>
      <c r="AJ359" t="n">
        <v>2</v>
      </c>
      <c r="AK359" t="n">
        <v>5</v>
      </c>
      <c r="AL359" t="n">
        <v>1</v>
      </c>
      <c r="AM359" t="n">
        <v>1</v>
      </c>
      <c r="AN359" t="n">
        <v>0</v>
      </c>
      <c r="AO359" t="n">
        <v>1</v>
      </c>
      <c r="AP359" t="inlineStr">
        <is>
          <t>No</t>
        </is>
      </c>
      <c r="AQ359" t="inlineStr">
        <is>
          <t>No</t>
        </is>
      </c>
      <c r="AS359">
        <f>HYPERLINK("https://creighton-primo.hosted.exlibrisgroup.com/primo-explore/search?tab=default_tab&amp;search_scope=EVERYTHING&amp;vid=01CRU&amp;lang=en_US&amp;offset=0&amp;query=any,contains,991005166329702656","Catalog Record")</f>
        <v/>
      </c>
      <c r="AT359">
        <f>HYPERLINK("http://www.worldcat.org/oclc/7835847","WorldCat Record")</f>
        <v/>
      </c>
      <c r="AU359" t="inlineStr">
        <is>
          <t>13344127:eng</t>
        </is>
      </c>
      <c r="AV359" t="inlineStr">
        <is>
          <t>7835847</t>
        </is>
      </c>
      <c r="AW359" t="inlineStr">
        <is>
          <t>991005166329702656</t>
        </is>
      </c>
      <c r="AX359" t="inlineStr">
        <is>
          <t>991005166329702656</t>
        </is>
      </c>
      <c r="AY359" t="inlineStr">
        <is>
          <t>2255309220002656</t>
        </is>
      </c>
      <c r="AZ359" t="inlineStr">
        <is>
          <t>BOOK</t>
        </is>
      </c>
      <c r="BB359" t="inlineStr">
        <is>
          <t>9780394324166</t>
        </is>
      </c>
      <c r="BC359" t="inlineStr">
        <is>
          <t>32285002294352</t>
        </is>
      </c>
      <c r="BD359" t="inlineStr">
        <is>
          <t>893338634</t>
        </is>
      </c>
    </row>
    <row r="360">
      <c r="A360" t="inlineStr">
        <is>
          <t>No</t>
        </is>
      </c>
      <c r="B360" t="inlineStr">
        <is>
          <t>PE1431 .F35 2006</t>
        </is>
      </c>
      <c r="C360" t="inlineStr">
        <is>
          <t>0                      PE 1431000F  35          2006</t>
        </is>
      </c>
      <c r="D360" t="inlineStr">
        <is>
          <t>Good reasons : designing and writing effective arguments / Lester Faigley, Jack Selzer.</t>
        </is>
      </c>
      <c r="F360" t="inlineStr">
        <is>
          <t>No</t>
        </is>
      </c>
      <c r="G360" t="inlineStr">
        <is>
          <t>1</t>
        </is>
      </c>
      <c r="H360" t="inlineStr">
        <is>
          <t>No</t>
        </is>
      </c>
      <c r="I360" t="inlineStr">
        <is>
          <t>No</t>
        </is>
      </c>
      <c r="J360" t="inlineStr">
        <is>
          <t>0</t>
        </is>
      </c>
      <c r="K360" t="inlineStr">
        <is>
          <t>Faigley, Lester, 1947-</t>
        </is>
      </c>
      <c r="L360" t="inlineStr">
        <is>
          <t>New York : Pearson/Longman, c2006.</t>
        </is>
      </c>
      <c r="M360" t="inlineStr">
        <is>
          <t>2006</t>
        </is>
      </c>
      <c r="N360" t="inlineStr">
        <is>
          <t>3rd ed.</t>
        </is>
      </c>
      <c r="O360" t="inlineStr">
        <is>
          <t>eng</t>
        </is>
      </c>
      <c r="P360" t="inlineStr">
        <is>
          <t>nyu</t>
        </is>
      </c>
      <c r="R360" t="inlineStr">
        <is>
          <t xml:space="preserve">PE </t>
        </is>
      </c>
      <c r="S360" t="n">
        <v>1</v>
      </c>
      <c r="T360" t="n">
        <v>1</v>
      </c>
      <c r="U360" t="inlineStr">
        <is>
          <t>2006-09-20</t>
        </is>
      </c>
      <c r="V360" t="inlineStr">
        <is>
          <t>2006-09-20</t>
        </is>
      </c>
      <c r="W360" t="inlineStr">
        <is>
          <t>2006-09-20</t>
        </is>
      </c>
      <c r="X360" t="inlineStr">
        <is>
          <t>2006-09-20</t>
        </is>
      </c>
      <c r="Y360" t="n">
        <v>84</v>
      </c>
      <c r="Z360" t="n">
        <v>65</v>
      </c>
      <c r="AA360" t="n">
        <v>172</v>
      </c>
      <c r="AB360" t="n">
        <v>1</v>
      </c>
      <c r="AC360" t="n">
        <v>1</v>
      </c>
      <c r="AD360" t="n">
        <v>2</v>
      </c>
      <c r="AE360" t="n">
        <v>5</v>
      </c>
      <c r="AF360" t="n">
        <v>1</v>
      </c>
      <c r="AG360" t="n">
        <v>3</v>
      </c>
      <c r="AH360" t="n">
        <v>1</v>
      </c>
      <c r="AI360" t="n">
        <v>2</v>
      </c>
      <c r="AJ360" t="n">
        <v>0</v>
      </c>
      <c r="AK360" t="n">
        <v>2</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HYPERLINK("https://creighton-primo.hosted.exlibrisgroup.com/primo-explore/search?tab=default_tab&amp;search_scope=EVERYTHING&amp;vid=01CRU&amp;lang=en_US&amp;offset=0&amp;query=any,contains,991004902249702656","Catalog Record")</f>
        <v/>
      </c>
      <c r="AT360">
        <f>HYPERLINK("http://www.worldcat.org/oclc/57352757","WorldCat Record")</f>
        <v/>
      </c>
      <c r="AU360" t="inlineStr">
        <is>
          <t>2260904431:eng</t>
        </is>
      </c>
      <c r="AV360" t="inlineStr">
        <is>
          <t>57352757</t>
        </is>
      </c>
      <c r="AW360" t="inlineStr">
        <is>
          <t>991004902249702656</t>
        </is>
      </c>
      <c r="AX360" t="inlineStr">
        <is>
          <t>991004902249702656</t>
        </is>
      </c>
      <c r="AY360" t="inlineStr">
        <is>
          <t>2268463840002656</t>
        </is>
      </c>
      <c r="AZ360" t="inlineStr">
        <is>
          <t>BOOK</t>
        </is>
      </c>
      <c r="BB360" t="inlineStr">
        <is>
          <t>9780321316813</t>
        </is>
      </c>
      <c r="BC360" t="inlineStr">
        <is>
          <t>32285005224133</t>
        </is>
      </c>
      <c r="BD360" t="inlineStr">
        <is>
          <t>893795374</t>
        </is>
      </c>
    </row>
    <row r="361">
      <c r="A361" t="inlineStr">
        <is>
          <t>No</t>
        </is>
      </c>
      <c r="B361" t="inlineStr">
        <is>
          <t>PE1441 .H37</t>
        </is>
      </c>
      <c r="C361" t="inlineStr">
        <is>
          <t>0                      PE 1441000H  37</t>
        </is>
      </c>
      <c r="D361" t="inlineStr">
        <is>
          <t>Writing mature prose; the mastery of sentence structure.</t>
        </is>
      </c>
      <c r="F361" t="inlineStr">
        <is>
          <t>No</t>
        </is>
      </c>
      <c r="G361" t="inlineStr">
        <is>
          <t>1</t>
        </is>
      </c>
      <c r="H361" t="inlineStr">
        <is>
          <t>No</t>
        </is>
      </c>
      <c r="I361" t="inlineStr">
        <is>
          <t>No</t>
        </is>
      </c>
      <c r="J361" t="inlineStr">
        <is>
          <t>0</t>
        </is>
      </c>
      <c r="K361" t="inlineStr">
        <is>
          <t>Hathaway, Baxter, 1909-1984.</t>
        </is>
      </c>
      <c r="L361" t="inlineStr">
        <is>
          <t>New York, Ronald Press Co. [1951]</t>
        </is>
      </c>
      <c r="M361" t="inlineStr">
        <is>
          <t>1951</t>
        </is>
      </c>
      <c r="O361" t="inlineStr">
        <is>
          <t>eng</t>
        </is>
      </c>
      <c r="P361" t="inlineStr">
        <is>
          <t>nyu</t>
        </is>
      </c>
      <c r="R361" t="inlineStr">
        <is>
          <t xml:space="preserve">PE </t>
        </is>
      </c>
      <c r="S361" t="n">
        <v>0</v>
      </c>
      <c r="T361" t="n">
        <v>0</v>
      </c>
      <c r="U361" t="inlineStr">
        <is>
          <t>2006-01-05</t>
        </is>
      </c>
      <c r="V361" t="inlineStr">
        <is>
          <t>2006-01-05</t>
        </is>
      </c>
      <c r="W361" t="inlineStr">
        <is>
          <t>1997-09-25</t>
        </is>
      </c>
      <c r="X361" t="inlineStr">
        <is>
          <t>1997-09-25</t>
        </is>
      </c>
      <c r="Y361" t="n">
        <v>67</v>
      </c>
      <c r="Z361" t="n">
        <v>59</v>
      </c>
      <c r="AA361" t="n">
        <v>61</v>
      </c>
      <c r="AB361" t="n">
        <v>2</v>
      </c>
      <c r="AC361" t="n">
        <v>2</v>
      </c>
      <c r="AD361" t="n">
        <v>3</v>
      </c>
      <c r="AE361" t="n">
        <v>3</v>
      </c>
      <c r="AF361" t="n">
        <v>1</v>
      </c>
      <c r="AG361" t="n">
        <v>1</v>
      </c>
      <c r="AH361" t="n">
        <v>0</v>
      </c>
      <c r="AI361" t="n">
        <v>0</v>
      </c>
      <c r="AJ361" t="n">
        <v>1</v>
      </c>
      <c r="AK361" t="n">
        <v>1</v>
      </c>
      <c r="AL361" t="n">
        <v>1</v>
      </c>
      <c r="AM361" t="n">
        <v>1</v>
      </c>
      <c r="AN361" t="n">
        <v>0</v>
      </c>
      <c r="AO361" t="n">
        <v>0</v>
      </c>
      <c r="AP361" t="inlineStr">
        <is>
          <t>No</t>
        </is>
      </c>
      <c r="AQ361" t="inlineStr">
        <is>
          <t>No</t>
        </is>
      </c>
      <c r="AR361">
        <f>HYPERLINK("http://catalog.hathitrust.org/Record/002139660","HathiTrust Record")</f>
        <v/>
      </c>
      <c r="AS361">
        <f>HYPERLINK("https://creighton-primo.hosted.exlibrisgroup.com/primo-explore/search?tab=default_tab&amp;search_scope=EVERYTHING&amp;vid=01CRU&amp;lang=en_US&amp;offset=0&amp;query=any,contains,991003517079702656","Catalog Record")</f>
        <v/>
      </c>
      <c r="AT361">
        <f>HYPERLINK("http://www.worldcat.org/oclc/1075280","WorldCat Record")</f>
        <v/>
      </c>
      <c r="AU361" t="inlineStr">
        <is>
          <t>2034817:eng</t>
        </is>
      </c>
      <c r="AV361" t="inlineStr">
        <is>
          <t>1075280</t>
        </is>
      </c>
      <c r="AW361" t="inlineStr">
        <is>
          <t>991003517079702656</t>
        </is>
      </c>
      <c r="AX361" t="inlineStr">
        <is>
          <t>991003517079702656</t>
        </is>
      </c>
      <c r="AY361" t="inlineStr">
        <is>
          <t>2258046330002656</t>
        </is>
      </c>
      <c r="AZ361" t="inlineStr">
        <is>
          <t>BOOK</t>
        </is>
      </c>
      <c r="BC361" t="inlineStr">
        <is>
          <t>32285003247565</t>
        </is>
      </c>
      <c r="BD361" t="inlineStr">
        <is>
          <t>893410360</t>
        </is>
      </c>
    </row>
    <row r="362">
      <c r="A362" t="inlineStr">
        <is>
          <t>No</t>
        </is>
      </c>
      <c r="B362" t="inlineStr">
        <is>
          <t>PE1442 .R38 1989</t>
        </is>
      </c>
      <c r="C362" t="inlineStr">
        <is>
          <t>0                      PE 1442000R  38          1989</t>
        </is>
      </c>
      <c r="D362" t="inlineStr">
        <is>
          <t>Clichés and coinages / Walter Redfern.</t>
        </is>
      </c>
      <c r="F362" t="inlineStr">
        <is>
          <t>No</t>
        </is>
      </c>
      <c r="G362" t="inlineStr">
        <is>
          <t>1</t>
        </is>
      </c>
      <c r="H362" t="inlineStr">
        <is>
          <t>No</t>
        </is>
      </c>
      <c r="I362" t="inlineStr">
        <is>
          <t>No</t>
        </is>
      </c>
      <c r="J362" t="inlineStr">
        <is>
          <t>0</t>
        </is>
      </c>
      <c r="K362" t="inlineStr">
        <is>
          <t>Redfern, W. D.</t>
        </is>
      </c>
      <c r="L362" t="inlineStr">
        <is>
          <t>Oxford, UK ; New York, NY, USA : Blackwell, 1989.</t>
        </is>
      </c>
      <c r="M362" t="inlineStr">
        <is>
          <t>1989</t>
        </is>
      </c>
      <c r="O362" t="inlineStr">
        <is>
          <t>eng</t>
        </is>
      </c>
      <c r="P362" t="inlineStr">
        <is>
          <t>enk</t>
        </is>
      </c>
      <c r="R362" t="inlineStr">
        <is>
          <t xml:space="preserve">PE </t>
        </is>
      </c>
      <c r="S362" t="n">
        <v>3</v>
      </c>
      <c r="T362" t="n">
        <v>3</v>
      </c>
      <c r="U362" t="inlineStr">
        <is>
          <t>1993-03-17</t>
        </is>
      </c>
      <c r="V362" t="inlineStr">
        <is>
          <t>1993-03-17</t>
        </is>
      </c>
      <c r="W362" t="inlineStr">
        <is>
          <t>1990-08-08</t>
        </is>
      </c>
      <c r="X362" t="inlineStr">
        <is>
          <t>1990-08-08</t>
        </is>
      </c>
      <c r="Y362" t="n">
        <v>294</v>
      </c>
      <c r="Z362" t="n">
        <v>182</v>
      </c>
      <c r="AA362" t="n">
        <v>187</v>
      </c>
      <c r="AB362" t="n">
        <v>2</v>
      </c>
      <c r="AC362" t="n">
        <v>2</v>
      </c>
      <c r="AD362" t="n">
        <v>5</v>
      </c>
      <c r="AE362" t="n">
        <v>5</v>
      </c>
      <c r="AF362" t="n">
        <v>0</v>
      </c>
      <c r="AG362" t="n">
        <v>0</v>
      </c>
      <c r="AH362" t="n">
        <v>2</v>
      </c>
      <c r="AI362" t="n">
        <v>2</v>
      </c>
      <c r="AJ362" t="n">
        <v>3</v>
      </c>
      <c r="AK362" t="n">
        <v>3</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HYPERLINK("https://creighton-primo.hosted.exlibrisgroup.com/primo-explore/search?tab=default_tab&amp;search_scope=EVERYTHING&amp;vid=01CRU&amp;lang=en_US&amp;offset=0&amp;query=any,contains,991001448949702656","Catalog Record")</f>
        <v/>
      </c>
      <c r="AT362">
        <f>HYPERLINK("http://www.worldcat.org/oclc/19322565","WorldCat Record")</f>
        <v/>
      </c>
      <c r="AU362" t="inlineStr">
        <is>
          <t>18153228:eng</t>
        </is>
      </c>
      <c r="AV362" t="inlineStr">
        <is>
          <t>19322565</t>
        </is>
      </c>
      <c r="AW362" t="inlineStr">
        <is>
          <t>991001448949702656</t>
        </is>
      </c>
      <c r="AX362" t="inlineStr">
        <is>
          <t>991001448949702656</t>
        </is>
      </c>
      <c r="AY362" t="inlineStr">
        <is>
          <t>2266803780002656</t>
        </is>
      </c>
      <c r="AZ362" t="inlineStr">
        <is>
          <t>BOOK</t>
        </is>
      </c>
      <c r="BB362" t="inlineStr">
        <is>
          <t>9780631156918</t>
        </is>
      </c>
      <c r="BC362" t="inlineStr">
        <is>
          <t>32285000242767</t>
        </is>
      </c>
      <c r="BD362" t="inlineStr">
        <is>
          <t>893321976</t>
        </is>
      </c>
    </row>
    <row r="363">
      <c r="A363" t="inlineStr">
        <is>
          <t>No</t>
        </is>
      </c>
      <c r="B363" t="inlineStr">
        <is>
          <t>PE1449 .B635 1985</t>
        </is>
      </c>
      <c r="C363" t="inlineStr">
        <is>
          <t>0                      PE 1449000B  635         1985</t>
        </is>
      </c>
      <c r="D363" t="inlineStr">
        <is>
          <t>The superior person's book of words / Peter Bowler.</t>
        </is>
      </c>
      <c r="F363" t="inlineStr">
        <is>
          <t>No</t>
        </is>
      </c>
      <c r="G363" t="inlineStr">
        <is>
          <t>1</t>
        </is>
      </c>
      <c r="H363" t="inlineStr">
        <is>
          <t>No</t>
        </is>
      </c>
      <c r="I363" t="inlineStr">
        <is>
          <t>No</t>
        </is>
      </c>
      <c r="J363" t="inlineStr">
        <is>
          <t>0</t>
        </is>
      </c>
      <c r="K363" t="inlineStr">
        <is>
          <t>Bowler, Peter.</t>
        </is>
      </c>
      <c r="L363" t="inlineStr">
        <is>
          <t>Boston : D.R. Godine, 1985, c1982.</t>
        </is>
      </c>
      <c r="M363" t="inlineStr">
        <is>
          <t>1985</t>
        </is>
      </c>
      <c r="N363" t="inlineStr">
        <is>
          <t>1st U.S. ed.</t>
        </is>
      </c>
      <c r="O363" t="inlineStr">
        <is>
          <t>eng</t>
        </is>
      </c>
      <c r="P363" t="inlineStr">
        <is>
          <t>mau</t>
        </is>
      </c>
      <c r="R363" t="inlineStr">
        <is>
          <t xml:space="preserve">PE </t>
        </is>
      </c>
      <c r="S363" t="n">
        <v>4</v>
      </c>
      <c r="T363" t="n">
        <v>4</v>
      </c>
      <c r="U363" t="inlineStr">
        <is>
          <t>2009-10-26</t>
        </is>
      </c>
      <c r="V363" t="inlineStr">
        <is>
          <t>2009-10-26</t>
        </is>
      </c>
      <c r="W363" t="inlineStr">
        <is>
          <t>2000-10-03</t>
        </is>
      </c>
      <c r="X363" t="inlineStr">
        <is>
          <t>2000-10-03</t>
        </is>
      </c>
      <c r="Y363" t="n">
        <v>501</v>
      </c>
      <c r="Z363" t="n">
        <v>490</v>
      </c>
      <c r="AA363" t="n">
        <v>574</v>
      </c>
      <c r="AB363" t="n">
        <v>6</v>
      </c>
      <c r="AC363" t="n">
        <v>6</v>
      </c>
      <c r="AD363" t="n">
        <v>13</v>
      </c>
      <c r="AE363" t="n">
        <v>13</v>
      </c>
      <c r="AF363" t="n">
        <v>7</v>
      </c>
      <c r="AG363" t="n">
        <v>7</v>
      </c>
      <c r="AH363" t="n">
        <v>2</v>
      </c>
      <c r="AI363" t="n">
        <v>2</v>
      </c>
      <c r="AJ363" t="n">
        <v>7</v>
      </c>
      <c r="AK363" t="n">
        <v>7</v>
      </c>
      <c r="AL363" t="n">
        <v>0</v>
      </c>
      <c r="AM363" t="n">
        <v>0</v>
      </c>
      <c r="AN363" t="n">
        <v>2</v>
      </c>
      <c r="AO363" t="n">
        <v>2</v>
      </c>
      <c r="AP363" t="inlineStr">
        <is>
          <t>No</t>
        </is>
      </c>
      <c r="AQ363" t="inlineStr">
        <is>
          <t>Yes</t>
        </is>
      </c>
      <c r="AR363">
        <f>HYPERLINK("http://catalog.hathitrust.org/Record/003531479","HathiTrust Record")</f>
        <v/>
      </c>
      <c r="AS363">
        <f>HYPERLINK("https://creighton-primo.hosted.exlibrisgroup.com/primo-explore/search?tab=default_tab&amp;search_scope=EVERYTHING&amp;vid=01CRU&amp;lang=en_US&amp;offset=0&amp;query=any,contains,991003261749702656","Catalog Record")</f>
        <v/>
      </c>
      <c r="AT363">
        <f>HYPERLINK("http://www.worldcat.org/oclc/11757334","WorldCat Record")</f>
        <v/>
      </c>
      <c r="AU363" t="inlineStr">
        <is>
          <t>4328362:eng</t>
        </is>
      </c>
      <c r="AV363" t="inlineStr">
        <is>
          <t>11757334</t>
        </is>
      </c>
      <c r="AW363" t="inlineStr">
        <is>
          <t>991003261749702656</t>
        </is>
      </c>
      <c r="AX363" t="inlineStr">
        <is>
          <t>991003261749702656</t>
        </is>
      </c>
      <c r="AY363" t="inlineStr">
        <is>
          <t>2269917730002656</t>
        </is>
      </c>
      <c r="AZ363" t="inlineStr">
        <is>
          <t>BOOK</t>
        </is>
      </c>
      <c r="BB363" t="inlineStr">
        <is>
          <t>9780879235567</t>
        </is>
      </c>
      <c r="BC363" t="inlineStr">
        <is>
          <t>32285003766051</t>
        </is>
      </c>
      <c r="BD363" t="inlineStr">
        <is>
          <t>893721867</t>
        </is>
      </c>
    </row>
    <row r="364">
      <c r="A364" t="inlineStr">
        <is>
          <t>No</t>
        </is>
      </c>
      <c r="B364" t="inlineStr">
        <is>
          <t>PE1449 .B69 2005</t>
        </is>
      </c>
      <c r="C364" t="inlineStr">
        <is>
          <t>0                      PE 1449000B  69          2005</t>
        </is>
      </c>
      <c r="D364" t="inlineStr">
        <is>
          <t>601 words you need to know to pass your exam / by Murray Bromberg, Julius Liebb.</t>
        </is>
      </c>
      <c r="F364" t="inlineStr">
        <is>
          <t>No</t>
        </is>
      </c>
      <c r="G364" t="inlineStr">
        <is>
          <t>1</t>
        </is>
      </c>
      <c r="H364" t="inlineStr">
        <is>
          <t>No</t>
        </is>
      </c>
      <c r="I364" t="inlineStr">
        <is>
          <t>No</t>
        </is>
      </c>
      <c r="J364" t="inlineStr">
        <is>
          <t>0</t>
        </is>
      </c>
      <c r="K364" t="inlineStr">
        <is>
          <t>Bromberg, Murray.</t>
        </is>
      </c>
      <c r="L364" t="inlineStr">
        <is>
          <t>Hauppauge, N.Y. : Barron's, 2005.</t>
        </is>
      </c>
      <c r="M364" t="inlineStr">
        <is>
          <t>2005</t>
        </is>
      </c>
      <c r="N364" t="inlineStr">
        <is>
          <t>4th ed.</t>
        </is>
      </c>
      <c r="O364" t="inlineStr">
        <is>
          <t>eng</t>
        </is>
      </c>
      <c r="P364" t="inlineStr">
        <is>
          <t>nyu</t>
        </is>
      </c>
      <c r="R364" t="inlineStr">
        <is>
          <t xml:space="preserve">PE </t>
        </is>
      </c>
      <c r="S364" t="n">
        <v>1</v>
      </c>
      <c r="T364" t="n">
        <v>1</v>
      </c>
      <c r="U364" t="inlineStr">
        <is>
          <t>2009-01-21</t>
        </is>
      </c>
      <c r="V364" t="inlineStr">
        <is>
          <t>2009-01-21</t>
        </is>
      </c>
      <c r="W364" t="inlineStr">
        <is>
          <t>2009-01-21</t>
        </is>
      </c>
      <c r="X364" t="inlineStr">
        <is>
          <t>2009-01-21</t>
        </is>
      </c>
      <c r="Y364" t="n">
        <v>190</v>
      </c>
      <c r="Z364" t="n">
        <v>160</v>
      </c>
      <c r="AA364" t="n">
        <v>423</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HYPERLINK("https://creighton-primo.hosted.exlibrisgroup.com/primo-explore/search?tab=default_tab&amp;search_scope=EVERYTHING&amp;vid=01CRU&amp;lang=en_US&amp;offset=0&amp;query=any,contains,991005288719702656","Catalog Record")</f>
        <v/>
      </c>
      <c r="AT364">
        <f>HYPERLINK("http://www.worldcat.org/oclc/54503832","WorldCat Record")</f>
        <v/>
      </c>
      <c r="AU364" t="inlineStr">
        <is>
          <t>947819:eng</t>
        </is>
      </c>
      <c r="AV364" t="inlineStr">
        <is>
          <t>54503832</t>
        </is>
      </c>
      <c r="AW364" t="inlineStr">
        <is>
          <t>991005288719702656</t>
        </is>
      </c>
      <c r="AX364" t="inlineStr">
        <is>
          <t>991005288719702656</t>
        </is>
      </c>
      <c r="AY364" t="inlineStr">
        <is>
          <t>2266102320002656</t>
        </is>
      </c>
      <c r="AZ364" t="inlineStr">
        <is>
          <t>BOOK</t>
        </is>
      </c>
      <c r="BB364" t="inlineStr">
        <is>
          <t>9780764128165</t>
        </is>
      </c>
      <c r="BC364" t="inlineStr">
        <is>
          <t>32285005500375</t>
        </is>
      </c>
      <c r="BD364" t="inlineStr">
        <is>
          <t>893695079</t>
        </is>
      </c>
    </row>
    <row r="365">
      <c r="A365" t="inlineStr">
        <is>
          <t>No</t>
        </is>
      </c>
      <c r="B365" t="inlineStr">
        <is>
          <t>PE1449 .B8</t>
        </is>
      </c>
      <c r="C365" t="inlineStr">
        <is>
          <t>0                      PE 1449000B  8</t>
        </is>
      </c>
      <c r="D365" t="inlineStr">
        <is>
          <t>Vocabulary improvement / by Llewellyn Morgan Buell.</t>
        </is>
      </c>
      <c r="F365" t="inlineStr">
        <is>
          <t>No</t>
        </is>
      </c>
      <c r="G365" t="inlineStr">
        <is>
          <t>1</t>
        </is>
      </c>
      <c r="H365" t="inlineStr">
        <is>
          <t>No</t>
        </is>
      </c>
      <c r="I365" t="inlineStr">
        <is>
          <t>No</t>
        </is>
      </c>
      <c r="J365" t="inlineStr">
        <is>
          <t>0</t>
        </is>
      </c>
      <c r="K365" t="inlineStr">
        <is>
          <t>Buell, Llewellyn M. (Llewellyn Morgan)</t>
        </is>
      </c>
      <c r="L365" t="inlineStr">
        <is>
          <t>New York : Farrar &amp; Rinehart, inc., [c1939]</t>
        </is>
      </c>
      <c r="M365" t="inlineStr">
        <is>
          <t>1939</t>
        </is>
      </c>
      <c r="O365" t="inlineStr">
        <is>
          <t>eng</t>
        </is>
      </c>
      <c r="P365" t="inlineStr">
        <is>
          <t>nyu</t>
        </is>
      </c>
      <c r="R365" t="inlineStr">
        <is>
          <t xml:space="preserve">PE </t>
        </is>
      </c>
      <c r="S365" t="n">
        <v>3</v>
      </c>
      <c r="T365" t="n">
        <v>3</v>
      </c>
      <c r="U365" t="inlineStr">
        <is>
          <t>1998-09-16</t>
        </is>
      </c>
      <c r="V365" t="inlineStr">
        <is>
          <t>1998-09-16</t>
        </is>
      </c>
      <c r="W365" t="inlineStr">
        <is>
          <t>1993-02-23</t>
        </is>
      </c>
      <c r="X365" t="inlineStr">
        <is>
          <t>1993-02-23</t>
        </is>
      </c>
      <c r="Y365" t="n">
        <v>29</v>
      </c>
      <c r="Z365" t="n">
        <v>29</v>
      </c>
      <c r="AA365" t="n">
        <v>29</v>
      </c>
      <c r="AB365" t="n">
        <v>1</v>
      </c>
      <c r="AC365" t="n">
        <v>1</v>
      </c>
      <c r="AD365" t="n">
        <v>3</v>
      </c>
      <c r="AE365" t="n">
        <v>3</v>
      </c>
      <c r="AF365" t="n">
        <v>1</v>
      </c>
      <c r="AG365" t="n">
        <v>1</v>
      </c>
      <c r="AH365" t="n">
        <v>1</v>
      </c>
      <c r="AI365" t="n">
        <v>1</v>
      </c>
      <c r="AJ365" t="n">
        <v>2</v>
      </c>
      <c r="AK365" t="n">
        <v>2</v>
      </c>
      <c r="AL365" t="n">
        <v>0</v>
      </c>
      <c r="AM365" t="n">
        <v>0</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HYPERLINK("https://creighton-primo.hosted.exlibrisgroup.com/primo-explore/search?tab=default_tab&amp;search_scope=EVERYTHING&amp;vid=01CRU&amp;lang=en_US&amp;offset=0&amp;query=any,contains,991004234719702656","Catalog Record")</f>
        <v/>
      </c>
      <c r="AT365">
        <f>HYPERLINK("http://www.worldcat.org/oclc/2761355","WorldCat Record")</f>
        <v/>
      </c>
      <c r="AU365" t="inlineStr">
        <is>
          <t>5886379:eng</t>
        </is>
      </c>
      <c r="AV365" t="inlineStr">
        <is>
          <t>2761355</t>
        </is>
      </c>
      <c r="AW365" t="inlineStr">
        <is>
          <t>991004234719702656</t>
        </is>
      </c>
      <c r="AX365" t="inlineStr">
        <is>
          <t>991004234719702656</t>
        </is>
      </c>
      <c r="AY365" t="inlineStr">
        <is>
          <t>2271987460002656</t>
        </is>
      </c>
      <c r="AZ365" t="inlineStr">
        <is>
          <t>BOOK</t>
        </is>
      </c>
      <c r="BC365" t="inlineStr">
        <is>
          <t>32285001503548</t>
        </is>
      </c>
      <c r="BD365" t="inlineStr">
        <is>
          <t>893894732</t>
        </is>
      </c>
    </row>
    <row r="366">
      <c r="A366" t="inlineStr">
        <is>
          <t>No</t>
        </is>
      </c>
      <c r="B366" t="inlineStr">
        <is>
          <t>PE1449 .D42 1966</t>
        </is>
      </c>
      <c r="C366" t="inlineStr">
        <is>
          <t>0                      PE 1449000D  42          1966</t>
        </is>
      </c>
      <c r="D366" t="inlineStr">
        <is>
          <t>Words in context : a vocabularly builder / by A.A. De Vitis and J.R. Warner.</t>
        </is>
      </c>
      <c r="F366" t="inlineStr">
        <is>
          <t>No</t>
        </is>
      </c>
      <c r="G366" t="inlineStr">
        <is>
          <t>1</t>
        </is>
      </c>
      <c r="H366" t="inlineStr">
        <is>
          <t>No</t>
        </is>
      </c>
      <c r="I366" t="inlineStr">
        <is>
          <t>No</t>
        </is>
      </c>
      <c r="J366" t="inlineStr">
        <is>
          <t>0</t>
        </is>
      </c>
      <c r="K366" t="inlineStr">
        <is>
          <t>De Vitis, A. A.</t>
        </is>
      </c>
      <c r="L366" t="inlineStr">
        <is>
          <t>New York : Appleton-Century-Crofts, 1966.</t>
        </is>
      </c>
      <c r="M366" t="inlineStr">
        <is>
          <t>1966</t>
        </is>
      </c>
      <c r="N366" t="inlineStr">
        <is>
          <t>2d ed.</t>
        </is>
      </c>
      <c r="O366" t="inlineStr">
        <is>
          <t>eng</t>
        </is>
      </c>
      <c r="P366" t="inlineStr">
        <is>
          <t>nyu</t>
        </is>
      </c>
      <c r="R366" t="inlineStr">
        <is>
          <t xml:space="preserve">PE </t>
        </is>
      </c>
      <c r="S366" t="n">
        <v>5</v>
      </c>
      <c r="T366" t="n">
        <v>5</v>
      </c>
      <c r="U366" t="inlineStr">
        <is>
          <t>1993-04-15</t>
        </is>
      </c>
      <c r="V366" t="inlineStr">
        <is>
          <t>1993-04-15</t>
        </is>
      </c>
      <c r="W366" t="inlineStr">
        <is>
          <t>1993-02-23</t>
        </is>
      </c>
      <c r="X366" t="inlineStr">
        <is>
          <t>1993-02-23</t>
        </is>
      </c>
      <c r="Y366" t="n">
        <v>145</v>
      </c>
      <c r="Z366" t="n">
        <v>129</v>
      </c>
      <c r="AA366" t="n">
        <v>153</v>
      </c>
      <c r="AB366" t="n">
        <v>3</v>
      </c>
      <c r="AC366" t="n">
        <v>4</v>
      </c>
      <c r="AD366" t="n">
        <v>3</v>
      </c>
      <c r="AE366" t="n">
        <v>5</v>
      </c>
      <c r="AF366" t="n">
        <v>1</v>
      </c>
      <c r="AG366" t="n">
        <v>2</v>
      </c>
      <c r="AH366" t="n">
        <v>1</v>
      </c>
      <c r="AI366" t="n">
        <v>1</v>
      </c>
      <c r="AJ366" t="n">
        <v>0</v>
      </c>
      <c r="AK366" t="n">
        <v>0</v>
      </c>
      <c r="AL366" t="n">
        <v>2</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HYPERLINK("https://creighton-primo.hosted.exlibrisgroup.com/primo-explore/search?tab=default_tab&amp;search_scope=EVERYTHING&amp;vid=01CRU&amp;lang=en_US&amp;offset=0&amp;query=any,contains,991000881529702656","Catalog Record")</f>
        <v/>
      </c>
      <c r="AT366">
        <f>HYPERLINK("http://www.worldcat.org/oclc/13834946","WorldCat Record")</f>
        <v/>
      </c>
      <c r="AU366" t="inlineStr">
        <is>
          <t>287587148:eng</t>
        </is>
      </c>
      <c r="AV366" t="inlineStr">
        <is>
          <t>13834946</t>
        </is>
      </c>
      <c r="AW366" t="inlineStr">
        <is>
          <t>991000881529702656</t>
        </is>
      </c>
      <c r="AX366" t="inlineStr">
        <is>
          <t>991000881529702656</t>
        </is>
      </c>
      <c r="AY366" t="inlineStr">
        <is>
          <t>2265273380002656</t>
        </is>
      </c>
      <c r="AZ366" t="inlineStr">
        <is>
          <t>BOOK</t>
        </is>
      </c>
      <c r="BC366" t="inlineStr">
        <is>
          <t>32285001503530</t>
        </is>
      </c>
      <c r="BD366" t="inlineStr">
        <is>
          <t>893243686</t>
        </is>
      </c>
    </row>
    <row r="367">
      <c r="A367" t="inlineStr">
        <is>
          <t>No</t>
        </is>
      </c>
      <c r="B367" t="inlineStr">
        <is>
          <t>PE1449 .E45 1996</t>
        </is>
      </c>
      <c r="C367" t="inlineStr">
        <is>
          <t>0                      PE 1449000E  45          1996</t>
        </is>
      </c>
      <c r="D367" t="inlineStr">
        <is>
          <t>There's a word for it! : a grandiloquent guide to life / Charles Harrington Elster.</t>
        </is>
      </c>
      <c r="F367" t="inlineStr">
        <is>
          <t>No</t>
        </is>
      </c>
      <c r="G367" t="inlineStr">
        <is>
          <t>1</t>
        </is>
      </c>
      <c r="H367" t="inlineStr">
        <is>
          <t>No</t>
        </is>
      </c>
      <c r="I367" t="inlineStr">
        <is>
          <t>No</t>
        </is>
      </c>
      <c r="J367" t="inlineStr">
        <is>
          <t>0</t>
        </is>
      </c>
      <c r="K367" t="inlineStr">
        <is>
          <t>Elster, Charles Harrington.</t>
        </is>
      </c>
      <c r="L367" t="inlineStr">
        <is>
          <t>New York, NY : Scribner, c1996.</t>
        </is>
      </c>
      <c r="M367" t="inlineStr">
        <is>
          <t>1996</t>
        </is>
      </c>
      <c r="O367" t="inlineStr">
        <is>
          <t>eng</t>
        </is>
      </c>
      <c r="P367" t="inlineStr">
        <is>
          <t>nyu</t>
        </is>
      </c>
      <c r="R367" t="inlineStr">
        <is>
          <t xml:space="preserve">PE </t>
        </is>
      </c>
      <c r="S367" t="n">
        <v>5</v>
      </c>
      <c r="T367" t="n">
        <v>5</v>
      </c>
      <c r="U367" t="inlineStr">
        <is>
          <t>2003-04-11</t>
        </is>
      </c>
      <c r="V367" t="inlineStr">
        <is>
          <t>2003-04-11</t>
        </is>
      </c>
      <c r="W367" t="inlineStr">
        <is>
          <t>1997-01-09</t>
        </is>
      </c>
      <c r="X367" t="inlineStr">
        <is>
          <t>1997-01-09</t>
        </is>
      </c>
      <c r="Y367" t="n">
        <v>402</v>
      </c>
      <c r="Z367" t="n">
        <v>375</v>
      </c>
      <c r="AA367" t="n">
        <v>412</v>
      </c>
      <c r="AB367" t="n">
        <v>3</v>
      </c>
      <c r="AC367" t="n">
        <v>3</v>
      </c>
      <c r="AD367" t="n">
        <v>3</v>
      </c>
      <c r="AE367" t="n">
        <v>3</v>
      </c>
      <c r="AF367" t="n">
        <v>0</v>
      </c>
      <c r="AG367" t="n">
        <v>0</v>
      </c>
      <c r="AH367" t="n">
        <v>1</v>
      </c>
      <c r="AI367" t="n">
        <v>1</v>
      </c>
      <c r="AJ367" t="n">
        <v>0</v>
      </c>
      <c r="AK367" t="n">
        <v>0</v>
      </c>
      <c r="AL367" t="n">
        <v>2</v>
      </c>
      <c r="AM367" t="n">
        <v>2</v>
      </c>
      <c r="AN367" t="n">
        <v>0</v>
      </c>
      <c r="AO367" t="n">
        <v>0</v>
      </c>
      <c r="AP367" t="inlineStr">
        <is>
          <t>No</t>
        </is>
      </c>
      <c r="AQ367" t="inlineStr">
        <is>
          <t>Yes</t>
        </is>
      </c>
      <c r="AR367">
        <f>HYPERLINK("http://catalog.hathitrust.org/Record/003085858","HathiTrust Record")</f>
        <v/>
      </c>
      <c r="AS367">
        <f>HYPERLINK("https://creighton-primo.hosted.exlibrisgroup.com/primo-explore/search?tab=default_tab&amp;search_scope=EVERYTHING&amp;vid=01CRU&amp;lang=en_US&amp;offset=0&amp;query=any,contains,991002633029702656","Catalog Record")</f>
        <v/>
      </c>
      <c r="AT367">
        <f>HYPERLINK("http://www.worldcat.org/oclc/34514386","WorldCat Record")</f>
        <v/>
      </c>
      <c r="AU367" t="inlineStr">
        <is>
          <t>904674645:eng</t>
        </is>
      </c>
      <c r="AV367" t="inlineStr">
        <is>
          <t>34514386</t>
        </is>
      </c>
      <c r="AW367" t="inlineStr">
        <is>
          <t>991002633029702656</t>
        </is>
      </c>
      <c r="AX367" t="inlineStr">
        <is>
          <t>991002633029702656</t>
        </is>
      </c>
      <c r="AY367" t="inlineStr">
        <is>
          <t>2255710280002656</t>
        </is>
      </c>
      <c r="AZ367" t="inlineStr">
        <is>
          <t>BOOK</t>
        </is>
      </c>
      <c r="BB367" t="inlineStr">
        <is>
          <t>9780684824550</t>
        </is>
      </c>
      <c r="BC367" t="inlineStr">
        <is>
          <t>32285002405842</t>
        </is>
      </c>
      <c r="BD367" t="inlineStr">
        <is>
          <t>893523854</t>
        </is>
      </c>
    </row>
    <row r="368">
      <c r="A368" t="inlineStr">
        <is>
          <t>No</t>
        </is>
      </c>
      <c r="B368" t="inlineStr">
        <is>
          <t>PE1449 .S624</t>
        </is>
      </c>
      <c r="C368" t="inlineStr">
        <is>
          <t>0                      PE 1449000S  624</t>
        </is>
      </c>
      <c r="D368" t="inlineStr">
        <is>
          <t>How to double your vocabulary.</t>
        </is>
      </c>
      <c r="F368" t="inlineStr">
        <is>
          <t>No</t>
        </is>
      </c>
      <c r="G368" t="inlineStr">
        <is>
          <t>1</t>
        </is>
      </c>
      <c r="H368" t="inlineStr">
        <is>
          <t>No</t>
        </is>
      </c>
      <c r="I368" t="inlineStr">
        <is>
          <t>No</t>
        </is>
      </c>
      <c r="J368" t="inlineStr">
        <is>
          <t>0</t>
        </is>
      </c>
      <c r="K368" t="inlineStr">
        <is>
          <t>Smith, S. Stephenson (Samuel Stephenson), 1897-1961.</t>
        </is>
      </c>
      <c r="L368" t="inlineStr">
        <is>
          <t>New York, T. Y. Crowell Co. [1947]</t>
        </is>
      </c>
      <c r="M368" t="inlineStr">
        <is>
          <t>1947</t>
        </is>
      </c>
      <c r="O368" t="inlineStr">
        <is>
          <t>eng</t>
        </is>
      </c>
      <c r="P368" t="inlineStr">
        <is>
          <t xml:space="preserve">xx </t>
        </is>
      </c>
      <c r="R368" t="inlineStr">
        <is>
          <t xml:space="preserve">PE </t>
        </is>
      </c>
      <c r="S368" t="n">
        <v>1</v>
      </c>
      <c r="T368" t="n">
        <v>1</v>
      </c>
      <c r="U368" t="inlineStr">
        <is>
          <t>2005-01-18</t>
        </is>
      </c>
      <c r="V368" t="inlineStr">
        <is>
          <t>2005-01-18</t>
        </is>
      </c>
      <c r="W368" t="inlineStr">
        <is>
          <t>1997-09-25</t>
        </is>
      </c>
      <c r="X368" t="inlineStr">
        <is>
          <t>1997-09-25</t>
        </is>
      </c>
      <c r="Y368" t="n">
        <v>105</v>
      </c>
      <c r="Z368" t="n">
        <v>101</v>
      </c>
      <c r="AA368" t="n">
        <v>246</v>
      </c>
      <c r="AB368" t="n">
        <v>3</v>
      </c>
      <c r="AC368" t="n">
        <v>3</v>
      </c>
      <c r="AD368" t="n">
        <v>4</v>
      </c>
      <c r="AE368" t="n">
        <v>4</v>
      </c>
      <c r="AF368" t="n">
        <v>2</v>
      </c>
      <c r="AG368" t="n">
        <v>2</v>
      </c>
      <c r="AH368" t="n">
        <v>1</v>
      </c>
      <c r="AI368" t="n">
        <v>1</v>
      </c>
      <c r="AJ368" t="n">
        <v>0</v>
      </c>
      <c r="AK368" t="n">
        <v>0</v>
      </c>
      <c r="AL368" t="n">
        <v>2</v>
      </c>
      <c r="AM368" t="n">
        <v>2</v>
      </c>
      <c r="AN368" t="n">
        <v>0</v>
      </c>
      <c r="AO368" t="n">
        <v>0</v>
      </c>
      <c r="AP368" t="inlineStr">
        <is>
          <t>No</t>
        </is>
      </c>
      <c r="AQ368" t="inlineStr">
        <is>
          <t>Yes</t>
        </is>
      </c>
      <c r="AR368">
        <f>HYPERLINK("http://catalog.hathitrust.org/Record/101860191","HathiTrust Record")</f>
        <v/>
      </c>
      <c r="AS368">
        <f>HYPERLINK("https://creighton-primo.hosted.exlibrisgroup.com/primo-explore/search?tab=default_tab&amp;search_scope=EVERYTHING&amp;vid=01CRU&amp;lang=en_US&amp;offset=0&amp;query=any,contains,991003096639702656","Catalog Record")</f>
        <v/>
      </c>
      <c r="AT368">
        <f>HYPERLINK("http://www.worldcat.org/oclc/646286","WorldCat Record")</f>
        <v/>
      </c>
      <c r="AU368" t="inlineStr">
        <is>
          <t>422817380:eng</t>
        </is>
      </c>
      <c r="AV368" t="inlineStr">
        <is>
          <t>646286</t>
        </is>
      </c>
      <c r="AW368" t="inlineStr">
        <is>
          <t>991003096639702656</t>
        </is>
      </c>
      <c r="AX368" t="inlineStr">
        <is>
          <t>991003096639702656</t>
        </is>
      </c>
      <c r="AY368" t="inlineStr">
        <is>
          <t>2260016100002656</t>
        </is>
      </c>
      <c r="AZ368" t="inlineStr">
        <is>
          <t>BOOK</t>
        </is>
      </c>
      <c r="BC368" t="inlineStr">
        <is>
          <t>32285003247680</t>
        </is>
      </c>
      <c r="BD368" t="inlineStr">
        <is>
          <t>893786964</t>
        </is>
      </c>
    </row>
    <row r="369">
      <c r="A369" t="inlineStr">
        <is>
          <t>No</t>
        </is>
      </c>
      <c r="B369" t="inlineStr">
        <is>
          <t>PE1449 .U47 2004</t>
        </is>
      </c>
      <c r="C369" t="inlineStr">
        <is>
          <t>0                      PE 1449000U  47          2004</t>
        </is>
      </c>
      <c r="D369" t="inlineStr">
        <is>
          <t>Words, words, words! Ready-to-use games and activities for vocabulary building, grades 7-12 / [by] Jack Umstatter.</t>
        </is>
      </c>
      <c r="F369" t="inlineStr">
        <is>
          <t>No</t>
        </is>
      </c>
      <c r="G369" t="inlineStr">
        <is>
          <t>1</t>
        </is>
      </c>
      <c r="H369" t="inlineStr">
        <is>
          <t>No</t>
        </is>
      </c>
      <c r="I369" t="inlineStr">
        <is>
          <t>No</t>
        </is>
      </c>
      <c r="J369" t="inlineStr">
        <is>
          <t>0</t>
        </is>
      </c>
      <c r="K369" t="inlineStr">
        <is>
          <t>Umstatter, Jack.</t>
        </is>
      </c>
      <c r="L369" t="inlineStr">
        <is>
          <t>San Francisco : Jossey-Bass, 2004.</t>
        </is>
      </c>
      <c r="M369" t="inlineStr">
        <is>
          <t>2004</t>
        </is>
      </c>
      <c r="N369" t="inlineStr">
        <is>
          <t>1st ed.</t>
        </is>
      </c>
      <c r="O369" t="inlineStr">
        <is>
          <t>eng</t>
        </is>
      </c>
      <c r="P369" t="inlineStr">
        <is>
          <t>cau</t>
        </is>
      </c>
      <c r="R369" t="inlineStr">
        <is>
          <t xml:space="preserve">PE </t>
        </is>
      </c>
      <c r="S369" t="n">
        <v>1</v>
      </c>
      <c r="T369" t="n">
        <v>1</v>
      </c>
      <c r="U369" t="inlineStr">
        <is>
          <t>2004-08-17</t>
        </is>
      </c>
      <c r="V369" t="inlineStr">
        <is>
          <t>2004-08-17</t>
        </is>
      </c>
      <c r="W369" t="inlineStr">
        <is>
          <t>2004-08-17</t>
        </is>
      </c>
      <c r="X369" t="inlineStr">
        <is>
          <t>2004-08-17</t>
        </is>
      </c>
      <c r="Y369" t="n">
        <v>197</v>
      </c>
      <c r="Z369" t="n">
        <v>182</v>
      </c>
      <c r="AA369" t="n">
        <v>189</v>
      </c>
      <c r="AB369" t="n">
        <v>1</v>
      </c>
      <c r="AC369" t="n">
        <v>1</v>
      </c>
      <c r="AD369" t="n">
        <v>7</v>
      </c>
      <c r="AE369" t="n">
        <v>7</v>
      </c>
      <c r="AF369" t="n">
        <v>2</v>
      </c>
      <c r="AG369" t="n">
        <v>2</v>
      </c>
      <c r="AH369" t="n">
        <v>3</v>
      </c>
      <c r="AI369" t="n">
        <v>3</v>
      </c>
      <c r="AJ369" t="n">
        <v>3</v>
      </c>
      <c r="AK369" t="n">
        <v>3</v>
      </c>
      <c r="AL369" t="n">
        <v>0</v>
      </c>
      <c r="AM369" t="n">
        <v>0</v>
      </c>
      <c r="AN369" t="n">
        <v>0</v>
      </c>
      <c r="AO369" t="n">
        <v>0</v>
      </c>
      <c r="AP369" t="inlineStr">
        <is>
          <t>No</t>
        </is>
      </c>
      <c r="AQ369" t="inlineStr">
        <is>
          <t>Yes</t>
        </is>
      </c>
      <c r="AR369">
        <f>HYPERLINK("http://catalog.hathitrust.org/Record/009929535","HathiTrust Record")</f>
        <v/>
      </c>
      <c r="AS369">
        <f>HYPERLINK("https://creighton-primo.hosted.exlibrisgroup.com/primo-explore/search?tab=default_tab&amp;search_scope=EVERYTHING&amp;vid=01CRU&amp;lang=en_US&amp;offset=0&amp;query=any,contains,991004351609702656","Catalog Record")</f>
        <v/>
      </c>
      <c r="AT369">
        <f>HYPERLINK("http://www.worldcat.org/oclc/55897240","WorldCat Record")</f>
        <v/>
      </c>
      <c r="AU369" t="inlineStr">
        <is>
          <t>1006961854:eng</t>
        </is>
      </c>
      <c r="AV369" t="inlineStr">
        <is>
          <t>55897240</t>
        </is>
      </c>
      <c r="AW369" t="inlineStr">
        <is>
          <t>991004351609702656</t>
        </is>
      </c>
      <c r="AX369" t="inlineStr">
        <is>
          <t>991004351609702656</t>
        </is>
      </c>
      <c r="AY369" t="inlineStr">
        <is>
          <t>2270234320002656</t>
        </is>
      </c>
      <c r="AZ369" t="inlineStr">
        <is>
          <t>BOOK</t>
        </is>
      </c>
      <c r="BB369" t="inlineStr">
        <is>
          <t>9780787971168</t>
        </is>
      </c>
      <c r="BC369" t="inlineStr">
        <is>
          <t>32285004982145</t>
        </is>
      </c>
      <c r="BD369" t="inlineStr">
        <is>
          <t>893319108</t>
        </is>
      </c>
    </row>
    <row r="370">
      <c r="A370" t="inlineStr">
        <is>
          <t>No</t>
        </is>
      </c>
      <c r="B370" t="inlineStr">
        <is>
          <t>PE1449 .W44 1997</t>
        </is>
      </c>
      <c r="C370" t="inlineStr">
        <is>
          <t>0                      PE 1449000W  44          1997</t>
        </is>
      </c>
      <c r="D370" t="inlineStr">
        <is>
          <t>Brian Wildsmith's amazing world of words.</t>
        </is>
      </c>
      <c r="F370" t="inlineStr">
        <is>
          <t>No</t>
        </is>
      </c>
      <c r="G370" t="inlineStr">
        <is>
          <t>1</t>
        </is>
      </c>
      <c r="H370" t="inlineStr">
        <is>
          <t>No</t>
        </is>
      </c>
      <c r="I370" t="inlineStr">
        <is>
          <t>No</t>
        </is>
      </c>
      <c r="J370" t="inlineStr">
        <is>
          <t>0</t>
        </is>
      </c>
      <c r="K370" t="inlineStr">
        <is>
          <t>Wildsmith, Brian.</t>
        </is>
      </c>
      <c r="L370" t="inlineStr">
        <is>
          <t>Brookfield, Conn. : Millbrook Press, 1997.</t>
        </is>
      </c>
      <c r="M370" t="inlineStr">
        <is>
          <t>1997</t>
        </is>
      </c>
      <c r="O370" t="inlineStr">
        <is>
          <t>eng</t>
        </is>
      </c>
      <c r="P370" t="inlineStr">
        <is>
          <t>ctu</t>
        </is>
      </c>
      <c r="R370" t="inlineStr">
        <is>
          <t xml:space="preserve">PE </t>
        </is>
      </c>
      <c r="S370" t="n">
        <v>8</v>
      </c>
      <c r="T370" t="n">
        <v>8</v>
      </c>
      <c r="U370" t="inlineStr">
        <is>
          <t>2010-02-09</t>
        </is>
      </c>
      <c r="V370" t="inlineStr">
        <is>
          <t>2010-02-09</t>
        </is>
      </c>
      <c r="W370" t="inlineStr">
        <is>
          <t>1998-10-07</t>
        </is>
      </c>
      <c r="X370" t="inlineStr">
        <is>
          <t>1998-10-07</t>
        </is>
      </c>
      <c r="Y370" t="n">
        <v>300</v>
      </c>
      <c r="Z370" t="n">
        <v>283</v>
      </c>
      <c r="AA370" t="n">
        <v>283</v>
      </c>
      <c r="AB370" t="n">
        <v>3</v>
      </c>
      <c r="AC370" t="n">
        <v>3</v>
      </c>
      <c r="AD370" t="n">
        <v>1</v>
      </c>
      <c r="AE370" t="n">
        <v>1</v>
      </c>
      <c r="AF370" t="n">
        <v>0</v>
      </c>
      <c r="AG370" t="n">
        <v>0</v>
      </c>
      <c r="AH370" t="n">
        <v>0</v>
      </c>
      <c r="AI370" t="n">
        <v>0</v>
      </c>
      <c r="AJ370" t="n">
        <v>0</v>
      </c>
      <c r="AK370" t="n">
        <v>0</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HYPERLINK("https://creighton-primo.hosted.exlibrisgroup.com/primo-explore/search?tab=default_tab&amp;search_scope=EVERYTHING&amp;vid=01CRU&amp;lang=en_US&amp;offset=0&amp;query=any,contains,991004621169702656","Catalog Record")</f>
        <v/>
      </c>
      <c r="AT370">
        <f>HYPERLINK("http://www.worldcat.org/oclc/34850385","WorldCat Record")</f>
        <v/>
      </c>
      <c r="AU370" t="inlineStr">
        <is>
          <t>2591105764:eng</t>
        </is>
      </c>
      <c r="AV370" t="inlineStr">
        <is>
          <t>34850385</t>
        </is>
      </c>
      <c r="AW370" t="inlineStr">
        <is>
          <t>991004621169702656</t>
        </is>
      </c>
      <c r="AX370" t="inlineStr">
        <is>
          <t>991004621169702656</t>
        </is>
      </c>
      <c r="AY370" t="inlineStr">
        <is>
          <t>2264357580002656</t>
        </is>
      </c>
      <c r="AZ370" t="inlineStr">
        <is>
          <t>BOOK</t>
        </is>
      </c>
      <c r="BB370" t="inlineStr">
        <is>
          <t>9780761300694</t>
        </is>
      </c>
      <c r="BC370" t="inlineStr">
        <is>
          <t>32285003473351</t>
        </is>
      </c>
      <c r="BD370" t="inlineStr">
        <is>
          <t>893311539</t>
        </is>
      </c>
    </row>
    <row r="371">
      <c r="A371" t="inlineStr">
        <is>
          <t>No</t>
        </is>
      </c>
      <c r="B371" t="inlineStr">
        <is>
          <t>PE1450 .G74 2000</t>
        </is>
      </c>
      <c r="C371" t="inlineStr">
        <is>
          <t>0                      PE 1450000G  74          2000</t>
        </is>
      </c>
      <c r="D371" t="inlineStr">
        <is>
          <t>American English punctuation for anyone : a friendly reference / George Ann Gregory.</t>
        </is>
      </c>
      <c r="F371" t="inlineStr">
        <is>
          <t>No</t>
        </is>
      </c>
      <c r="G371" t="inlineStr">
        <is>
          <t>1</t>
        </is>
      </c>
      <c r="H371" t="inlineStr">
        <is>
          <t>No</t>
        </is>
      </c>
      <c r="I371" t="inlineStr">
        <is>
          <t>No</t>
        </is>
      </c>
      <c r="J371" t="inlineStr">
        <is>
          <t>0</t>
        </is>
      </c>
      <c r="K371" t="inlineStr">
        <is>
          <t>Gregory, George Ann.</t>
        </is>
      </c>
      <c r="L371" t="inlineStr">
        <is>
          <t>San Fernando, CA : MTG Publishing, c2000.</t>
        </is>
      </c>
      <c r="M371" t="inlineStr">
        <is>
          <t>2000</t>
        </is>
      </c>
      <c r="O371" t="inlineStr">
        <is>
          <t>eng</t>
        </is>
      </c>
      <c r="P371" t="inlineStr">
        <is>
          <t>cau</t>
        </is>
      </c>
      <c r="R371" t="inlineStr">
        <is>
          <t xml:space="preserve">PE </t>
        </is>
      </c>
      <c r="S371" t="n">
        <v>1</v>
      </c>
      <c r="T371" t="n">
        <v>1</v>
      </c>
      <c r="U371" t="inlineStr">
        <is>
          <t>2002-04-26</t>
        </is>
      </c>
      <c r="V371" t="inlineStr">
        <is>
          <t>2002-04-26</t>
        </is>
      </c>
      <c r="W371" t="inlineStr">
        <is>
          <t>2002-04-18</t>
        </is>
      </c>
      <c r="X371" t="inlineStr">
        <is>
          <t>2002-04-18</t>
        </is>
      </c>
      <c r="Y371" t="n">
        <v>67</v>
      </c>
      <c r="Z371" t="n">
        <v>66</v>
      </c>
      <c r="AA371" t="n">
        <v>66</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HYPERLINK("https://creighton-primo.hosted.exlibrisgroup.com/primo-explore/search?tab=default_tab&amp;search_scope=EVERYTHING&amp;vid=01CRU&amp;lang=en_US&amp;offset=0&amp;query=any,contains,991003794699702656","Catalog Record")</f>
        <v/>
      </c>
      <c r="AT371">
        <f>HYPERLINK("http://www.worldcat.org/oclc/47274159","WorldCat Record")</f>
        <v/>
      </c>
      <c r="AU371" t="inlineStr">
        <is>
          <t>36358871:eng</t>
        </is>
      </c>
      <c r="AV371" t="inlineStr">
        <is>
          <t>47274159</t>
        </is>
      </c>
      <c r="AW371" t="inlineStr">
        <is>
          <t>991003794699702656</t>
        </is>
      </c>
      <c r="AX371" t="inlineStr">
        <is>
          <t>991003794699702656</t>
        </is>
      </c>
      <c r="AY371" t="inlineStr">
        <is>
          <t>2261987150002656</t>
        </is>
      </c>
      <c r="AZ371" t="inlineStr">
        <is>
          <t>BOOK</t>
        </is>
      </c>
      <c r="BB371" t="inlineStr">
        <is>
          <t>9780970406019</t>
        </is>
      </c>
      <c r="BC371" t="inlineStr">
        <is>
          <t>32285004481601</t>
        </is>
      </c>
      <c r="BD371" t="inlineStr">
        <is>
          <t>893881556</t>
        </is>
      </c>
    </row>
    <row r="372">
      <c r="A372" t="inlineStr">
        <is>
          <t>No</t>
        </is>
      </c>
      <c r="B372" t="inlineStr">
        <is>
          <t>PE1450 .S45</t>
        </is>
      </c>
      <c r="C372" t="inlineStr">
        <is>
          <t>0                      PE 1450000S  45</t>
        </is>
      </c>
      <c r="D372" t="inlineStr">
        <is>
          <t>Punctuate it right!</t>
        </is>
      </c>
      <c r="F372" t="inlineStr">
        <is>
          <t>No</t>
        </is>
      </c>
      <c r="G372" t="inlineStr">
        <is>
          <t>1</t>
        </is>
      </c>
      <c r="H372" t="inlineStr">
        <is>
          <t>No</t>
        </is>
      </c>
      <c r="I372" t="inlineStr">
        <is>
          <t>No</t>
        </is>
      </c>
      <c r="J372" t="inlineStr">
        <is>
          <t>0</t>
        </is>
      </c>
      <c r="K372" t="inlineStr">
        <is>
          <t>Shaw, Harry, 1905-1998.</t>
        </is>
      </c>
      <c r="L372" t="inlineStr">
        <is>
          <t>New York, Barnes &amp; Noble [1963]</t>
        </is>
      </c>
      <c r="M372" t="inlineStr">
        <is>
          <t>1963</t>
        </is>
      </c>
      <c r="O372" t="inlineStr">
        <is>
          <t>eng</t>
        </is>
      </c>
      <c r="P372" t="inlineStr">
        <is>
          <t>nyu</t>
        </is>
      </c>
      <c r="Q372" t="inlineStr">
        <is>
          <t>Everyday handbooks</t>
        </is>
      </c>
      <c r="R372" t="inlineStr">
        <is>
          <t xml:space="preserve">PE </t>
        </is>
      </c>
      <c r="S372" t="n">
        <v>1</v>
      </c>
      <c r="T372" t="n">
        <v>1</v>
      </c>
      <c r="U372" t="inlineStr">
        <is>
          <t>2008-01-23</t>
        </is>
      </c>
      <c r="V372" t="inlineStr">
        <is>
          <t>2008-01-23</t>
        </is>
      </c>
      <c r="W372" t="inlineStr">
        <is>
          <t>1990-07-31</t>
        </is>
      </c>
      <c r="X372" t="inlineStr">
        <is>
          <t>1990-07-31</t>
        </is>
      </c>
      <c r="Y372" t="n">
        <v>690</v>
      </c>
      <c r="Z372" t="n">
        <v>644</v>
      </c>
      <c r="AA372" t="n">
        <v>1210</v>
      </c>
      <c r="AB372" t="n">
        <v>5</v>
      </c>
      <c r="AC372" t="n">
        <v>11</v>
      </c>
      <c r="AD372" t="n">
        <v>7</v>
      </c>
      <c r="AE372" t="n">
        <v>13</v>
      </c>
      <c r="AF372" t="n">
        <v>1</v>
      </c>
      <c r="AG372" t="n">
        <v>4</v>
      </c>
      <c r="AH372" t="n">
        <v>2</v>
      </c>
      <c r="AI372" t="n">
        <v>2</v>
      </c>
      <c r="AJ372" t="n">
        <v>3</v>
      </c>
      <c r="AK372" t="n">
        <v>6</v>
      </c>
      <c r="AL372" t="n">
        <v>3</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HYPERLINK("https://creighton-primo.hosted.exlibrisgroup.com/primo-explore/search?tab=default_tab&amp;search_scope=EVERYTHING&amp;vid=01CRU&amp;lang=en_US&amp;offset=0&amp;query=any,contains,991003608819702656","Catalog Record")</f>
        <v/>
      </c>
      <c r="AT372">
        <f>HYPERLINK("http://www.worldcat.org/oclc/1190483","WorldCat Record")</f>
        <v/>
      </c>
      <c r="AU372" t="inlineStr">
        <is>
          <t>6715064:eng</t>
        </is>
      </c>
      <c r="AV372" t="inlineStr">
        <is>
          <t>1190483</t>
        </is>
      </c>
      <c r="AW372" t="inlineStr">
        <is>
          <t>991003608819702656</t>
        </is>
      </c>
      <c r="AX372" t="inlineStr">
        <is>
          <t>991003608819702656</t>
        </is>
      </c>
      <c r="AY372" t="inlineStr">
        <is>
          <t>2262435980002656</t>
        </is>
      </c>
      <c r="AZ372" t="inlineStr">
        <is>
          <t>BOOK</t>
        </is>
      </c>
      <c r="BC372" t="inlineStr">
        <is>
          <t>32285000229475</t>
        </is>
      </c>
      <c r="BD372" t="inlineStr">
        <is>
          <t>893348897</t>
        </is>
      </c>
    </row>
    <row r="373">
      <c r="A373" t="inlineStr">
        <is>
          <t>No</t>
        </is>
      </c>
      <c r="B373" t="inlineStr">
        <is>
          <t>PE1460 .A5 1881</t>
        </is>
      </c>
      <c r="C373" t="inlineStr">
        <is>
          <t>0                      PE 1460000A  5           1881</t>
        </is>
      </c>
      <c r="D373" t="inlineStr">
        <is>
          <t>A plea for the Queen's English : stray notes on speaking and spelling.</t>
        </is>
      </c>
      <c r="F373" t="inlineStr">
        <is>
          <t>No</t>
        </is>
      </c>
      <c r="G373" t="inlineStr">
        <is>
          <t>1</t>
        </is>
      </c>
      <c r="H373" t="inlineStr">
        <is>
          <t>No</t>
        </is>
      </c>
      <c r="I373" t="inlineStr">
        <is>
          <t>No</t>
        </is>
      </c>
      <c r="J373" t="inlineStr">
        <is>
          <t>0</t>
        </is>
      </c>
      <c r="K373" t="inlineStr">
        <is>
          <t>Alford, Henry, 1810-1871.</t>
        </is>
      </c>
      <c r="L373" t="inlineStr">
        <is>
          <t>New York, Routledge, 1881.</t>
        </is>
      </c>
      <c r="M373" t="inlineStr">
        <is>
          <t>1881</t>
        </is>
      </c>
      <c r="N373" t="inlineStr">
        <is>
          <t>(2d ed.)</t>
        </is>
      </c>
      <c r="O373" t="inlineStr">
        <is>
          <t>eng</t>
        </is>
      </c>
      <c r="P373" t="inlineStr">
        <is>
          <t>nyu</t>
        </is>
      </c>
      <c r="R373" t="inlineStr">
        <is>
          <t xml:space="preserve">PE </t>
        </is>
      </c>
      <c r="S373" t="n">
        <v>6</v>
      </c>
      <c r="T373" t="n">
        <v>6</v>
      </c>
      <c r="U373" t="inlineStr">
        <is>
          <t>2002-04-16</t>
        </is>
      </c>
      <c r="V373" t="inlineStr">
        <is>
          <t>2002-04-16</t>
        </is>
      </c>
      <c r="W373" t="inlineStr">
        <is>
          <t>1997-09-08</t>
        </is>
      </c>
      <c r="X373" t="inlineStr">
        <is>
          <t>1997-09-08</t>
        </is>
      </c>
      <c r="Y373" t="n">
        <v>9</v>
      </c>
      <c r="Z373" t="n">
        <v>9</v>
      </c>
      <c r="AA373" t="n">
        <v>134</v>
      </c>
      <c r="AB373" t="n">
        <v>1</v>
      </c>
      <c r="AC373" t="n">
        <v>2</v>
      </c>
      <c r="AD373" t="n">
        <v>2</v>
      </c>
      <c r="AE373" t="n">
        <v>6</v>
      </c>
      <c r="AF373" t="n">
        <v>0</v>
      </c>
      <c r="AG373" t="n">
        <v>1</v>
      </c>
      <c r="AH373" t="n">
        <v>1</v>
      </c>
      <c r="AI373" t="n">
        <v>2</v>
      </c>
      <c r="AJ373" t="n">
        <v>1</v>
      </c>
      <c r="AK373" t="n">
        <v>3</v>
      </c>
      <c r="AL373" t="n">
        <v>0</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HYPERLINK("https://creighton-primo.hosted.exlibrisgroup.com/primo-explore/search?tab=default_tab&amp;search_scope=EVERYTHING&amp;vid=01CRU&amp;lang=en_US&amp;offset=0&amp;query=any,contains,991001386849702656","Catalog Record")</f>
        <v/>
      </c>
      <c r="AT373">
        <f>HYPERLINK("http://www.worldcat.org/oclc/18719650","WorldCat Record")</f>
        <v/>
      </c>
      <c r="AU373" t="inlineStr">
        <is>
          <t>1568327:eng</t>
        </is>
      </c>
      <c r="AV373" t="inlineStr">
        <is>
          <t>18719650</t>
        </is>
      </c>
      <c r="AW373" t="inlineStr">
        <is>
          <t>991001386849702656</t>
        </is>
      </c>
      <c r="AX373" t="inlineStr">
        <is>
          <t>991001386849702656</t>
        </is>
      </c>
      <c r="AY373" t="inlineStr">
        <is>
          <t>2267974290002656</t>
        </is>
      </c>
      <c r="AZ373" t="inlineStr">
        <is>
          <t>BOOK</t>
        </is>
      </c>
      <c r="BC373" t="inlineStr">
        <is>
          <t>32285003165056</t>
        </is>
      </c>
      <c r="BD373" t="inlineStr">
        <is>
          <t>893684282</t>
        </is>
      </c>
    </row>
    <row r="374">
      <c r="A374" t="inlineStr">
        <is>
          <t>No</t>
        </is>
      </c>
      <c r="B374" t="inlineStr">
        <is>
          <t>PE1460 .B378 1986</t>
        </is>
      </c>
      <c r="C374" t="inlineStr">
        <is>
          <t>0                      PE 1460000B  378         1986</t>
        </is>
      </c>
      <c r="D374" t="inlineStr">
        <is>
          <t>A word or two before you go-- / Jacques Barzun.</t>
        </is>
      </c>
      <c r="F374" t="inlineStr">
        <is>
          <t>No</t>
        </is>
      </c>
      <c r="G374" t="inlineStr">
        <is>
          <t>1</t>
        </is>
      </c>
      <c r="H374" t="inlineStr">
        <is>
          <t>No</t>
        </is>
      </c>
      <c r="I374" t="inlineStr">
        <is>
          <t>No</t>
        </is>
      </c>
      <c r="J374" t="inlineStr">
        <is>
          <t>0</t>
        </is>
      </c>
      <c r="K374" t="inlineStr">
        <is>
          <t>Barzun, Jacques, 1907-2012.</t>
        </is>
      </c>
      <c r="L374" t="inlineStr">
        <is>
          <t>Middletown, Conn. : Wesleyan University Press ; Scranton, Pa. : Distributed by Harper &amp; Row, 1986.</t>
        </is>
      </c>
      <c r="M374" t="inlineStr">
        <is>
          <t>1986</t>
        </is>
      </c>
      <c r="N374" t="inlineStr">
        <is>
          <t>1st ed.</t>
        </is>
      </c>
      <c r="O374" t="inlineStr">
        <is>
          <t>eng</t>
        </is>
      </c>
      <c r="P374" t="inlineStr">
        <is>
          <t>ctu</t>
        </is>
      </c>
      <c r="R374" t="inlineStr">
        <is>
          <t xml:space="preserve">PE </t>
        </is>
      </c>
      <c r="S374" t="n">
        <v>1</v>
      </c>
      <c r="T374" t="n">
        <v>1</v>
      </c>
      <c r="U374" t="inlineStr">
        <is>
          <t>1996-12-08</t>
        </is>
      </c>
      <c r="V374" t="inlineStr">
        <is>
          <t>1996-12-08</t>
        </is>
      </c>
      <c r="W374" t="inlineStr">
        <is>
          <t>1991-10-31</t>
        </is>
      </c>
      <c r="X374" t="inlineStr">
        <is>
          <t>1991-10-31</t>
        </is>
      </c>
      <c r="Y374" t="n">
        <v>751</v>
      </c>
      <c r="Z374" t="n">
        <v>682</v>
      </c>
      <c r="AA374" t="n">
        <v>701</v>
      </c>
      <c r="AB374" t="n">
        <v>4</v>
      </c>
      <c r="AC374" t="n">
        <v>4</v>
      </c>
      <c r="AD374" t="n">
        <v>29</v>
      </c>
      <c r="AE374" t="n">
        <v>30</v>
      </c>
      <c r="AF374" t="n">
        <v>10</v>
      </c>
      <c r="AG374" t="n">
        <v>11</v>
      </c>
      <c r="AH374" t="n">
        <v>5</v>
      </c>
      <c r="AI374" t="n">
        <v>6</v>
      </c>
      <c r="AJ374" t="n">
        <v>18</v>
      </c>
      <c r="AK374" t="n">
        <v>18</v>
      </c>
      <c r="AL374" t="n">
        <v>2</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HYPERLINK("https://creighton-primo.hosted.exlibrisgroup.com/primo-explore/search?tab=default_tab&amp;search_scope=EVERYTHING&amp;vid=01CRU&amp;lang=en_US&amp;offset=0&amp;query=any,contains,991000917289702656","Catalog Record")</f>
        <v/>
      </c>
      <c r="AT374">
        <f>HYPERLINK("http://www.worldcat.org/oclc/14187419","WorldCat Record")</f>
        <v/>
      </c>
      <c r="AU374" t="inlineStr">
        <is>
          <t>7755666:eng</t>
        </is>
      </c>
      <c r="AV374" t="inlineStr">
        <is>
          <t>14187419</t>
        </is>
      </c>
      <c r="AW374" t="inlineStr">
        <is>
          <t>991000917289702656</t>
        </is>
      </c>
      <c r="AX374" t="inlineStr">
        <is>
          <t>991000917289702656</t>
        </is>
      </c>
      <c r="AY374" t="inlineStr">
        <is>
          <t>2260350530002656</t>
        </is>
      </c>
      <c r="AZ374" t="inlineStr">
        <is>
          <t>BOOK</t>
        </is>
      </c>
      <c r="BB374" t="inlineStr">
        <is>
          <t>9780819551740</t>
        </is>
      </c>
      <c r="BC374" t="inlineStr">
        <is>
          <t>32285000803816</t>
        </is>
      </c>
      <c r="BD374" t="inlineStr">
        <is>
          <t>893702553</t>
        </is>
      </c>
    </row>
    <row r="375">
      <c r="A375" t="inlineStr">
        <is>
          <t>No</t>
        </is>
      </c>
      <c r="B375" t="inlineStr">
        <is>
          <t>PE1460 .B46</t>
        </is>
      </c>
      <c r="C375" t="inlineStr">
        <is>
          <t>0                      PE 1460000B  46</t>
        </is>
      </c>
      <c r="D375" t="inlineStr">
        <is>
          <t>The careful writer; a modern guide to English usage [by] Theodore M. Bernstein.</t>
        </is>
      </c>
      <c r="F375" t="inlineStr">
        <is>
          <t>No</t>
        </is>
      </c>
      <c r="G375" t="inlineStr">
        <is>
          <t>1</t>
        </is>
      </c>
      <c r="H375" t="inlineStr">
        <is>
          <t>No</t>
        </is>
      </c>
      <c r="I375" t="inlineStr">
        <is>
          <t>No</t>
        </is>
      </c>
      <c r="J375" t="inlineStr">
        <is>
          <t>0</t>
        </is>
      </c>
      <c r="K375" t="inlineStr">
        <is>
          <t>Bernstein, Theodore M. (Theodore Menline), 1904-1979.</t>
        </is>
      </c>
      <c r="L375" t="inlineStr">
        <is>
          <t>New York, Atheneum, 1965.</t>
        </is>
      </c>
      <c r="M375" t="inlineStr">
        <is>
          <t>1965</t>
        </is>
      </c>
      <c r="N375" t="inlineStr">
        <is>
          <t>[1st ed.]</t>
        </is>
      </c>
      <c r="O375" t="inlineStr">
        <is>
          <t>eng</t>
        </is>
      </c>
      <c r="P375" t="inlineStr">
        <is>
          <t>nyu</t>
        </is>
      </c>
      <c r="R375" t="inlineStr">
        <is>
          <t xml:space="preserve">PE </t>
        </is>
      </c>
      <c r="S375" t="n">
        <v>4</v>
      </c>
      <c r="T375" t="n">
        <v>4</v>
      </c>
      <c r="U375" t="inlineStr">
        <is>
          <t>2009-02-02</t>
        </is>
      </c>
      <c r="V375" t="inlineStr">
        <is>
          <t>2009-02-02</t>
        </is>
      </c>
      <c r="W375" t="inlineStr">
        <is>
          <t>1997-09-25</t>
        </is>
      </c>
      <c r="X375" t="inlineStr">
        <is>
          <t>1997-09-25</t>
        </is>
      </c>
      <c r="Y375" t="n">
        <v>1608</v>
      </c>
      <c r="Z375" t="n">
        <v>1507</v>
      </c>
      <c r="AA375" t="n">
        <v>1737</v>
      </c>
      <c r="AB375" t="n">
        <v>14</v>
      </c>
      <c r="AC375" t="n">
        <v>14</v>
      </c>
      <c r="AD375" t="n">
        <v>40</v>
      </c>
      <c r="AE375" t="n">
        <v>46</v>
      </c>
      <c r="AF375" t="n">
        <v>13</v>
      </c>
      <c r="AG375" t="n">
        <v>15</v>
      </c>
      <c r="AH375" t="n">
        <v>7</v>
      </c>
      <c r="AI375" t="n">
        <v>7</v>
      </c>
      <c r="AJ375" t="n">
        <v>17</v>
      </c>
      <c r="AK375" t="n">
        <v>20</v>
      </c>
      <c r="AL375" t="n">
        <v>6</v>
      </c>
      <c r="AM375" t="n">
        <v>6</v>
      </c>
      <c r="AN375" t="n">
        <v>6</v>
      </c>
      <c r="AO375" t="n">
        <v>9</v>
      </c>
      <c r="AP375" t="inlineStr">
        <is>
          <t>No</t>
        </is>
      </c>
      <c r="AQ375" t="inlineStr">
        <is>
          <t>Yes</t>
        </is>
      </c>
      <c r="AR375">
        <f>HYPERLINK("http://catalog.hathitrust.org/Record/001193607","HathiTrust Record")</f>
        <v/>
      </c>
      <c r="AS375">
        <f>HYPERLINK("https://creighton-primo.hosted.exlibrisgroup.com/primo-explore/search?tab=default_tab&amp;search_scope=EVERYTHING&amp;vid=01CRU&amp;lang=en_US&amp;offset=0&amp;query=any,contains,991002306239702656","Catalog Record")</f>
        <v/>
      </c>
      <c r="AT375">
        <f>HYPERLINK("http://www.worldcat.org/oclc/318501","WorldCat Record")</f>
        <v/>
      </c>
      <c r="AU375" t="inlineStr">
        <is>
          <t>197418426:eng</t>
        </is>
      </c>
      <c r="AV375" t="inlineStr">
        <is>
          <t>318501</t>
        </is>
      </c>
      <c r="AW375" t="inlineStr">
        <is>
          <t>991002306239702656</t>
        </is>
      </c>
      <c r="AX375" t="inlineStr">
        <is>
          <t>991002306239702656</t>
        </is>
      </c>
      <c r="AY375" t="inlineStr">
        <is>
          <t>2270508050002656</t>
        </is>
      </c>
      <c r="AZ375" t="inlineStr">
        <is>
          <t>BOOK</t>
        </is>
      </c>
      <c r="BC375" t="inlineStr">
        <is>
          <t>32285003247722</t>
        </is>
      </c>
      <c r="BD375" t="inlineStr">
        <is>
          <t>893597282</t>
        </is>
      </c>
    </row>
    <row r="376">
      <c r="A376" t="inlineStr">
        <is>
          <t>No</t>
        </is>
      </c>
      <c r="B376" t="inlineStr">
        <is>
          <t>PE1460 .C65</t>
        </is>
      </c>
      <c r="C376" t="inlineStr">
        <is>
          <t>0                      PE 1460000C  65</t>
        </is>
      </c>
      <c r="D376" t="inlineStr">
        <is>
          <t>American usage: the consensus [by] Roy H. Copperud.</t>
        </is>
      </c>
      <c r="F376" t="inlineStr">
        <is>
          <t>No</t>
        </is>
      </c>
      <c r="G376" t="inlineStr">
        <is>
          <t>1</t>
        </is>
      </c>
      <c r="H376" t="inlineStr">
        <is>
          <t>No</t>
        </is>
      </c>
      <c r="I376" t="inlineStr">
        <is>
          <t>No</t>
        </is>
      </c>
      <c r="J376" t="inlineStr">
        <is>
          <t>0</t>
        </is>
      </c>
      <c r="K376" t="inlineStr">
        <is>
          <t>Copperud, Roy H., 1915-1991.</t>
        </is>
      </c>
      <c r="L376" t="inlineStr">
        <is>
          <t>New York, Van Nostrand Reinhold Co. [1970]</t>
        </is>
      </c>
      <c r="M376" t="inlineStr">
        <is>
          <t>1970</t>
        </is>
      </c>
      <c r="O376" t="inlineStr">
        <is>
          <t>eng</t>
        </is>
      </c>
      <c r="P376" t="inlineStr">
        <is>
          <t>nyu</t>
        </is>
      </c>
      <c r="R376" t="inlineStr">
        <is>
          <t xml:space="preserve">PE </t>
        </is>
      </c>
      <c r="S376" t="n">
        <v>5</v>
      </c>
      <c r="T376" t="n">
        <v>5</v>
      </c>
      <c r="U376" t="inlineStr">
        <is>
          <t>1999-03-31</t>
        </is>
      </c>
      <c r="V376" t="inlineStr">
        <is>
          <t>1999-03-31</t>
        </is>
      </c>
      <c r="W376" t="inlineStr">
        <is>
          <t>1997-09-25</t>
        </is>
      </c>
      <c r="X376" t="inlineStr">
        <is>
          <t>1997-09-25</t>
        </is>
      </c>
      <c r="Y376" t="n">
        <v>531</v>
      </c>
      <c r="Z376" t="n">
        <v>467</v>
      </c>
      <c r="AA376" t="n">
        <v>486</v>
      </c>
      <c r="AB376" t="n">
        <v>6</v>
      </c>
      <c r="AC376" t="n">
        <v>6</v>
      </c>
      <c r="AD376" t="n">
        <v>14</v>
      </c>
      <c r="AE376" t="n">
        <v>16</v>
      </c>
      <c r="AF376" t="n">
        <v>3</v>
      </c>
      <c r="AG376" t="n">
        <v>4</v>
      </c>
      <c r="AH376" t="n">
        <v>1</v>
      </c>
      <c r="AI376" t="n">
        <v>2</v>
      </c>
      <c r="AJ376" t="n">
        <v>6</v>
      </c>
      <c r="AK376" t="n">
        <v>6</v>
      </c>
      <c r="AL376" t="n">
        <v>5</v>
      </c>
      <c r="AM376" t="n">
        <v>5</v>
      </c>
      <c r="AN376" t="n">
        <v>0</v>
      </c>
      <c r="AO376" t="n">
        <v>0</v>
      </c>
      <c r="AP376" t="inlineStr">
        <is>
          <t>No</t>
        </is>
      </c>
      <c r="AQ376" t="inlineStr">
        <is>
          <t>Yes</t>
        </is>
      </c>
      <c r="AR376">
        <f>HYPERLINK("http://catalog.hathitrust.org/Record/001183168","HathiTrust Record")</f>
        <v/>
      </c>
      <c r="AS376">
        <f>HYPERLINK("https://creighton-primo.hosted.exlibrisgroup.com/primo-explore/search?tab=default_tab&amp;search_scope=EVERYTHING&amp;vid=01CRU&amp;lang=en_US&amp;offset=0&amp;query=any,contains,991000563839702656","Catalog Record")</f>
        <v/>
      </c>
      <c r="AT376">
        <f>HYPERLINK("http://www.worldcat.org/oclc/93704","WorldCat Record")</f>
        <v/>
      </c>
      <c r="AU376" t="inlineStr">
        <is>
          <t>3856220658:eng</t>
        </is>
      </c>
      <c r="AV376" t="inlineStr">
        <is>
          <t>93704</t>
        </is>
      </c>
      <c r="AW376" t="inlineStr">
        <is>
          <t>991000563839702656</t>
        </is>
      </c>
      <c r="AX376" t="inlineStr">
        <is>
          <t>991000563839702656</t>
        </is>
      </c>
      <c r="AY376" t="inlineStr">
        <is>
          <t>2265735200002656</t>
        </is>
      </c>
      <c r="AZ376" t="inlineStr">
        <is>
          <t>BOOK</t>
        </is>
      </c>
      <c r="BC376" t="inlineStr">
        <is>
          <t>32285003247763</t>
        </is>
      </c>
      <c r="BD376" t="inlineStr">
        <is>
          <t>893496357</t>
        </is>
      </c>
    </row>
    <row r="377">
      <c r="A377" t="inlineStr">
        <is>
          <t>No</t>
        </is>
      </c>
      <c r="B377" t="inlineStr">
        <is>
          <t>PE1460 .F64 1989</t>
        </is>
      </c>
      <c r="C377" t="inlineStr">
        <is>
          <t>0                      PE 1460000F  64          1989</t>
        </is>
      </c>
      <c r="D377" t="inlineStr">
        <is>
          <t>Language, gender, and professional writing : theoretical approaches and guidelines for nonsexist usage / Francine Wattman Frank and Paula A. Treichler ; with contributions by H. Lee Gershuny, Sally McConnell-Ginet, and Susan J. Wolfe.</t>
        </is>
      </c>
      <c r="F377" t="inlineStr">
        <is>
          <t>No</t>
        </is>
      </c>
      <c r="G377" t="inlineStr">
        <is>
          <t>1</t>
        </is>
      </c>
      <c r="H377" t="inlineStr">
        <is>
          <t>Yes</t>
        </is>
      </c>
      <c r="I377" t="inlineStr">
        <is>
          <t>No</t>
        </is>
      </c>
      <c r="J377" t="inlineStr">
        <is>
          <t>0</t>
        </is>
      </c>
      <c r="K377" t="inlineStr">
        <is>
          <t>Frank, Francine Wattman, 1931-</t>
        </is>
      </c>
      <c r="L377" t="inlineStr">
        <is>
          <t>New York : Commission on the Status of Women in the Profession, Modern Language Association of America, c1989.</t>
        </is>
      </c>
      <c r="M377" t="inlineStr">
        <is>
          <t>1989</t>
        </is>
      </c>
      <c r="O377" t="inlineStr">
        <is>
          <t>eng</t>
        </is>
      </c>
      <c r="P377" t="inlineStr">
        <is>
          <t>nyu</t>
        </is>
      </c>
      <c r="R377" t="inlineStr">
        <is>
          <t xml:space="preserve">PE </t>
        </is>
      </c>
      <c r="S377" t="n">
        <v>6</v>
      </c>
      <c r="T377" t="n">
        <v>7</v>
      </c>
      <c r="U377" t="inlineStr">
        <is>
          <t>1999-03-31</t>
        </is>
      </c>
      <c r="V377" t="inlineStr">
        <is>
          <t>1999-03-31</t>
        </is>
      </c>
      <c r="W377" t="inlineStr">
        <is>
          <t>1989-11-27</t>
        </is>
      </c>
      <c r="X377" t="inlineStr">
        <is>
          <t>1992-02-05</t>
        </is>
      </c>
      <c r="Y377" t="n">
        <v>1185</v>
      </c>
      <c r="Z377" t="n">
        <v>1045</v>
      </c>
      <c r="AA377" t="n">
        <v>1048</v>
      </c>
      <c r="AB377" t="n">
        <v>7</v>
      </c>
      <c r="AC377" t="n">
        <v>7</v>
      </c>
      <c r="AD377" t="n">
        <v>51</v>
      </c>
      <c r="AE377" t="n">
        <v>51</v>
      </c>
      <c r="AF377" t="n">
        <v>20</v>
      </c>
      <c r="AG377" t="n">
        <v>20</v>
      </c>
      <c r="AH377" t="n">
        <v>10</v>
      </c>
      <c r="AI377" t="n">
        <v>10</v>
      </c>
      <c r="AJ377" t="n">
        <v>24</v>
      </c>
      <c r="AK377" t="n">
        <v>24</v>
      </c>
      <c r="AL377" t="n">
        <v>5</v>
      </c>
      <c r="AM377" t="n">
        <v>5</v>
      </c>
      <c r="AN377" t="n">
        <v>4</v>
      </c>
      <c r="AO377" t="n">
        <v>4</v>
      </c>
      <c r="AP377" t="inlineStr">
        <is>
          <t>No</t>
        </is>
      </c>
      <c r="AQ377" t="inlineStr">
        <is>
          <t>No</t>
        </is>
      </c>
      <c r="AS377">
        <f>HYPERLINK("https://creighton-primo.hosted.exlibrisgroup.com/primo-explore/search?tab=default_tab&amp;search_scope=EVERYTHING&amp;vid=01CRU&amp;lang=en_US&amp;offset=0&amp;query=any,contains,991001640339702656","Catalog Record")</f>
        <v/>
      </c>
      <c r="AT377">
        <f>HYPERLINK("http://www.worldcat.org/oclc/18780591","WorldCat Record")</f>
        <v/>
      </c>
      <c r="AU377" t="inlineStr">
        <is>
          <t>196507647:eng</t>
        </is>
      </c>
      <c r="AV377" t="inlineStr">
        <is>
          <t>18780591</t>
        </is>
      </c>
      <c r="AW377" t="inlineStr">
        <is>
          <t>991001640339702656</t>
        </is>
      </c>
      <c r="AX377" t="inlineStr">
        <is>
          <t>991001640339702656</t>
        </is>
      </c>
      <c r="AY377" t="inlineStr">
        <is>
          <t>2260495510002656</t>
        </is>
      </c>
      <c r="AZ377" t="inlineStr">
        <is>
          <t>BOOK</t>
        </is>
      </c>
      <c r="BB377" t="inlineStr">
        <is>
          <t>9780873521789</t>
        </is>
      </c>
      <c r="BC377" t="inlineStr">
        <is>
          <t>32285000014851</t>
        </is>
      </c>
      <c r="BD377" t="inlineStr">
        <is>
          <t>893615249</t>
        </is>
      </c>
    </row>
    <row r="378">
      <c r="A378" t="inlineStr">
        <is>
          <t>No</t>
        </is>
      </c>
      <c r="B378" t="inlineStr">
        <is>
          <t>PE1460 .H32</t>
        </is>
      </c>
      <c r="C378" t="inlineStr">
        <is>
          <t>0                      PE 1460000H  32</t>
        </is>
      </c>
      <c r="D378" t="inlineStr">
        <is>
          <t>Pitfalls in English and how to avoid them / by Sophie C. Hadida.</t>
        </is>
      </c>
      <c r="F378" t="inlineStr">
        <is>
          <t>No</t>
        </is>
      </c>
      <c r="G378" t="inlineStr">
        <is>
          <t>1</t>
        </is>
      </c>
      <c r="H378" t="inlineStr">
        <is>
          <t>No</t>
        </is>
      </c>
      <c r="I378" t="inlineStr">
        <is>
          <t>No</t>
        </is>
      </c>
      <c r="J378" t="inlineStr">
        <is>
          <t>0</t>
        </is>
      </c>
      <c r="K378" t="inlineStr">
        <is>
          <t>Hadida, Sophie C.</t>
        </is>
      </c>
      <c r="L378" t="inlineStr">
        <is>
          <t>New York ; London : G.P. Putnam's Sons, c1927.</t>
        </is>
      </c>
      <c r="M378" t="inlineStr">
        <is>
          <t>1927</t>
        </is>
      </c>
      <c r="O378" t="inlineStr">
        <is>
          <t>eng</t>
        </is>
      </c>
      <c r="P378" t="inlineStr">
        <is>
          <t>nyu</t>
        </is>
      </c>
      <c r="R378" t="inlineStr">
        <is>
          <t xml:space="preserve">PE </t>
        </is>
      </c>
      <c r="S378" t="n">
        <v>2</v>
      </c>
      <c r="T378" t="n">
        <v>2</v>
      </c>
      <c r="U378" t="inlineStr">
        <is>
          <t>2001-11-11</t>
        </is>
      </c>
      <c r="V378" t="inlineStr">
        <is>
          <t>2001-11-11</t>
        </is>
      </c>
      <c r="W378" t="inlineStr">
        <is>
          <t>1997-09-25</t>
        </is>
      </c>
      <c r="X378" t="inlineStr">
        <is>
          <t>1997-09-25</t>
        </is>
      </c>
      <c r="Y378" t="n">
        <v>66</v>
      </c>
      <c r="Z378" t="n">
        <v>59</v>
      </c>
      <c r="AA378" t="n">
        <v>74</v>
      </c>
      <c r="AB378" t="n">
        <v>2</v>
      </c>
      <c r="AC378" t="n">
        <v>2</v>
      </c>
      <c r="AD378" t="n">
        <v>3</v>
      </c>
      <c r="AE378" t="n">
        <v>5</v>
      </c>
      <c r="AF378" t="n">
        <v>1</v>
      </c>
      <c r="AG378" t="n">
        <v>2</v>
      </c>
      <c r="AH378" t="n">
        <v>0</v>
      </c>
      <c r="AI378" t="n">
        <v>0</v>
      </c>
      <c r="AJ378" t="n">
        <v>1</v>
      </c>
      <c r="AK378" t="n">
        <v>2</v>
      </c>
      <c r="AL378" t="n">
        <v>1</v>
      </c>
      <c r="AM378" t="n">
        <v>1</v>
      </c>
      <c r="AN378" t="n">
        <v>0</v>
      </c>
      <c r="AO378" t="n">
        <v>0</v>
      </c>
      <c r="AP378" t="inlineStr">
        <is>
          <t>No</t>
        </is>
      </c>
      <c r="AQ378" t="inlineStr">
        <is>
          <t>Yes</t>
        </is>
      </c>
      <c r="AR378">
        <f>HYPERLINK("http://catalog.hathitrust.org/Record/008722322","HathiTrust Record")</f>
        <v/>
      </c>
      <c r="AS378">
        <f>HYPERLINK("https://creighton-primo.hosted.exlibrisgroup.com/primo-explore/search?tab=default_tab&amp;search_scope=EVERYTHING&amp;vid=01CRU&amp;lang=en_US&amp;offset=0&amp;query=any,contains,991002991599702656","Catalog Record")</f>
        <v/>
      </c>
      <c r="AT378">
        <f>HYPERLINK("http://www.worldcat.org/oclc/561026","WorldCat Record")</f>
        <v/>
      </c>
      <c r="AU378" t="inlineStr">
        <is>
          <t>1635748:eng</t>
        </is>
      </c>
      <c r="AV378" t="inlineStr">
        <is>
          <t>561026</t>
        </is>
      </c>
      <c r="AW378" t="inlineStr">
        <is>
          <t>991002991599702656</t>
        </is>
      </c>
      <c r="AX378" t="inlineStr">
        <is>
          <t>991002991599702656</t>
        </is>
      </c>
      <c r="AY378" t="inlineStr">
        <is>
          <t>2255231350002656</t>
        </is>
      </c>
      <c r="AZ378" t="inlineStr">
        <is>
          <t>BOOK</t>
        </is>
      </c>
      <c r="BC378" t="inlineStr">
        <is>
          <t>32285003247789</t>
        </is>
      </c>
      <c r="BD378" t="inlineStr">
        <is>
          <t>893505069</t>
        </is>
      </c>
    </row>
    <row r="379">
      <c r="A379" t="inlineStr">
        <is>
          <t>No</t>
        </is>
      </c>
      <c r="B379" t="inlineStr">
        <is>
          <t>PE1460 .K538 1993</t>
        </is>
      </c>
      <c r="C379" t="inlineStr">
        <is>
          <t>0                      PE 1460000K  538         1993</t>
        </is>
      </c>
      <c r="D379" t="inlineStr">
        <is>
          <t>Fine print : reflections on the writing art / James J. Kilpatrick.</t>
        </is>
      </c>
      <c r="F379" t="inlineStr">
        <is>
          <t>No</t>
        </is>
      </c>
      <c r="G379" t="inlineStr">
        <is>
          <t>1</t>
        </is>
      </c>
      <c r="H379" t="inlineStr">
        <is>
          <t>No</t>
        </is>
      </c>
      <c r="I379" t="inlineStr">
        <is>
          <t>No</t>
        </is>
      </c>
      <c r="J379" t="inlineStr">
        <is>
          <t>0</t>
        </is>
      </c>
      <c r="K379" t="inlineStr">
        <is>
          <t>Kilpatrick, James Jackson, 1920-2010.</t>
        </is>
      </c>
      <c r="L379" t="inlineStr">
        <is>
          <t>Kansas City : Andrews and McMeel, c1993.</t>
        </is>
      </c>
      <c r="M379" t="inlineStr">
        <is>
          <t>1993</t>
        </is>
      </c>
      <c r="O379" t="inlineStr">
        <is>
          <t>eng</t>
        </is>
      </c>
      <c r="P379" t="inlineStr">
        <is>
          <t>mou</t>
        </is>
      </c>
      <c r="R379" t="inlineStr">
        <is>
          <t xml:space="preserve">PE </t>
        </is>
      </c>
      <c r="S379" t="n">
        <v>2</v>
      </c>
      <c r="T379" t="n">
        <v>2</v>
      </c>
      <c r="U379" t="inlineStr">
        <is>
          <t>1994-11-23</t>
        </is>
      </c>
      <c r="V379" t="inlineStr">
        <is>
          <t>1994-11-23</t>
        </is>
      </c>
      <c r="W379" t="inlineStr">
        <is>
          <t>1994-11-14</t>
        </is>
      </c>
      <c r="X379" t="inlineStr">
        <is>
          <t>1994-11-14</t>
        </is>
      </c>
      <c r="Y379" t="n">
        <v>250</v>
      </c>
      <c r="Z379" t="n">
        <v>233</v>
      </c>
      <c r="AA379" t="n">
        <v>240</v>
      </c>
      <c r="AB379" t="n">
        <v>2</v>
      </c>
      <c r="AC379" t="n">
        <v>2</v>
      </c>
      <c r="AD379" t="n">
        <v>7</v>
      </c>
      <c r="AE379" t="n">
        <v>7</v>
      </c>
      <c r="AF379" t="n">
        <v>1</v>
      </c>
      <c r="AG379" t="n">
        <v>1</v>
      </c>
      <c r="AH379" t="n">
        <v>2</v>
      </c>
      <c r="AI379" t="n">
        <v>2</v>
      </c>
      <c r="AJ379" t="n">
        <v>5</v>
      </c>
      <c r="AK379" t="n">
        <v>5</v>
      </c>
      <c r="AL379" t="n">
        <v>1</v>
      </c>
      <c r="AM379" t="n">
        <v>1</v>
      </c>
      <c r="AN379" t="n">
        <v>1</v>
      </c>
      <c r="AO379" t="n">
        <v>1</v>
      </c>
      <c r="AP379" t="inlineStr">
        <is>
          <t>No</t>
        </is>
      </c>
      <c r="AQ379" t="inlineStr">
        <is>
          <t>Yes</t>
        </is>
      </c>
      <c r="AR379">
        <f>HYPERLINK("http://catalog.hathitrust.org/Record/002808224","HathiTrust Record")</f>
        <v/>
      </c>
      <c r="AS379">
        <f>HYPERLINK("https://creighton-primo.hosted.exlibrisgroup.com/primo-explore/search?tab=default_tab&amp;search_scope=EVERYTHING&amp;vid=01CRU&amp;lang=en_US&amp;offset=0&amp;query=any,contains,991002210899702656","Catalog Record")</f>
        <v/>
      </c>
      <c r="AT379">
        <f>HYPERLINK("http://www.worldcat.org/oclc/28423309","WorldCat Record")</f>
        <v/>
      </c>
      <c r="AU379" t="inlineStr">
        <is>
          <t>197838573:eng</t>
        </is>
      </c>
      <c r="AV379" t="inlineStr">
        <is>
          <t>28423309</t>
        </is>
      </c>
      <c r="AW379" t="inlineStr">
        <is>
          <t>991002210899702656</t>
        </is>
      </c>
      <c r="AX379" t="inlineStr">
        <is>
          <t>991002210899702656</t>
        </is>
      </c>
      <c r="AY379" t="inlineStr">
        <is>
          <t>2267696380002656</t>
        </is>
      </c>
      <c r="AZ379" t="inlineStr">
        <is>
          <t>BOOK</t>
        </is>
      </c>
      <c r="BB379" t="inlineStr">
        <is>
          <t>9780836280371</t>
        </is>
      </c>
      <c r="BC379" t="inlineStr">
        <is>
          <t>32285001958148</t>
        </is>
      </c>
      <c r="BD379" t="inlineStr">
        <is>
          <t>893497838</t>
        </is>
      </c>
    </row>
    <row r="380">
      <c r="A380" t="inlineStr">
        <is>
          <t>No</t>
        </is>
      </c>
      <c r="B380" t="inlineStr">
        <is>
          <t>PE1460 .P172 1969</t>
        </is>
      </c>
      <c r="C380" t="inlineStr">
        <is>
          <t>0                      PE 1460000P  172         1969</t>
        </is>
      </c>
      <c r="D380" t="inlineStr">
        <is>
          <t>The concise of Usage and abusage : a modern guide to good English.</t>
        </is>
      </c>
      <c r="F380" t="inlineStr">
        <is>
          <t>No</t>
        </is>
      </c>
      <c r="G380" t="inlineStr">
        <is>
          <t>1</t>
        </is>
      </c>
      <c r="H380" t="inlineStr">
        <is>
          <t>No</t>
        </is>
      </c>
      <c r="I380" t="inlineStr">
        <is>
          <t>No</t>
        </is>
      </c>
      <c r="J380" t="inlineStr">
        <is>
          <t>0</t>
        </is>
      </c>
      <c r="K380" t="inlineStr">
        <is>
          <t>Partridge, Eric, 1894-1979.</t>
        </is>
      </c>
      <c r="L380" t="inlineStr">
        <is>
          <t>New York : Greenwood Press, [1969]</t>
        </is>
      </c>
      <c r="M380" t="inlineStr">
        <is>
          <t>1969</t>
        </is>
      </c>
      <c r="O380" t="inlineStr">
        <is>
          <t>eng</t>
        </is>
      </c>
      <c r="P380" t="inlineStr">
        <is>
          <t>nyu</t>
        </is>
      </c>
      <c r="R380" t="inlineStr">
        <is>
          <t xml:space="preserve">PE </t>
        </is>
      </c>
      <c r="S380" t="n">
        <v>5</v>
      </c>
      <c r="T380" t="n">
        <v>5</v>
      </c>
      <c r="U380" t="inlineStr">
        <is>
          <t>1999-03-31</t>
        </is>
      </c>
      <c r="V380" t="inlineStr">
        <is>
          <t>1999-03-31</t>
        </is>
      </c>
      <c r="W380" t="inlineStr">
        <is>
          <t>1996-11-11</t>
        </is>
      </c>
      <c r="X380" t="inlineStr">
        <is>
          <t>1996-11-11</t>
        </is>
      </c>
      <c r="Y380" t="n">
        <v>115</v>
      </c>
      <c r="Z380" t="n">
        <v>94</v>
      </c>
      <c r="AA380" t="n">
        <v>420</v>
      </c>
      <c r="AB380" t="n">
        <v>1</v>
      </c>
      <c r="AC380" t="n">
        <v>3</v>
      </c>
      <c r="AD380" t="n">
        <v>6</v>
      </c>
      <c r="AE380" t="n">
        <v>21</v>
      </c>
      <c r="AF380" t="n">
        <v>1</v>
      </c>
      <c r="AG380" t="n">
        <v>4</v>
      </c>
      <c r="AH380" t="n">
        <v>3</v>
      </c>
      <c r="AI380" t="n">
        <v>5</v>
      </c>
      <c r="AJ380" t="n">
        <v>3</v>
      </c>
      <c r="AK380" t="n">
        <v>14</v>
      </c>
      <c r="AL380" t="n">
        <v>0</v>
      </c>
      <c r="AM380" t="n">
        <v>2</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HYPERLINK("https://creighton-primo.hosted.exlibrisgroup.com/primo-explore/search?tab=default_tab&amp;search_scope=EVERYTHING&amp;vid=01CRU&amp;lang=en_US&amp;offset=0&amp;query=any,contains,991000134059702656","Catalog Record")</f>
        <v/>
      </c>
      <c r="AT380">
        <f>HYPERLINK("http://www.worldcat.org/oclc/55509","WorldCat Record")</f>
        <v/>
      </c>
      <c r="AU380" t="inlineStr">
        <is>
          <t>3855467465:eng</t>
        </is>
      </c>
      <c r="AV380" t="inlineStr">
        <is>
          <t>55509</t>
        </is>
      </c>
      <c r="AW380" t="inlineStr">
        <is>
          <t>991000134059702656</t>
        </is>
      </c>
      <c r="AX380" t="inlineStr">
        <is>
          <t>991000134059702656</t>
        </is>
      </c>
      <c r="AY380" t="inlineStr">
        <is>
          <t>2258327820002656</t>
        </is>
      </c>
      <c r="AZ380" t="inlineStr">
        <is>
          <t>BOOK</t>
        </is>
      </c>
      <c r="BB380" t="inlineStr">
        <is>
          <t>9780837124667</t>
        </is>
      </c>
      <c r="BC380" t="inlineStr">
        <is>
          <t>32285002371705</t>
        </is>
      </c>
      <c r="BD380" t="inlineStr">
        <is>
          <t>893877833</t>
        </is>
      </c>
    </row>
    <row r="381">
      <c r="A381" t="inlineStr">
        <is>
          <t>No</t>
        </is>
      </c>
      <c r="B381" t="inlineStr">
        <is>
          <t>PE1460 .S17 1982</t>
        </is>
      </c>
      <c r="C381" t="inlineStr">
        <is>
          <t>0                      PE 1460000S  17          1982</t>
        </is>
      </c>
      <c r="D381" t="inlineStr">
        <is>
          <t>What's the good word? / William Safire.</t>
        </is>
      </c>
      <c r="F381" t="inlineStr">
        <is>
          <t>No</t>
        </is>
      </c>
      <c r="G381" t="inlineStr">
        <is>
          <t>1</t>
        </is>
      </c>
      <c r="H381" t="inlineStr">
        <is>
          <t>No</t>
        </is>
      </c>
      <c r="I381" t="inlineStr">
        <is>
          <t>No</t>
        </is>
      </c>
      <c r="J381" t="inlineStr">
        <is>
          <t>0</t>
        </is>
      </c>
      <c r="K381" t="inlineStr">
        <is>
          <t>Safire, William, 1929-2009.</t>
        </is>
      </c>
      <c r="L381" t="inlineStr">
        <is>
          <t>New York : Times Books, c1982.</t>
        </is>
      </c>
      <c r="M381" t="inlineStr">
        <is>
          <t>1982</t>
        </is>
      </c>
      <c r="O381" t="inlineStr">
        <is>
          <t>eng</t>
        </is>
      </c>
      <c r="P381" t="inlineStr">
        <is>
          <t>nyu</t>
        </is>
      </c>
      <c r="R381" t="inlineStr">
        <is>
          <t xml:space="preserve">PE </t>
        </is>
      </c>
      <c r="S381" t="n">
        <v>4</v>
      </c>
      <c r="T381" t="n">
        <v>4</v>
      </c>
      <c r="U381" t="inlineStr">
        <is>
          <t>2004-03-05</t>
        </is>
      </c>
      <c r="V381" t="inlineStr">
        <is>
          <t>2004-03-05</t>
        </is>
      </c>
      <c r="W381" t="inlineStr">
        <is>
          <t>1990-08-01</t>
        </is>
      </c>
      <c r="X381" t="inlineStr">
        <is>
          <t>1990-08-01</t>
        </is>
      </c>
      <c r="Y381" t="n">
        <v>988</v>
      </c>
      <c r="Z381" t="n">
        <v>935</v>
      </c>
      <c r="AA381" t="n">
        <v>960</v>
      </c>
      <c r="AB381" t="n">
        <v>5</v>
      </c>
      <c r="AC381" t="n">
        <v>5</v>
      </c>
      <c r="AD381" t="n">
        <v>23</v>
      </c>
      <c r="AE381" t="n">
        <v>25</v>
      </c>
      <c r="AF381" t="n">
        <v>8</v>
      </c>
      <c r="AG381" t="n">
        <v>9</v>
      </c>
      <c r="AH381" t="n">
        <v>2</v>
      </c>
      <c r="AI381" t="n">
        <v>3</v>
      </c>
      <c r="AJ381" t="n">
        <v>10</v>
      </c>
      <c r="AK381" t="n">
        <v>10</v>
      </c>
      <c r="AL381" t="n">
        <v>3</v>
      </c>
      <c r="AM381" t="n">
        <v>3</v>
      </c>
      <c r="AN381" t="n">
        <v>2</v>
      </c>
      <c r="AO381" t="n">
        <v>2</v>
      </c>
      <c r="AP381" t="inlineStr">
        <is>
          <t>No</t>
        </is>
      </c>
      <c r="AQ381" t="inlineStr">
        <is>
          <t>Yes</t>
        </is>
      </c>
      <c r="AR381">
        <f>HYPERLINK("http://catalog.hathitrust.org/Record/000304575","HathiTrust Record")</f>
        <v/>
      </c>
      <c r="AS381">
        <f>HYPERLINK("https://creighton-primo.hosted.exlibrisgroup.com/primo-explore/search?tab=default_tab&amp;search_scope=EVERYTHING&amp;vid=01CRU&amp;lang=en_US&amp;offset=0&amp;query=any,contains,991005194419702656","Catalog Record")</f>
        <v/>
      </c>
      <c r="AT381">
        <f>HYPERLINK("http://www.worldcat.org/oclc/8033964","WorldCat Record")</f>
        <v/>
      </c>
      <c r="AU381" t="inlineStr">
        <is>
          <t>327348133:eng</t>
        </is>
      </c>
      <c r="AV381" t="inlineStr">
        <is>
          <t>8033964</t>
        </is>
      </c>
      <c r="AW381" t="inlineStr">
        <is>
          <t>991005194419702656</t>
        </is>
      </c>
      <c r="AX381" t="inlineStr">
        <is>
          <t>991005194419702656</t>
        </is>
      </c>
      <c r="AY381" t="inlineStr">
        <is>
          <t>2269423290002656</t>
        </is>
      </c>
      <c r="AZ381" t="inlineStr">
        <is>
          <t>BOOK</t>
        </is>
      </c>
      <c r="BB381" t="inlineStr">
        <is>
          <t>9780812910063</t>
        </is>
      </c>
      <c r="BC381" t="inlineStr">
        <is>
          <t>32285000023720</t>
        </is>
      </c>
      <c r="BD381" t="inlineStr">
        <is>
          <t>893236452</t>
        </is>
      </c>
    </row>
    <row r="382">
      <c r="A382" t="inlineStr">
        <is>
          <t>No</t>
        </is>
      </c>
      <c r="B382" t="inlineStr">
        <is>
          <t>PE1460 .W56</t>
        </is>
      </c>
      <c r="C382" t="inlineStr">
        <is>
          <t>0                      PE 1460000W  56</t>
        </is>
      </c>
      <c r="D382" t="inlineStr">
        <is>
          <t>Handbook of American idioms and idiomatic usage, by Harold C. Whitford and Robert J. Dixson.</t>
        </is>
      </c>
      <c r="F382" t="inlineStr">
        <is>
          <t>No</t>
        </is>
      </c>
      <c r="G382" t="inlineStr">
        <is>
          <t>1</t>
        </is>
      </c>
      <c r="H382" t="inlineStr">
        <is>
          <t>No</t>
        </is>
      </c>
      <c r="I382" t="inlineStr">
        <is>
          <t>No</t>
        </is>
      </c>
      <c r="J382" t="inlineStr">
        <is>
          <t>0</t>
        </is>
      </c>
      <c r="K382" t="inlineStr">
        <is>
          <t>Whitford, Harold C. (Harold Crandall), 1902-</t>
        </is>
      </c>
      <c r="L382" t="inlineStr">
        <is>
          <t>New York, Regents Pub. Co. [1953]</t>
        </is>
      </c>
      <c r="M382" t="inlineStr">
        <is>
          <t>1953</t>
        </is>
      </c>
      <c r="O382" t="inlineStr">
        <is>
          <t>eng</t>
        </is>
      </c>
      <c r="P382" t="inlineStr">
        <is>
          <t>nyu</t>
        </is>
      </c>
      <c r="R382" t="inlineStr">
        <is>
          <t xml:space="preserve">PE </t>
        </is>
      </c>
      <c r="S382" t="n">
        <v>2</v>
      </c>
      <c r="T382" t="n">
        <v>2</v>
      </c>
      <c r="U382" t="inlineStr">
        <is>
          <t>2003-04-11</t>
        </is>
      </c>
      <c r="V382" t="inlineStr">
        <is>
          <t>2003-04-11</t>
        </is>
      </c>
      <c r="W382" t="inlineStr">
        <is>
          <t>1997-09-25</t>
        </is>
      </c>
      <c r="X382" t="inlineStr">
        <is>
          <t>1997-09-25</t>
        </is>
      </c>
      <c r="Y382" t="n">
        <v>231</v>
      </c>
      <c r="Z382" t="n">
        <v>171</v>
      </c>
      <c r="AA382" t="n">
        <v>358</v>
      </c>
      <c r="AB382" t="n">
        <v>2</v>
      </c>
      <c r="AC382" t="n">
        <v>3</v>
      </c>
      <c r="AD382" t="n">
        <v>7</v>
      </c>
      <c r="AE382" t="n">
        <v>10</v>
      </c>
      <c r="AF382" t="n">
        <v>0</v>
      </c>
      <c r="AG382" t="n">
        <v>1</v>
      </c>
      <c r="AH382" t="n">
        <v>4</v>
      </c>
      <c r="AI382" t="n">
        <v>5</v>
      </c>
      <c r="AJ382" t="n">
        <v>4</v>
      </c>
      <c r="AK382" t="n">
        <v>4</v>
      </c>
      <c r="AL382" t="n">
        <v>1</v>
      </c>
      <c r="AM382" t="n">
        <v>2</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HYPERLINK("https://creighton-primo.hosted.exlibrisgroup.com/primo-explore/search?tab=default_tab&amp;search_scope=EVERYTHING&amp;vid=01CRU&amp;lang=en_US&amp;offset=0&amp;query=any,contains,991002305609702656","Catalog Record")</f>
        <v/>
      </c>
      <c r="AT382">
        <f>HYPERLINK("http://www.worldcat.org/oclc/318139","WorldCat Record")</f>
        <v/>
      </c>
      <c r="AU382" t="inlineStr">
        <is>
          <t>411030:eng</t>
        </is>
      </c>
      <c r="AV382" t="inlineStr">
        <is>
          <t>318139</t>
        </is>
      </c>
      <c r="AW382" t="inlineStr">
        <is>
          <t>991002305609702656</t>
        </is>
      </c>
      <c r="AX382" t="inlineStr">
        <is>
          <t>991002305609702656</t>
        </is>
      </c>
      <c r="AY382" t="inlineStr">
        <is>
          <t>2270562900002656</t>
        </is>
      </c>
      <c r="AZ382" t="inlineStr">
        <is>
          <t>BOOK</t>
        </is>
      </c>
      <c r="BC382" t="inlineStr">
        <is>
          <t>32285003247847</t>
        </is>
      </c>
      <c r="BD382" t="inlineStr">
        <is>
          <t>893504263</t>
        </is>
      </c>
    </row>
    <row r="383">
      <c r="A383" t="inlineStr">
        <is>
          <t>No</t>
        </is>
      </c>
      <c r="B383" t="inlineStr">
        <is>
          <t>PE1475 .S75 1988</t>
        </is>
      </c>
      <c r="C383" t="inlineStr">
        <is>
          <t>0                      PE 1475000S  75          1988</t>
        </is>
      </c>
      <c r="D383" t="inlineStr">
        <is>
          <t>Solving problems in technical writing / edited by Lynn Beene and Peter White.</t>
        </is>
      </c>
      <c r="F383" t="inlineStr">
        <is>
          <t>No</t>
        </is>
      </c>
      <c r="G383" t="inlineStr">
        <is>
          <t>1</t>
        </is>
      </c>
      <c r="H383" t="inlineStr">
        <is>
          <t>No</t>
        </is>
      </c>
      <c r="I383" t="inlineStr">
        <is>
          <t>No</t>
        </is>
      </c>
      <c r="J383" t="inlineStr">
        <is>
          <t>0</t>
        </is>
      </c>
      <c r="L383" t="inlineStr">
        <is>
          <t>New York : Oxford University Press, 1988.</t>
        </is>
      </c>
      <c r="M383" t="inlineStr">
        <is>
          <t>1988</t>
        </is>
      </c>
      <c r="O383" t="inlineStr">
        <is>
          <t>eng</t>
        </is>
      </c>
      <c r="P383" t="inlineStr">
        <is>
          <t>nyu</t>
        </is>
      </c>
      <c r="R383" t="inlineStr">
        <is>
          <t xml:space="preserve">PE </t>
        </is>
      </c>
      <c r="S383" t="n">
        <v>2</v>
      </c>
      <c r="T383" t="n">
        <v>2</v>
      </c>
      <c r="U383" t="inlineStr">
        <is>
          <t>1998-04-20</t>
        </is>
      </c>
      <c r="V383" t="inlineStr">
        <is>
          <t>1998-04-20</t>
        </is>
      </c>
      <c r="W383" t="inlineStr">
        <is>
          <t>1996-09-03</t>
        </is>
      </c>
      <c r="X383" t="inlineStr">
        <is>
          <t>1996-09-03</t>
        </is>
      </c>
      <c r="Y383" t="n">
        <v>317</v>
      </c>
      <c r="Z383" t="n">
        <v>281</v>
      </c>
      <c r="AA383" t="n">
        <v>288</v>
      </c>
      <c r="AB383" t="n">
        <v>1</v>
      </c>
      <c r="AC383" t="n">
        <v>1</v>
      </c>
      <c r="AD383" t="n">
        <v>8</v>
      </c>
      <c r="AE383" t="n">
        <v>8</v>
      </c>
      <c r="AF383" t="n">
        <v>2</v>
      </c>
      <c r="AG383" t="n">
        <v>2</v>
      </c>
      <c r="AH383" t="n">
        <v>4</v>
      </c>
      <c r="AI383" t="n">
        <v>4</v>
      </c>
      <c r="AJ383" t="n">
        <v>6</v>
      </c>
      <c r="AK383" t="n">
        <v>6</v>
      </c>
      <c r="AL383" t="n">
        <v>0</v>
      </c>
      <c r="AM383" t="n">
        <v>0</v>
      </c>
      <c r="AN383" t="n">
        <v>0</v>
      </c>
      <c r="AO383" t="n">
        <v>0</v>
      </c>
      <c r="AP383" t="inlineStr">
        <is>
          <t>No</t>
        </is>
      </c>
      <c r="AQ383" t="inlineStr">
        <is>
          <t>Yes</t>
        </is>
      </c>
      <c r="AR383">
        <f>HYPERLINK("http://catalog.hathitrust.org/Record/000946218","HathiTrust Record")</f>
        <v/>
      </c>
      <c r="AS383">
        <f>HYPERLINK("https://creighton-primo.hosted.exlibrisgroup.com/primo-explore/search?tab=default_tab&amp;search_scope=EVERYTHING&amp;vid=01CRU&amp;lang=en_US&amp;offset=0&amp;query=any,contains,991001162509702656","Catalog Record")</f>
        <v/>
      </c>
      <c r="AT383">
        <f>HYPERLINK("http://www.worldcat.org/oclc/16901176","WorldCat Record")</f>
        <v/>
      </c>
      <c r="AU383" t="inlineStr">
        <is>
          <t>13090146:eng</t>
        </is>
      </c>
      <c r="AV383" t="inlineStr">
        <is>
          <t>16901176</t>
        </is>
      </c>
      <c r="AW383" t="inlineStr">
        <is>
          <t>991001162509702656</t>
        </is>
      </c>
      <c r="AX383" t="inlineStr">
        <is>
          <t>991001162509702656</t>
        </is>
      </c>
      <c r="AY383" t="inlineStr">
        <is>
          <t>2268470750002656</t>
        </is>
      </c>
      <c r="AZ383" t="inlineStr">
        <is>
          <t>BOOK</t>
        </is>
      </c>
      <c r="BB383" t="inlineStr">
        <is>
          <t>9780195053302</t>
        </is>
      </c>
      <c r="BC383" t="inlineStr">
        <is>
          <t>32285002293966</t>
        </is>
      </c>
      <c r="BD383" t="inlineStr">
        <is>
          <t>893334115</t>
        </is>
      </c>
    </row>
    <row r="384">
      <c r="A384" t="inlineStr">
        <is>
          <t>No</t>
        </is>
      </c>
      <c r="B384" t="inlineStr">
        <is>
          <t>PE1478 .G3 1950</t>
        </is>
      </c>
      <c r="C384" t="inlineStr">
        <is>
          <t>0                      PE 1478000G  3           1950</t>
        </is>
      </c>
      <c r="D384" t="inlineStr">
        <is>
          <t>Report writing, by Carl G. Gaum, Harold F. Graves and Lyne S. S. Hoffman.</t>
        </is>
      </c>
      <c r="F384" t="inlineStr">
        <is>
          <t>No</t>
        </is>
      </c>
      <c r="G384" t="inlineStr">
        <is>
          <t>1</t>
        </is>
      </c>
      <c r="H384" t="inlineStr">
        <is>
          <t>No</t>
        </is>
      </c>
      <c r="I384" t="inlineStr">
        <is>
          <t>No</t>
        </is>
      </c>
      <c r="J384" t="inlineStr">
        <is>
          <t>0</t>
        </is>
      </c>
      <c r="K384" t="inlineStr">
        <is>
          <t>Gaum, Carl G. (Carl Gilbert)</t>
        </is>
      </c>
      <c r="L384" t="inlineStr">
        <is>
          <t>New York, Prentice-Hall, 1950.</t>
        </is>
      </c>
      <c r="M384" t="inlineStr">
        <is>
          <t>1950</t>
        </is>
      </c>
      <c r="N384" t="inlineStr">
        <is>
          <t>3d ed.</t>
        </is>
      </c>
      <c r="O384" t="inlineStr">
        <is>
          <t>eng</t>
        </is>
      </c>
      <c r="P384" t="inlineStr">
        <is>
          <t xml:space="preserve">xx </t>
        </is>
      </c>
      <c r="R384" t="inlineStr">
        <is>
          <t xml:space="preserve">PE </t>
        </is>
      </c>
      <c r="S384" t="n">
        <v>3</v>
      </c>
      <c r="T384" t="n">
        <v>3</v>
      </c>
      <c r="U384" t="inlineStr">
        <is>
          <t>2005-11-30</t>
        </is>
      </c>
      <c r="V384" t="inlineStr">
        <is>
          <t>2005-11-30</t>
        </is>
      </c>
      <c r="W384" t="inlineStr">
        <is>
          <t>1997-09-25</t>
        </is>
      </c>
      <c r="X384" t="inlineStr">
        <is>
          <t>1997-09-25</t>
        </is>
      </c>
      <c r="Y384" t="n">
        <v>239</v>
      </c>
      <c r="Z384" t="n">
        <v>210</v>
      </c>
      <c r="AA384" t="n">
        <v>564</v>
      </c>
      <c r="AB384" t="n">
        <v>2</v>
      </c>
      <c r="AC384" t="n">
        <v>5</v>
      </c>
      <c r="AD384" t="n">
        <v>6</v>
      </c>
      <c r="AE384" t="n">
        <v>20</v>
      </c>
      <c r="AF384" t="n">
        <v>1</v>
      </c>
      <c r="AG384" t="n">
        <v>4</v>
      </c>
      <c r="AH384" t="n">
        <v>2</v>
      </c>
      <c r="AI384" t="n">
        <v>4</v>
      </c>
      <c r="AJ384" t="n">
        <v>3</v>
      </c>
      <c r="AK384" t="n">
        <v>8</v>
      </c>
      <c r="AL384" t="n">
        <v>1</v>
      </c>
      <c r="AM384" t="n">
        <v>4</v>
      </c>
      <c r="AN384" t="n">
        <v>0</v>
      </c>
      <c r="AO384" t="n">
        <v>1</v>
      </c>
      <c r="AP384" t="inlineStr">
        <is>
          <t>No</t>
        </is>
      </c>
      <c r="AQ384" t="inlineStr">
        <is>
          <t>Yes</t>
        </is>
      </c>
      <c r="AR384">
        <f>HYPERLINK("http://catalog.hathitrust.org/Record/001183185","HathiTrust Record")</f>
        <v/>
      </c>
      <c r="AS384">
        <f>HYPERLINK("https://creighton-primo.hosted.exlibrisgroup.com/primo-explore/search?tab=default_tab&amp;search_scope=EVERYTHING&amp;vid=01CRU&amp;lang=en_US&amp;offset=0&amp;query=any,contains,991003712469702656","Catalog Record")</f>
        <v/>
      </c>
      <c r="AT384">
        <f>HYPERLINK("http://www.worldcat.org/oclc/1354391","WorldCat Record")</f>
        <v/>
      </c>
      <c r="AU384" t="inlineStr">
        <is>
          <t>2250060:eng</t>
        </is>
      </c>
      <c r="AV384" t="inlineStr">
        <is>
          <t>1354391</t>
        </is>
      </c>
      <c r="AW384" t="inlineStr">
        <is>
          <t>991003712469702656</t>
        </is>
      </c>
      <c r="AX384" t="inlineStr">
        <is>
          <t>991003712469702656</t>
        </is>
      </c>
      <c r="AY384" t="inlineStr">
        <is>
          <t>2271078210002656</t>
        </is>
      </c>
      <c r="AZ384" t="inlineStr">
        <is>
          <t>BOOK</t>
        </is>
      </c>
      <c r="BC384" t="inlineStr">
        <is>
          <t>32285003247938</t>
        </is>
      </c>
      <c r="BD384" t="inlineStr">
        <is>
          <t>893349045</t>
        </is>
      </c>
    </row>
    <row r="385">
      <c r="A385" t="inlineStr">
        <is>
          <t>No</t>
        </is>
      </c>
      <c r="B385" t="inlineStr">
        <is>
          <t>PE1478 .P8 1968</t>
        </is>
      </c>
      <c r="C385" t="inlineStr">
        <is>
          <t>0                      PE 1478000P  8           1968</t>
        </is>
      </c>
      <c r="D385" t="inlineStr">
        <is>
          <t>Guide to research writing.</t>
        </is>
      </c>
      <c r="F385" t="inlineStr">
        <is>
          <t>No</t>
        </is>
      </c>
      <c r="G385" t="inlineStr">
        <is>
          <t>1</t>
        </is>
      </c>
      <c r="H385" t="inlineStr">
        <is>
          <t>No</t>
        </is>
      </c>
      <c r="I385" t="inlineStr">
        <is>
          <t>No</t>
        </is>
      </c>
      <c r="J385" t="inlineStr">
        <is>
          <t>0</t>
        </is>
      </c>
      <c r="K385" t="inlineStr">
        <is>
          <t>Pugh, Griffith Thompson, 1908-</t>
        </is>
      </c>
      <c r="L385" t="inlineStr">
        <is>
          <t>Boston, Houghton Mifflin [c1968]</t>
        </is>
      </c>
      <c r="M385" t="inlineStr">
        <is>
          <t>1968</t>
        </is>
      </c>
      <c r="N385" t="inlineStr">
        <is>
          <t>3d ed.</t>
        </is>
      </c>
      <c r="O385" t="inlineStr">
        <is>
          <t>eng</t>
        </is>
      </c>
      <c r="P385" t="inlineStr">
        <is>
          <t xml:space="preserve">xx </t>
        </is>
      </c>
      <c r="R385" t="inlineStr">
        <is>
          <t xml:space="preserve">PE </t>
        </is>
      </c>
      <c r="S385" t="n">
        <v>1</v>
      </c>
      <c r="T385" t="n">
        <v>1</v>
      </c>
      <c r="U385" t="inlineStr">
        <is>
          <t>1998-04-17</t>
        </is>
      </c>
      <c r="V385" t="inlineStr">
        <is>
          <t>1998-04-17</t>
        </is>
      </c>
      <c r="W385" t="inlineStr">
        <is>
          <t>1997-09-25</t>
        </is>
      </c>
      <c r="X385" t="inlineStr">
        <is>
          <t>1997-09-25</t>
        </is>
      </c>
      <c r="Y385" t="n">
        <v>167</v>
      </c>
      <c r="Z385" t="n">
        <v>141</v>
      </c>
      <c r="AA385" t="n">
        <v>286</v>
      </c>
      <c r="AB385" t="n">
        <v>1</v>
      </c>
      <c r="AC385" t="n">
        <v>3</v>
      </c>
      <c r="AD385" t="n">
        <v>7</v>
      </c>
      <c r="AE385" t="n">
        <v>16</v>
      </c>
      <c r="AF385" t="n">
        <v>3</v>
      </c>
      <c r="AG385" t="n">
        <v>8</v>
      </c>
      <c r="AH385" t="n">
        <v>0</v>
      </c>
      <c r="AI385" t="n">
        <v>2</v>
      </c>
      <c r="AJ385" t="n">
        <v>5</v>
      </c>
      <c r="AK385" t="n">
        <v>8</v>
      </c>
      <c r="AL385" t="n">
        <v>0</v>
      </c>
      <c r="AM385" t="n">
        <v>2</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HYPERLINK("https://creighton-primo.hosted.exlibrisgroup.com/primo-explore/search?tab=default_tab&amp;search_scope=EVERYTHING&amp;vid=01CRU&amp;lang=en_US&amp;offset=0&amp;query=any,contains,991003042179702656","Catalog Record")</f>
        <v/>
      </c>
      <c r="AT385">
        <f>HYPERLINK("http://www.worldcat.org/oclc/603353","WorldCat Record")</f>
        <v/>
      </c>
      <c r="AU385" t="inlineStr">
        <is>
          <t>1609217:eng</t>
        </is>
      </c>
      <c r="AV385" t="inlineStr">
        <is>
          <t>603353</t>
        </is>
      </c>
      <c r="AW385" t="inlineStr">
        <is>
          <t>991003042179702656</t>
        </is>
      </c>
      <c r="AX385" t="inlineStr">
        <is>
          <t>991003042179702656</t>
        </is>
      </c>
      <c r="AY385" t="inlineStr">
        <is>
          <t>2260338030002656</t>
        </is>
      </c>
      <c r="AZ385" t="inlineStr">
        <is>
          <t>BOOK</t>
        </is>
      </c>
      <c r="BC385" t="inlineStr">
        <is>
          <t>32285003247953</t>
        </is>
      </c>
      <c r="BD385" t="inlineStr">
        <is>
          <t>893692338</t>
        </is>
      </c>
    </row>
    <row r="386">
      <c r="A386" t="inlineStr">
        <is>
          <t>No</t>
        </is>
      </c>
      <c r="B386" t="inlineStr">
        <is>
          <t>PE1478 .W7 1981</t>
        </is>
      </c>
      <c r="C386" t="inlineStr">
        <is>
          <t>0                      PE 1478000W  7           1981</t>
        </is>
      </c>
      <c r="D386" t="inlineStr">
        <is>
          <t>Writing in the arts and sciences / Elaine P. Maimon ... [et al.].</t>
        </is>
      </c>
      <c r="F386" t="inlineStr">
        <is>
          <t>No</t>
        </is>
      </c>
      <c r="G386" t="inlineStr">
        <is>
          <t>1</t>
        </is>
      </c>
      <c r="H386" t="inlineStr">
        <is>
          <t>No</t>
        </is>
      </c>
      <c r="I386" t="inlineStr">
        <is>
          <t>No</t>
        </is>
      </c>
      <c r="J386" t="inlineStr">
        <is>
          <t>0</t>
        </is>
      </c>
      <c r="L386" t="inlineStr">
        <is>
          <t>Cambridge, MA : Winthrop Publishers, c1981.</t>
        </is>
      </c>
      <c r="M386" t="inlineStr">
        <is>
          <t>1981</t>
        </is>
      </c>
      <c r="O386" t="inlineStr">
        <is>
          <t>eng</t>
        </is>
      </c>
      <c r="P386" t="inlineStr">
        <is>
          <t>mau</t>
        </is>
      </c>
      <c r="R386" t="inlineStr">
        <is>
          <t xml:space="preserve">PE </t>
        </is>
      </c>
      <c r="S386" t="n">
        <v>6</v>
      </c>
      <c r="T386" t="n">
        <v>6</v>
      </c>
      <c r="U386" t="inlineStr">
        <is>
          <t>2005-01-18</t>
        </is>
      </c>
      <c r="V386" t="inlineStr">
        <is>
          <t>2005-01-18</t>
        </is>
      </c>
      <c r="W386" t="inlineStr">
        <is>
          <t>1996-09-03</t>
        </is>
      </c>
      <c r="X386" t="inlineStr">
        <is>
          <t>1996-09-03</t>
        </is>
      </c>
      <c r="Y386" t="n">
        <v>346</v>
      </c>
      <c r="Z386" t="n">
        <v>315</v>
      </c>
      <c r="AA386" t="n">
        <v>412</v>
      </c>
      <c r="AB386" t="n">
        <v>1</v>
      </c>
      <c r="AC386" t="n">
        <v>2</v>
      </c>
      <c r="AD386" t="n">
        <v>7</v>
      </c>
      <c r="AE386" t="n">
        <v>15</v>
      </c>
      <c r="AF386" t="n">
        <v>4</v>
      </c>
      <c r="AG386" t="n">
        <v>6</v>
      </c>
      <c r="AH386" t="n">
        <v>2</v>
      </c>
      <c r="AI386" t="n">
        <v>5</v>
      </c>
      <c r="AJ386" t="n">
        <v>5</v>
      </c>
      <c r="AK386" t="n">
        <v>7</v>
      </c>
      <c r="AL386" t="n">
        <v>0</v>
      </c>
      <c r="AM386" t="n">
        <v>1</v>
      </c>
      <c r="AN386" t="n">
        <v>0</v>
      </c>
      <c r="AO386" t="n">
        <v>0</v>
      </c>
      <c r="AP386" t="inlineStr">
        <is>
          <t>No</t>
        </is>
      </c>
      <c r="AQ386" t="inlineStr">
        <is>
          <t>Yes</t>
        </is>
      </c>
      <c r="AR386">
        <f>HYPERLINK("http://catalog.hathitrust.org/Record/000277067","HathiTrust Record")</f>
        <v/>
      </c>
      <c r="AS386">
        <f>HYPERLINK("https://creighton-primo.hosted.exlibrisgroup.com/primo-explore/search?tab=default_tab&amp;search_scope=EVERYTHING&amp;vid=01CRU&amp;lang=en_US&amp;offset=0&amp;query=any,contains,991005059359702656","Catalog Record")</f>
        <v/>
      </c>
      <c r="AT386">
        <f>HYPERLINK("http://www.worldcat.org/oclc/6916164","WorldCat Record")</f>
        <v/>
      </c>
      <c r="AU386" t="inlineStr">
        <is>
          <t>54410415:eng</t>
        </is>
      </c>
      <c r="AV386" t="inlineStr">
        <is>
          <t>6916164</t>
        </is>
      </c>
      <c r="AW386" t="inlineStr">
        <is>
          <t>991005059359702656</t>
        </is>
      </c>
      <c r="AX386" t="inlineStr">
        <is>
          <t>991005059359702656</t>
        </is>
      </c>
      <c r="AY386" t="inlineStr">
        <is>
          <t>2266273490002656</t>
        </is>
      </c>
      <c r="AZ386" t="inlineStr">
        <is>
          <t>BOOK</t>
        </is>
      </c>
      <c r="BB386" t="inlineStr">
        <is>
          <t>9780876269572</t>
        </is>
      </c>
      <c r="BC386" t="inlineStr">
        <is>
          <t>32285002293560</t>
        </is>
      </c>
      <c r="BD386" t="inlineStr">
        <is>
          <t>893533091</t>
        </is>
      </c>
    </row>
    <row r="387">
      <c r="A387" t="inlineStr">
        <is>
          <t>No</t>
        </is>
      </c>
      <c r="B387" t="inlineStr">
        <is>
          <t>PE1479.C7 C6 1973</t>
        </is>
      </c>
      <c r="C387" t="inlineStr">
        <is>
          <t>0                      PE 1479000C  7                  C  6           1973</t>
        </is>
      </c>
      <c r="D387" t="inlineStr">
        <is>
          <t>Writing about literature / [by] B. Bernard Cohen. With an essay on writing about film by Leo Braudy.</t>
        </is>
      </c>
      <c r="F387" t="inlineStr">
        <is>
          <t>No</t>
        </is>
      </c>
      <c r="G387" t="inlineStr">
        <is>
          <t>1</t>
        </is>
      </c>
      <c r="H387" t="inlineStr">
        <is>
          <t>No</t>
        </is>
      </c>
      <c r="I387" t="inlineStr">
        <is>
          <t>No</t>
        </is>
      </c>
      <c r="J387" t="inlineStr">
        <is>
          <t>0</t>
        </is>
      </c>
      <c r="K387" t="inlineStr">
        <is>
          <t>Cohen, Benjamin Bernard, 1922-</t>
        </is>
      </c>
      <c r="L387" t="inlineStr">
        <is>
          <t>Glenview, Ill. : Scott, Foresman, [1973]</t>
        </is>
      </c>
      <c r="M387" t="inlineStr">
        <is>
          <t>1973</t>
        </is>
      </c>
      <c r="N387" t="inlineStr">
        <is>
          <t>Rev. ed.</t>
        </is>
      </c>
      <c r="O387" t="inlineStr">
        <is>
          <t>eng</t>
        </is>
      </c>
      <c r="P387" t="inlineStr">
        <is>
          <t>ilu</t>
        </is>
      </c>
      <c r="R387" t="inlineStr">
        <is>
          <t xml:space="preserve">PE </t>
        </is>
      </c>
      <c r="S387" t="n">
        <v>2</v>
      </c>
      <c r="T387" t="n">
        <v>2</v>
      </c>
      <c r="U387" t="inlineStr">
        <is>
          <t>1998-08-30</t>
        </is>
      </c>
      <c r="V387" t="inlineStr">
        <is>
          <t>1998-08-30</t>
        </is>
      </c>
      <c r="W387" t="inlineStr">
        <is>
          <t>1994-11-29</t>
        </is>
      </c>
      <c r="X387" t="inlineStr">
        <is>
          <t>1994-11-29</t>
        </is>
      </c>
      <c r="Y387" t="n">
        <v>258</v>
      </c>
      <c r="Z387" t="n">
        <v>199</v>
      </c>
      <c r="AA387" t="n">
        <v>525</v>
      </c>
      <c r="AB387" t="n">
        <v>2</v>
      </c>
      <c r="AC387" t="n">
        <v>6</v>
      </c>
      <c r="AD387" t="n">
        <v>10</v>
      </c>
      <c r="AE387" t="n">
        <v>23</v>
      </c>
      <c r="AF387" t="n">
        <v>6</v>
      </c>
      <c r="AG387" t="n">
        <v>8</v>
      </c>
      <c r="AH387" t="n">
        <v>1</v>
      </c>
      <c r="AI387" t="n">
        <v>5</v>
      </c>
      <c r="AJ387" t="n">
        <v>7</v>
      </c>
      <c r="AK387" t="n">
        <v>11</v>
      </c>
      <c r="AL387" t="n">
        <v>0</v>
      </c>
      <c r="AM387" t="n">
        <v>4</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HYPERLINK("https://creighton-primo.hosted.exlibrisgroup.com/primo-explore/search?tab=default_tab&amp;search_scope=EVERYTHING&amp;vid=01CRU&amp;lang=en_US&amp;offset=0&amp;query=any,contains,991003077529702656","Catalog Record")</f>
        <v/>
      </c>
      <c r="AT387">
        <f>HYPERLINK("http://www.worldcat.org/oclc/630501","WorldCat Record")</f>
        <v/>
      </c>
      <c r="AU387" t="inlineStr">
        <is>
          <t>520218:eng</t>
        </is>
      </c>
      <c r="AV387" t="inlineStr">
        <is>
          <t>630501</t>
        </is>
      </c>
      <c r="AW387" t="inlineStr">
        <is>
          <t>991003077529702656</t>
        </is>
      </c>
      <c r="AX387" t="inlineStr">
        <is>
          <t>991003077529702656</t>
        </is>
      </c>
      <c r="AY387" t="inlineStr">
        <is>
          <t>2262359490002656</t>
        </is>
      </c>
      <c r="AZ387" t="inlineStr">
        <is>
          <t>BOOK</t>
        </is>
      </c>
      <c r="BC387" t="inlineStr">
        <is>
          <t>32285001968816</t>
        </is>
      </c>
      <c r="BD387" t="inlineStr">
        <is>
          <t>893627445</t>
        </is>
      </c>
    </row>
    <row r="388">
      <c r="A388" t="inlineStr">
        <is>
          <t>No</t>
        </is>
      </c>
      <c r="B388" t="inlineStr">
        <is>
          <t>PE1479.C7 M49 1995</t>
        </is>
      </c>
      <c r="C388" t="inlineStr">
        <is>
          <t>0                      PE 1479000C  7                  M  49          1995</t>
        </is>
      </c>
      <c r="D388" t="inlineStr">
        <is>
          <t>Thinking and writing about literature / Michael Meyer.</t>
        </is>
      </c>
      <c r="F388" t="inlineStr">
        <is>
          <t>No</t>
        </is>
      </c>
      <c r="G388" t="inlineStr">
        <is>
          <t>1</t>
        </is>
      </c>
      <c r="H388" t="inlineStr">
        <is>
          <t>No</t>
        </is>
      </c>
      <c r="I388" t="inlineStr">
        <is>
          <t>No</t>
        </is>
      </c>
      <c r="J388" t="inlineStr">
        <is>
          <t>0</t>
        </is>
      </c>
      <c r="K388" t="inlineStr">
        <is>
          <t>Meyer, Michael, 1945-</t>
        </is>
      </c>
      <c r="L388" t="inlineStr">
        <is>
          <t>Boston : Bedford Books of St. Martin's Press, c1995.</t>
        </is>
      </c>
      <c r="M388" t="inlineStr">
        <is>
          <t>1995</t>
        </is>
      </c>
      <c r="O388" t="inlineStr">
        <is>
          <t>eng</t>
        </is>
      </c>
      <c r="P388" t="inlineStr">
        <is>
          <t>mau</t>
        </is>
      </c>
      <c r="R388" t="inlineStr">
        <is>
          <t xml:space="preserve">PE </t>
        </is>
      </c>
      <c r="S388" t="n">
        <v>3</v>
      </c>
      <c r="T388" t="n">
        <v>3</v>
      </c>
      <c r="U388" t="inlineStr">
        <is>
          <t>2003-09-23</t>
        </is>
      </c>
      <c r="V388" t="inlineStr">
        <is>
          <t>2003-09-23</t>
        </is>
      </c>
      <c r="W388" t="inlineStr">
        <is>
          <t>2003-09-23</t>
        </is>
      </c>
      <c r="X388" t="inlineStr">
        <is>
          <t>2003-09-23</t>
        </is>
      </c>
      <c r="Y388" t="n">
        <v>178</v>
      </c>
      <c r="Z388" t="n">
        <v>158</v>
      </c>
      <c r="AA388" t="n">
        <v>225</v>
      </c>
      <c r="AB388" t="n">
        <v>1</v>
      </c>
      <c r="AC388" t="n">
        <v>1</v>
      </c>
      <c r="AD388" t="n">
        <v>5</v>
      </c>
      <c r="AE388" t="n">
        <v>5</v>
      </c>
      <c r="AF388" t="n">
        <v>3</v>
      </c>
      <c r="AG388" t="n">
        <v>3</v>
      </c>
      <c r="AH388" t="n">
        <v>2</v>
      </c>
      <c r="AI388" t="n">
        <v>2</v>
      </c>
      <c r="AJ388" t="n">
        <v>2</v>
      </c>
      <c r="AK388" t="n">
        <v>2</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HYPERLINK("https://creighton-primo.hosted.exlibrisgroup.com/primo-explore/search?tab=default_tab&amp;search_scope=EVERYTHING&amp;vid=01CRU&amp;lang=en_US&amp;offset=0&amp;query=any,contains,991004130399702656","Catalog Record")</f>
        <v/>
      </c>
      <c r="AT388">
        <f>HYPERLINK("http://www.worldcat.org/oclc/32176584","WorldCat Record")</f>
        <v/>
      </c>
      <c r="AU388" t="inlineStr">
        <is>
          <t>35736816:eng</t>
        </is>
      </c>
      <c r="AV388" t="inlineStr">
        <is>
          <t>32176584</t>
        </is>
      </c>
      <c r="AW388" t="inlineStr">
        <is>
          <t>991004130399702656</t>
        </is>
      </c>
      <c r="AX388" t="inlineStr">
        <is>
          <t>991004130399702656</t>
        </is>
      </c>
      <c r="AY388" t="inlineStr">
        <is>
          <t>2268188450002656</t>
        </is>
      </c>
      <c r="AZ388" t="inlineStr">
        <is>
          <t>BOOK</t>
        </is>
      </c>
      <c r="BB388" t="inlineStr">
        <is>
          <t>9780312111663</t>
        </is>
      </c>
      <c r="BC388" t="inlineStr">
        <is>
          <t>32285004784418</t>
        </is>
      </c>
      <c r="BD388" t="inlineStr">
        <is>
          <t>893506446</t>
        </is>
      </c>
    </row>
    <row r="389">
      <c r="A389" t="inlineStr">
        <is>
          <t>No</t>
        </is>
      </c>
      <c r="B389" t="inlineStr">
        <is>
          <t>PE1479.C7 R59 1973</t>
        </is>
      </c>
      <c r="C389" t="inlineStr">
        <is>
          <t>0                      PE 1479000C  7                  R  59          1973</t>
        </is>
      </c>
      <c r="D389" t="inlineStr">
        <is>
          <t>Writing themes about literature / [by] Edgar V. Roberts.</t>
        </is>
      </c>
      <c r="F389" t="inlineStr">
        <is>
          <t>No</t>
        </is>
      </c>
      <c r="G389" t="inlineStr">
        <is>
          <t>1</t>
        </is>
      </c>
      <c r="H389" t="inlineStr">
        <is>
          <t>No</t>
        </is>
      </c>
      <c r="I389" t="inlineStr">
        <is>
          <t>No</t>
        </is>
      </c>
      <c r="J389" t="inlineStr">
        <is>
          <t>0</t>
        </is>
      </c>
      <c r="K389" t="inlineStr">
        <is>
          <t>Roberts, Edgar V.</t>
        </is>
      </c>
      <c r="L389" t="inlineStr">
        <is>
          <t>Englewood Cliffs, N.J. : Prentice-Hall, [1973]</t>
        </is>
      </c>
      <c r="M389" t="inlineStr">
        <is>
          <t>1973</t>
        </is>
      </c>
      <c r="N389" t="inlineStr">
        <is>
          <t>3d ed.</t>
        </is>
      </c>
      <c r="O389" t="inlineStr">
        <is>
          <t>eng</t>
        </is>
      </c>
      <c r="P389" t="inlineStr">
        <is>
          <t>nju</t>
        </is>
      </c>
      <c r="R389" t="inlineStr">
        <is>
          <t xml:space="preserve">PE </t>
        </is>
      </c>
      <c r="S389" t="n">
        <v>10</v>
      </c>
      <c r="T389" t="n">
        <v>10</v>
      </c>
      <c r="U389" t="inlineStr">
        <is>
          <t>2000-09-22</t>
        </is>
      </c>
      <c r="V389" t="inlineStr">
        <is>
          <t>2000-09-22</t>
        </is>
      </c>
      <c r="W389" t="inlineStr">
        <is>
          <t>1990-10-03</t>
        </is>
      </c>
      <c r="X389" t="inlineStr">
        <is>
          <t>1990-10-03</t>
        </is>
      </c>
      <c r="Y389" t="n">
        <v>352</v>
      </c>
      <c r="Z389" t="n">
        <v>302</v>
      </c>
      <c r="AA389" t="n">
        <v>1032</v>
      </c>
      <c r="AB389" t="n">
        <v>1</v>
      </c>
      <c r="AC389" t="n">
        <v>6</v>
      </c>
      <c r="AD389" t="n">
        <v>6</v>
      </c>
      <c r="AE389" t="n">
        <v>23</v>
      </c>
      <c r="AF389" t="n">
        <v>1</v>
      </c>
      <c r="AG389" t="n">
        <v>7</v>
      </c>
      <c r="AH389" t="n">
        <v>2</v>
      </c>
      <c r="AI389" t="n">
        <v>2</v>
      </c>
      <c r="AJ389" t="n">
        <v>6</v>
      </c>
      <c r="AK389" t="n">
        <v>13</v>
      </c>
      <c r="AL389" t="n">
        <v>0</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HYPERLINK("https://creighton-primo.hosted.exlibrisgroup.com/primo-explore/search?tab=default_tab&amp;search_scope=EVERYTHING&amp;vid=01CRU&amp;lang=en_US&amp;offset=0&amp;query=any,contains,991002731929702656","Catalog Record")</f>
        <v/>
      </c>
      <c r="AT389">
        <f>HYPERLINK("http://www.worldcat.org/oclc/416980","WorldCat Record")</f>
        <v/>
      </c>
      <c r="AU389" t="inlineStr">
        <is>
          <t>1127443:eng</t>
        </is>
      </c>
      <c r="AV389" t="inlineStr">
        <is>
          <t>416980</t>
        </is>
      </c>
      <c r="AW389" t="inlineStr">
        <is>
          <t>991002731929702656</t>
        </is>
      </c>
      <c r="AX389" t="inlineStr">
        <is>
          <t>991002731929702656</t>
        </is>
      </c>
      <c r="AY389" t="inlineStr">
        <is>
          <t>2268608030002656</t>
        </is>
      </c>
      <c r="AZ389" t="inlineStr">
        <is>
          <t>BOOK</t>
        </is>
      </c>
      <c r="BB389" t="inlineStr">
        <is>
          <t>9780139707315</t>
        </is>
      </c>
      <c r="BC389" t="inlineStr">
        <is>
          <t>32285000295898</t>
        </is>
      </c>
      <c r="BD389" t="inlineStr">
        <is>
          <t>893257638</t>
        </is>
      </c>
    </row>
    <row r="390">
      <c r="A390" t="inlineStr">
        <is>
          <t>No</t>
        </is>
      </c>
      <c r="B390" t="inlineStr">
        <is>
          <t>PE1479.R2 B3 1947</t>
        </is>
      </c>
      <c r="C390" t="inlineStr">
        <is>
          <t>0                      PE 1479000R  2                  B  3           1947</t>
        </is>
      </c>
      <c r="D390" t="inlineStr">
        <is>
          <t>Handbook of radio writing; an outline of techniques and markets in radio writing in the United States, by Erik Barnouw ...</t>
        </is>
      </c>
      <c r="F390" t="inlineStr">
        <is>
          <t>No</t>
        </is>
      </c>
      <c r="G390" t="inlineStr">
        <is>
          <t>1</t>
        </is>
      </c>
      <c r="H390" t="inlineStr">
        <is>
          <t>No</t>
        </is>
      </c>
      <c r="I390" t="inlineStr">
        <is>
          <t>No</t>
        </is>
      </c>
      <c r="J390" t="inlineStr">
        <is>
          <t>0</t>
        </is>
      </c>
      <c r="K390" t="inlineStr">
        <is>
          <t>Barnouw, Erik, 1908-2001.</t>
        </is>
      </c>
      <c r="L390" t="inlineStr">
        <is>
          <t>Boston, Little Brown and Company, 1947.</t>
        </is>
      </c>
      <c r="M390" t="inlineStr">
        <is>
          <t>1947</t>
        </is>
      </c>
      <c r="N390" t="inlineStr">
        <is>
          <t>Completely rev. ed.</t>
        </is>
      </c>
      <c r="O390" t="inlineStr">
        <is>
          <t>eng</t>
        </is>
      </c>
      <c r="P390" t="inlineStr">
        <is>
          <t>mau</t>
        </is>
      </c>
      <c r="R390" t="inlineStr">
        <is>
          <t xml:space="preserve">PE </t>
        </is>
      </c>
      <c r="S390" t="n">
        <v>2</v>
      </c>
      <c r="T390" t="n">
        <v>2</v>
      </c>
      <c r="U390" t="inlineStr">
        <is>
          <t>2003-12-15</t>
        </is>
      </c>
      <c r="V390" t="inlineStr">
        <is>
          <t>2003-12-15</t>
        </is>
      </c>
      <c r="W390" t="inlineStr">
        <is>
          <t>1997-09-25</t>
        </is>
      </c>
      <c r="X390" t="inlineStr">
        <is>
          <t>1997-09-25</t>
        </is>
      </c>
      <c r="Y390" t="n">
        <v>148</v>
      </c>
      <c r="Z390" t="n">
        <v>136</v>
      </c>
      <c r="AA390" t="n">
        <v>296</v>
      </c>
      <c r="AB390" t="n">
        <v>2</v>
      </c>
      <c r="AC390" t="n">
        <v>5</v>
      </c>
      <c r="AD390" t="n">
        <v>8</v>
      </c>
      <c r="AE390" t="n">
        <v>16</v>
      </c>
      <c r="AF390" t="n">
        <v>1</v>
      </c>
      <c r="AG390" t="n">
        <v>2</v>
      </c>
      <c r="AH390" t="n">
        <v>3</v>
      </c>
      <c r="AI390" t="n">
        <v>5</v>
      </c>
      <c r="AJ390" t="n">
        <v>4</v>
      </c>
      <c r="AK390" t="n">
        <v>8</v>
      </c>
      <c r="AL390" t="n">
        <v>2</v>
      </c>
      <c r="AM390" t="n">
        <v>5</v>
      </c>
      <c r="AN390" t="n">
        <v>0</v>
      </c>
      <c r="AO390" t="n">
        <v>0</v>
      </c>
      <c r="AP390" t="inlineStr">
        <is>
          <t>No</t>
        </is>
      </c>
      <c r="AQ390" t="inlineStr">
        <is>
          <t>No</t>
        </is>
      </c>
      <c r="AR390">
        <f>HYPERLINK("http://catalog.hathitrust.org/Record/006579920","HathiTrust Record")</f>
        <v/>
      </c>
      <c r="AS390">
        <f>HYPERLINK("https://creighton-primo.hosted.exlibrisgroup.com/primo-explore/search?tab=default_tab&amp;search_scope=EVERYTHING&amp;vid=01CRU&amp;lang=en_US&amp;offset=0&amp;query=any,contains,991003776609702656","Catalog Record")</f>
        <v/>
      </c>
      <c r="AT390">
        <f>HYPERLINK("http://www.worldcat.org/oclc/1484882","WorldCat Record")</f>
        <v/>
      </c>
      <c r="AU390" t="inlineStr">
        <is>
          <t>428262905:eng</t>
        </is>
      </c>
      <c r="AV390" t="inlineStr">
        <is>
          <t>1484882</t>
        </is>
      </c>
      <c r="AW390" t="inlineStr">
        <is>
          <t>991003776609702656</t>
        </is>
      </c>
      <c r="AX390" t="inlineStr">
        <is>
          <t>991003776609702656</t>
        </is>
      </c>
      <c r="AY390" t="inlineStr">
        <is>
          <t>2269648340002656</t>
        </is>
      </c>
      <c r="AZ390" t="inlineStr">
        <is>
          <t>BOOK</t>
        </is>
      </c>
      <c r="BC390" t="inlineStr">
        <is>
          <t>32285003247995</t>
        </is>
      </c>
      <c r="BD390" t="inlineStr">
        <is>
          <t>893505982</t>
        </is>
      </c>
    </row>
    <row r="391">
      <c r="A391" t="inlineStr">
        <is>
          <t>No</t>
        </is>
      </c>
      <c r="B391" t="inlineStr">
        <is>
          <t>PE1479.R2 L3</t>
        </is>
      </c>
      <c r="C391" t="inlineStr">
        <is>
          <t>0                      PE 1479000R  2                  L  3</t>
        </is>
      </c>
      <c r="D391" t="inlineStr">
        <is>
          <t>Off mike; radio writing by the nation's top radio writers, edited by Jerome Lawrence.</t>
        </is>
      </c>
      <c r="F391" t="inlineStr">
        <is>
          <t>No</t>
        </is>
      </c>
      <c r="G391" t="inlineStr">
        <is>
          <t>1</t>
        </is>
      </c>
      <c r="H391" t="inlineStr">
        <is>
          <t>No</t>
        </is>
      </c>
      <c r="I391" t="inlineStr">
        <is>
          <t>No</t>
        </is>
      </c>
      <c r="J391" t="inlineStr">
        <is>
          <t>0</t>
        </is>
      </c>
      <c r="K391" t="inlineStr">
        <is>
          <t>Lawrence, Jerome, 1915-2004, editor.</t>
        </is>
      </c>
      <c r="L391" t="inlineStr">
        <is>
          <t>New York, Essential Books, distributed by Duell, Sloan and Pearce [1944]</t>
        </is>
      </c>
      <c r="M391" t="inlineStr">
        <is>
          <t>1944</t>
        </is>
      </c>
      <c r="O391" t="inlineStr">
        <is>
          <t>eng</t>
        </is>
      </c>
      <c r="P391" t="inlineStr">
        <is>
          <t>nyu</t>
        </is>
      </c>
      <c r="R391" t="inlineStr">
        <is>
          <t xml:space="preserve">PE </t>
        </is>
      </c>
      <c r="S391" t="n">
        <v>2</v>
      </c>
      <c r="T391" t="n">
        <v>2</v>
      </c>
      <c r="U391" t="inlineStr">
        <is>
          <t>2003-12-15</t>
        </is>
      </c>
      <c r="V391" t="inlineStr">
        <is>
          <t>2003-12-15</t>
        </is>
      </c>
      <c r="W391" t="inlineStr">
        <is>
          <t>1997-09-25</t>
        </is>
      </c>
      <c r="X391" t="inlineStr">
        <is>
          <t>1997-09-25</t>
        </is>
      </c>
      <c r="Y391" t="n">
        <v>134</v>
      </c>
      <c r="Z391" t="n">
        <v>118</v>
      </c>
      <c r="AA391" t="n">
        <v>120</v>
      </c>
      <c r="AB391" t="n">
        <v>2</v>
      </c>
      <c r="AC391" t="n">
        <v>2</v>
      </c>
      <c r="AD391" t="n">
        <v>4</v>
      </c>
      <c r="AE391" t="n">
        <v>4</v>
      </c>
      <c r="AF391" t="n">
        <v>2</v>
      </c>
      <c r="AG391" t="n">
        <v>2</v>
      </c>
      <c r="AH391" t="n">
        <v>1</v>
      </c>
      <c r="AI391" t="n">
        <v>1</v>
      </c>
      <c r="AJ391" t="n">
        <v>2</v>
      </c>
      <c r="AK391" t="n">
        <v>2</v>
      </c>
      <c r="AL391" t="n">
        <v>1</v>
      </c>
      <c r="AM391" t="n">
        <v>1</v>
      </c>
      <c r="AN391" t="n">
        <v>0</v>
      </c>
      <c r="AO391" t="n">
        <v>0</v>
      </c>
      <c r="AP391" t="inlineStr">
        <is>
          <t>No</t>
        </is>
      </c>
      <c r="AQ391" t="inlineStr">
        <is>
          <t>No</t>
        </is>
      </c>
      <c r="AR391">
        <f>HYPERLINK("http://catalog.hathitrust.org/Record/000771343","HathiTrust Record")</f>
        <v/>
      </c>
      <c r="AS391">
        <f>HYPERLINK("https://creighton-primo.hosted.exlibrisgroup.com/primo-explore/search?tab=default_tab&amp;search_scope=EVERYTHING&amp;vid=01CRU&amp;lang=en_US&amp;offset=0&amp;query=any,contains,991003754259702656","Catalog Record")</f>
        <v/>
      </c>
      <c r="AT391">
        <f>HYPERLINK("http://www.worldcat.org/oclc/1433494","WorldCat Record")</f>
        <v/>
      </c>
      <c r="AU391" t="inlineStr">
        <is>
          <t>372514966:eng</t>
        </is>
      </c>
      <c r="AV391" t="inlineStr">
        <is>
          <t>1433494</t>
        </is>
      </c>
      <c r="AW391" t="inlineStr">
        <is>
          <t>991003754259702656</t>
        </is>
      </c>
      <c r="AX391" t="inlineStr">
        <is>
          <t>991003754259702656</t>
        </is>
      </c>
      <c r="AY391" t="inlineStr">
        <is>
          <t>2269448490002656</t>
        </is>
      </c>
      <c r="AZ391" t="inlineStr">
        <is>
          <t>BOOK</t>
        </is>
      </c>
      <c r="BC391" t="inlineStr">
        <is>
          <t>32285003248027</t>
        </is>
      </c>
      <c r="BD391" t="inlineStr">
        <is>
          <t>893234533</t>
        </is>
      </c>
    </row>
    <row r="392">
      <c r="A392" t="inlineStr">
        <is>
          <t>No</t>
        </is>
      </c>
      <c r="B392" t="inlineStr">
        <is>
          <t>PE1479.S62 F58 1998</t>
        </is>
      </c>
      <c r="C392" t="inlineStr">
        <is>
          <t>0                      PE 1479000S  62                 F  58          1998</t>
        </is>
      </c>
      <c r="D392" t="inlineStr">
        <is>
          <t>Writing between the lines : composition in the social sciences / Douglas Flemons.</t>
        </is>
      </c>
      <c r="F392" t="inlineStr">
        <is>
          <t>No</t>
        </is>
      </c>
      <c r="G392" t="inlineStr">
        <is>
          <t>1</t>
        </is>
      </c>
      <c r="H392" t="inlineStr">
        <is>
          <t>No</t>
        </is>
      </c>
      <c r="I392" t="inlineStr">
        <is>
          <t>No</t>
        </is>
      </c>
      <c r="J392" t="inlineStr">
        <is>
          <t>0</t>
        </is>
      </c>
      <c r="K392" t="inlineStr">
        <is>
          <t>Flemons, Douglas G.</t>
        </is>
      </c>
      <c r="L392" t="inlineStr">
        <is>
          <t>New York : W.W. Norton, c1998.</t>
        </is>
      </c>
      <c r="M392" t="inlineStr">
        <is>
          <t>1998</t>
        </is>
      </c>
      <c r="N392" t="inlineStr">
        <is>
          <t>1st ed.</t>
        </is>
      </c>
      <c r="O392" t="inlineStr">
        <is>
          <t>eng</t>
        </is>
      </c>
      <c r="P392" t="inlineStr">
        <is>
          <t>nyu</t>
        </is>
      </c>
      <c r="R392" t="inlineStr">
        <is>
          <t xml:space="preserve">PE </t>
        </is>
      </c>
      <c r="S392" t="n">
        <v>2</v>
      </c>
      <c r="T392" t="n">
        <v>2</v>
      </c>
      <c r="U392" t="inlineStr">
        <is>
          <t>2008-03-03</t>
        </is>
      </c>
      <c r="V392" t="inlineStr">
        <is>
          <t>2008-03-03</t>
        </is>
      </c>
      <c r="W392" t="inlineStr">
        <is>
          <t>1998-08-25</t>
        </is>
      </c>
      <c r="X392" t="inlineStr">
        <is>
          <t>1998-08-25</t>
        </is>
      </c>
      <c r="Y392" t="n">
        <v>228</v>
      </c>
      <c r="Z392" t="n">
        <v>196</v>
      </c>
      <c r="AA392" t="n">
        <v>196</v>
      </c>
      <c r="AB392" t="n">
        <v>3</v>
      </c>
      <c r="AC392" t="n">
        <v>3</v>
      </c>
      <c r="AD392" t="n">
        <v>10</v>
      </c>
      <c r="AE392" t="n">
        <v>10</v>
      </c>
      <c r="AF392" t="n">
        <v>2</v>
      </c>
      <c r="AG392" t="n">
        <v>2</v>
      </c>
      <c r="AH392" t="n">
        <v>3</v>
      </c>
      <c r="AI392" t="n">
        <v>3</v>
      </c>
      <c r="AJ392" t="n">
        <v>4</v>
      </c>
      <c r="AK392" t="n">
        <v>4</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HYPERLINK("https://creighton-primo.hosted.exlibrisgroup.com/primo-explore/search?tab=default_tab&amp;search_scope=EVERYTHING&amp;vid=01CRU&amp;lang=en_US&amp;offset=0&amp;query=any,contains,991002897019702656","Catalog Record")</f>
        <v/>
      </c>
      <c r="AT392">
        <f>HYPERLINK("http://www.worldcat.org/oclc/38174205","WorldCat Record")</f>
        <v/>
      </c>
      <c r="AU392" t="inlineStr">
        <is>
          <t>837037168:eng</t>
        </is>
      </c>
      <c r="AV392" t="inlineStr">
        <is>
          <t>38174205</t>
        </is>
      </c>
      <c r="AW392" t="inlineStr">
        <is>
          <t>991002897019702656</t>
        </is>
      </c>
      <c r="AX392" t="inlineStr">
        <is>
          <t>991002897019702656</t>
        </is>
      </c>
      <c r="AY392" t="inlineStr">
        <is>
          <t>2267096440002656</t>
        </is>
      </c>
      <c r="AZ392" t="inlineStr">
        <is>
          <t>BOOK</t>
        </is>
      </c>
      <c r="BB392" t="inlineStr">
        <is>
          <t>9780393702637</t>
        </is>
      </c>
      <c r="BC392" t="inlineStr">
        <is>
          <t>32285003461885</t>
        </is>
      </c>
      <c r="BD392" t="inlineStr">
        <is>
          <t>893440665</t>
        </is>
      </c>
    </row>
    <row r="393">
      <c r="A393" t="inlineStr">
        <is>
          <t>No</t>
        </is>
      </c>
      <c r="B393" t="inlineStr">
        <is>
          <t>PE1479.S62 L47 2006</t>
        </is>
      </c>
      <c r="C393" t="inlineStr">
        <is>
          <t>0                      PE 1479000S  62                 L  47          2006</t>
        </is>
      </c>
      <c r="D393" t="inlineStr">
        <is>
          <t>Writing research papers in the social sciences / James D. Lester, James D. Lester, Jr.</t>
        </is>
      </c>
      <c r="F393" t="inlineStr">
        <is>
          <t>No</t>
        </is>
      </c>
      <c r="G393" t="inlineStr">
        <is>
          <t>1</t>
        </is>
      </c>
      <c r="H393" t="inlineStr">
        <is>
          <t>No</t>
        </is>
      </c>
      <c r="I393" t="inlineStr">
        <is>
          <t>No</t>
        </is>
      </c>
      <c r="J393" t="inlineStr">
        <is>
          <t>0</t>
        </is>
      </c>
      <c r="K393" t="inlineStr">
        <is>
          <t>Lester, James D., Sr., 1935-2006.</t>
        </is>
      </c>
      <c r="L393" t="inlineStr">
        <is>
          <t>New York : Pearson/Longman, c2006.</t>
        </is>
      </c>
      <c r="M393" t="inlineStr">
        <is>
          <t>2006</t>
        </is>
      </c>
      <c r="O393" t="inlineStr">
        <is>
          <t>eng</t>
        </is>
      </c>
      <c r="P393" t="inlineStr">
        <is>
          <t>nyu</t>
        </is>
      </c>
      <c r="R393" t="inlineStr">
        <is>
          <t xml:space="preserve">PE </t>
        </is>
      </c>
      <c r="S393" t="n">
        <v>2</v>
      </c>
      <c r="T393" t="n">
        <v>2</v>
      </c>
      <c r="U393" t="inlineStr">
        <is>
          <t>2006-03-13</t>
        </is>
      </c>
      <c r="V393" t="inlineStr">
        <is>
          <t>2006-03-13</t>
        </is>
      </c>
      <c r="W393" t="inlineStr">
        <is>
          <t>2006-02-17</t>
        </is>
      </c>
      <c r="X393" t="inlineStr">
        <is>
          <t>2006-02-17</t>
        </is>
      </c>
      <c r="Y393" t="n">
        <v>187</v>
      </c>
      <c r="Z393" t="n">
        <v>127</v>
      </c>
      <c r="AA393" t="n">
        <v>127</v>
      </c>
      <c r="AB393" t="n">
        <v>1</v>
      </c>
      <c r="AC393" t="n">
        <v>1</v>
      </c>
      <c r="AD393" t="n">
        <v>4</v>
      </c>
      <c r="AE393" t="n">
        <v>4</v>
      </c>
      <c r="AF393" t="n">
        <v>1</v>
      </c>
      <c r="AG393" t="n">
        <v>1</v>
      </c>
      <c r="AH393" t="n">
        <v>2</v>
      </c>
      <c r="AI393" t="n">
        <v>2</v>
      </c>
      <c r="AJ393" t="n">
        <v>3</v>
      </c>
      <c r="AK393" t="n">
        <v>3</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HYPERLINK("https://creighton-primo.hosted.exlibrisgroup.com/primo-explore/search?tab=default_tab&amp;search_scope=EVERYTHING&amp;vid=01CRU&amp;lang=en_US&amp;offset=0&amp;query=any,contains,991004746819702656","Catalog Record")</f>
        <v/>
      </c>
      <c r="AT393">
        <f>HYPERLINK("http://www.worldcat.org/oclc/62085413","WorldCat Record")</f>
        <v/>
      </c>
      <c r="AU393" t="inlineStr">
        <is>
          <t>3004396311:eng</t>
        </is>
      </c>
      <c r="AV393" t="inlineStr">
        <is>
          <t>62085413</t>
        </is>
      </c>
      <c r="AW393" t="inlineStr">
        <is>
          <t>991004746819702656</t>
        </is>
      </c>
      <c r="AX393" t="inlineStr">
        <is>
          <t>991004746819702656</t>
        </is>
      </c>
      <c r="AY393" t="inlineStr">
        <is>
          <t>2270841660002656</t>
        </is>
      </c>
      <c r="AZ393" t="inlineStr">
        <is>
          <t>BOOK</t>
        </is>
      </c>
      <c r="BB393" t="inlineStr">
        <is>
          <t>9780321267634</t>
        </is>
      </c>
      <c r="BC393" t="inlineStr">
        <is>
          <t>32285005164719</t>
        </is>
      </c>
      <c r="BD393" t="inlineStr">
        <is>
          <t>893350345</t>
        </is>
      </c>
    </row>
    <row r="394">
      <c r="A394" t="inlineStr">
        <is>
          <t>No</t>
        </is>
      </c>
      <c r="B394" t="inlineStr">
        <is>
          <t>PE1505 .A2 1976</t>
        </is>
      </c>
      <c r="C394" t="inlineStr">
        <is>
          <t>0                      PE 1505000A  2           1976</t>
        </is>
      </c>
      <c r="D394" t="inlineStr">
        <is>
          <t>Principles of English prosody / by Lascelles Abercrombie. Part 1. The elements.</t>
        </is>
      </c>
      <c r="F394" t="inlineStr">
        <is>
          <t>No</t>
        </is>
      </c>
      <c r="G394" t="inlineStr">
        <is>
          <t>1</t>
        </is>
      </c>
      <c r="H394" t="inlineStr">
        <is>
          <t>No</t>
        </is>
      </c>
      <c r="I394" t="inlineStr">
        <is>
          <t>No</t>
        </is>
      </c>
      <c r="J394" t="inlineStr">
        <is>
          <t>0</t>
        </is>
      </c>
      <c r="K394" t="inlineStr">
        <is>
          <t>Abercrombie, Lascelles, 1881-1938.</t>
        </is>
      </c>
      <c r="L394" t="inlineStr">
        <is>
          <t>New York : AMS Press, 1976.</t>
        </is>
      </c>
      <c r="M394" t="inlineStr">
        <is>
          <t>1976</t>
        </is>
      </c>
      <c r="O394" t="inlineStr">
        <is>
          <t>eng</t>
        </is>
      </c>
      <c r="P394" t="inlineStr">
        <is>
          <t>nyu</t>
        </is>
      </c>
      <c r="R394" t="inlineStr">
        <is>
          <t xml:space="preserve">PE </t>
        </is>
      </c>
      <c r="S394" t="n">
        <v>2</v>
      </c>
      <c r="T394" t="n">
        <v>2</v>
      </c>
      <c r="U394" t="inlineStr">
        <is>
          <t>1999-03-30</t>
        </is>
      </c>
      <c r="V394" t="inlineStr">
        <is>
          <t>1999-03-30</t>
        </is>
      </c>
      <c r="W394" t="inlineStr">
        <is>
          <t>1997-09-25</t>
        </is>
      </c>
      <c r="X394" t="inlineStr">
        <is>
          <t>1997-09-25</t>
        </is>
      </c>
      <c r="Y394" t="n">
        <v>77</v>
      </c>
      <c r="Z394" t="n">
        <v>69</v>
      </c>
      <c r="AA394" t="n">
        <v>162</v>
      </c>
      <c r="AB394" t="n">
        <v>2</v>
      </c>
      <c r="AC394" t="n">
        <v>2</v>
      </c>
      <c r="AD394" t="n">
        <v>5</v>
      </c>
      <c r="AE394" t="n">
        <v>7</v>
      </c>
      <c r="AF394" t="n">
        <v>2</v>
      </c>
      <c r="AG394" t="n">
        <v>2</v>
      </c>
      <c r="AH394" t="n">
        <v>1</v>
      </c>
      <c r="AI394" t="n">
        <v>2</v>
      </c>
      <c r="AJ394" t="n">
        <v>2</v>
      </c>
      <c r="AK394" t="n">
        <v>4</v>
      </c>
      <c r="AL394" t="n">
        <v>1</v>
      </c>
      <c r="AM394" t="n">
        <v>1</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HYPERLINK("https://creighton-primo.hosted.exlibrisgroup.com/primo-explore/search?tab=default_tab&amp;search_scope=EVERYTHING&amp;vid=01CRU&amp;lang=en_US&amp;offset=0&amp;query=any,contains,991004100019702656","Catalog Record")</f>
        <v/>
      </c>
      <c r="AT394">
        <f>HYPERLINK("http://www.worldcat.org/oclc/2371753","WorldCat Record")</f>
        <v/>
      </c>
      <c r="AU394" t="inlineStr">
        <is>
          <t>3943584809:eng</t>
        </is>
      </c>
      <c r="AV394" t="inlineStr">
        <is>
          <t>2371753</t>
        </is>
      </c>
      <c r="AW394" t="inlineStr">
        <is>
          <t>991004100019702656</t>
        </is>
      </c>
      <c r="AX394" t="inlineStr">
        <is>
          <t>991004100019702656</t>
        </is>
      </c>
      <c r="AY394" t="inlineStr">
        <is>
          <t>2254751010002656</t>
        </is>
      </c>
      <c r="AZ394" t="inlineStr">
        <is>
          <t>BOOK</t>
        </is>
      </c>
      <c r="BB394" t="inlineStr">
        <is>
          <t>9780404147358</t>
        </is>
      </c>
      <c r="BC394" t="inlineStr">
        <is>
          <t>32285003248076</t>
        </is>
      </c>
      <c r="BD394" t="inlineStr">
        <is>
          <t>893429659</t>
        </is>
      </c>
    </row>
    <row r="395">
      <c r="A395" t="inlineStr">
        <is>
          <t>No</t>
        </is>
      </c>
      <c r="B395" t="inlineStr">
        <is>
          <t>PE1505 .C67 1997</t>
        </is>
      </c>
      <c r="C395" t="inlineStr">
        <is>
          <t>0                      PE 1505000C  67          1997</t>
        </is>
      </c>
      <c r="D395" t="inlineStr">
        <is>
          <t>The poem's heartbeat : a manual of prosody / Alfred Corn.</t>
        </is>
      </c>
      <c r="F395" t="inlineStr">
        <is>
          <t>No</t>
        </is>
      </c>
      <c r="G395" t="inlineStr">
        <is>
          <t>1</t>
        </is>
      </c>
      <c r="H395" t="inlineStr">
        <is>
          <t>No</t>
        </is>
      </c>
      <c r="I395" t="inlineStr">
        <is>
          <t>No</t>
        </is>
      </c>
      <c r="J395" t="inlineStr">
        <is>
          <t>0</t>
        </is>
      </c>
      <c r="K395" t="inlineStr">
        <is>
          <t>Corn, Alfred, 1943-</t>
        </is>
      </c>
      <c r="L395" t="inlineStr">
        <is>
          <t>Brownsville, OR : Story Line Press, 1997.</t>
        </is>
      </c>
      <c r="M395" t="inlineStr">
        <is>
          <t>1997</t>
        </is>
      </c>
      <c r="O395" t="inlineStr">
        <is>
          <t>eng</t>
        </is>
      </c>
      <c r="P395" t="inlineStr">
        <is>
          <t>oru</t>
        </is>
      </c>
      <c r="Q395" t="inlineStr">
        <is>
          <t>SLP writer's guide</t>
        </is>
      </c>
      <c r="R395" t="inlineStr">
        <is>
          <t xml:space="preserve">PE </t>
        </is>
      </c>
      <c r="S395" t="n">
        <v>1</v>
      </c>
      <c r="T395" t="n">
        <v>1</v>
      </c>
      <c r="U395" t="inlineStr">
        <is>
          <t>2000-10-10</t>
        </is>
      </c>
      <c r="V395" t="inlineStr">
        <is>
          <t>2000-10-10</t>
        </is>
      </c>
      <c r="W395" t="inlineStr">
        <is>
          <t>1997-07-08</t>
        </is>
      </c>
      <c r="X395" t="inlineStr">
        <is>
          <t>1997-07-08</t>
        </is>
      </c>
      <c r="Y395" t="n">
        <v>727</v>
      </c>
      <c r="Z395" t="n">
        <v>685</v>
      </c>
      <c r="AA395" t="n">
        <v>873</v>
      </c>
      <c r="AB395" t="n">
        <v>4</v>
      </c>
      <c r="AC395" t="n">
        <v>7</v>
      </c>
      <c r="AD395" t="n">
        <v>23</v>
      </c>
      <c r="AE395" t="n">
        <v>32</v>
      </c>
      <c r="AF395" t="n">
        <v>9</v>
      </c>
      <c r="AG395" t="n">
        <v>12</v>
      </c>
      <c r="AH395" t="n">
        <v>6</v>
      </c>
      <c r="AI395" t="n">
        <v>8</v>
      </c>
      <c r="AJ395" t="n">
        <v>15</v>
      </c>
      <c r="AK395" t="n">
        <v>20</v>
      </c>
      <c r="AL395" t="n">
        <v>2</v>
      </c>
      <c r="AM395" t="n">
        <v>5</v>
      </c>
      <c r="AN395" t="n">
        <v>0</v>
      </c>
      <c r="AO395" t="n">
        <v>0</v>
      </c>
      <c r="AP395" t="inlineStr">
        <is>
          <t>No</t>
        </is>
      </c>
      <c r="AQ395" t="inlineStr">
        <is>
          <t>Yes</t>
        </is>
      </c>
      <c r="AR395">
        <f>HYPERLINK("http://catalog.hathitrust.org/Record/003976886","HathiTrust Record")</f>
        <v/>
      </c>
      <c r="AS395">
        <f>HYPERLINK("https://creighton-primo.hosted.exlibrisgroup.com/primo-explore/search?tab=default_tab&amp;search_scope=EVERYTHING&amp;vid=01CRU&amp;lang=en_US&amp;offset=0&amp;query=any,contains,991002770639702656","Catalog Record")</f>
        <v/>
      </c>
      <c r="AT395">
        <f>HYPERLINK("http://www.worldcat.org/oclc/36372367","WorldCat Record")</f>
        <v/>
      </c>
      <c r="AU395" t="inlineStr">
        <is>
          <t>621636:eng</t>
        </is>
      </c>
      <c r="AV395" t="inlineStr">
        <is>
          <t>36372367</t>
        </is>
      </c>
      <c r="AW395" t="inlineStr">
        <is>
          <t>991002770639702656</t>
        </is>
      </c>
      <c r="AX395" t="inlineStr">
        <is>
          <t>991002770639702656</t>
        </is>
      </c>
      <c r="AY395" t="inlineStr">
        <is>
          <t>2263086020002656</t>
        </is>
      </c>
      <c r="AZ395" t="inlineStr">
        <is>
          <t>BOOK</t>
        </is>
      </c>
      <c r="BB395" t="inlineStr">
        <is>
          <t>9781885266408</t>
        </is>
      </c>
      <c r="BC395" t="inlineStr">
        <is>
          <t>32285002880960</t>
        </is>
      </c>
      <c r="BD395" t="inlineStr">
        <is>
          <t>893799004</t>
        </is>
      </c>
    </row>
    <row r="396">
      <c r="A396" t="inlineStr">
        <is>
          <t>No</t>
        </is>
      </c>
      <c r="B396" t="inlineStr">
        <is>
          <t>PE1505 .F78 1979</t>
        </is>
      </c>
      <c r="C396" t="inlineStr">
        <is>
          <t>0                      PE 1505000F  78          1979</t>
        </is>
      </c>
      <c r="D396" t="inlineStr">
        <is>
          <t>Poetic meter and poetic form / Paul Fussell.</t>
        </is>
      </c>
      <c r="F396" t="inlineStr">
        <is>
          <t>No</t>
        </is>
      </c>
      <c r="G396" t="inlineStr">
        <is>
          <t>1</t>
        </is>
      </c>
      <c r="H396" t="inlineStr">
        <is>
          <t>No</t>
        </is>
      </c>
      <c r="I396" t="inlineStr">
        <is>
          <t>No</t>
        </is>
      </c>
      <c r="J396" t="inlineStr">
        <is>
          <t>0</t>
        </is>
      </c>
      <c r="K396" t="inlineStr">
        <is>
          <t>Fussell, Paul, 1924-2012.</t>
        </is>
      </c>
      <c r="L396" t="inlineStr">
        <is>
          <t>New York : Random House, c1979.</t>
        </is>
      </c>
      <c r="M396" t="inlineStr">
        <is>
          <t>1979</t>
        </is>
      </c>
      <c r="N396" t="inlineStr">
        <is>
          <t>Rev. ed.</t>
        </is>
      </c>
      <c r="O396" t="inlineStr">
        <is>
          <t>eng</t>
        </is>
      </c>
      <c r="P396" t="inlineStr">
        <is>
          <t>nyu</t>
        </is>
      </c>
      <c r="R396" t="inlineStr">
        <is>
          <t xml:space="preserve">PE </t>
        </is>
      </c>
      <c r="S396" t="n">
        <v>5</v>
      </c>
      <c r="T396" t="n">
        <v>5</v>
      </c>
      <c r="U396" t="inlineStr">
        <is>
          <t>2005-05-25</t>
        </is>
      </c>
      <c r="V396" t="inlineStr">
        <is>
          <t>2005-05-25</t>
        </is>
      </c>
      <c r="W396" t="inlineStr">
        <is>
          <t>1993-04-23</t>
        </is>
      </c>
      <c r="X396" t="inlineStr">
        <is>
          <t>1993-04-23</t>
        </is>
      </c>
      <c r="Y396" t="n">
        <v>479</v>
      </c>
      <c r="Z396" t="n">
        <v>389</v>
      </c>
      <c r="AA396" t="n">
        <v>1117</v>
      </c>
      <c r="AB396" t="n">
        <v>3</v>
      </c>
      <c r="AC396" t="n">
        <v>9</v>
      </c>
      <c r="AD396" t="n">
        <v>18</v>
      </c>
      <c r="AE396" t="n">
        <v>45</v>
      </c>
      <c r="AF396" t="n">
        <v>7</v>
      </c>
      <c r="AG396" t="n">
        <v>18</v>
      </c>
      <c r="AH396" t="n">
        <v>3</v>
      </c>
      <c r="AI396" t="n">
        <v>10</v>
      </c>
      <c r="AJ396" t="n">
        <v>9</v>
      </c>
      <c r="AK396" t="n">
        <v>21</v>
      </c>
      <c r="AL396" t="n">
        <v>2</v>
      </c>
      <c r="AM396" t="n">
        <v>7</v>
      </c>
      <c r="AN396" t="n">
        <v>0</v>
      </c>
      <c r="AO396" t="n">
        <v>0</v>
      </c>
      <c r="AP396" t="inlineStr">
        <is>
          <t>No</t>
        </is>
      </c>
      <c r="AQ396" t="inlineStr">
        <is>
          <t>Yes</t>
        </is>
      </c>
      <c r="AR396">
        <f>HYPERLINK("http://catalog.hathitrust.org/Record/007115151","HathiTrust Record")</f>
        <v/>
      </c>
      <c r="AS396">
        <f>HYPERLINK("https://creighton-primo.hosted.exlibrisgroup.com/primo-explore/search?tab=default_tab&amp;search_scope=EVERYTHING&amp;vid=01CRU&amp;lang=en_US&amp;offset=0&amp;query=any,contains,991004593059702656","Catalog Record")</f>
        <v/>
      </c>
      <c r="AT396">
        <f>HYPERLINK("http://www.worldcat.org/oclc/4135566","WorldCat Record")</f>
        <v/>
      </c>
      <c r="AU396" t="inlineStr">
        <is>
          <t>406994:eng</t>
        </is>
      </c>
      <c r="AV396" t="inlineStr">
        <is>
          <t>4135566</t>
        </is>
      </c>
      <c r="AW396" t="inlineStr">
        <is>
          <t>991004593059702656</t>
        </is>
      </c>
      <c r="AX396" t="inlineStr">
        <is>
          <t>991004593059702656</t>
        </is>
      </c>
      <c r="AY396" t="inlineStr">
        <is>
          <t>2255005730002656</t>
        </is>
      </c>
      <c r="AZ396" t="inlineStr">
        <is>
          <t>BOOK</t>
        </is>
      </c>
      <c r="BB396" t="inlineStr">
        <is>
          <t>9780394321202</t>
        </is>
      </c>
      <c r="BC396" t="inlineStr">
        <is>
          <t>32285001647329</t>
        </is>
      </c>
      <c r="BD396" t="inlineStr">
        <is>
          <t>893904929</t>
        </is>
      </c>
    </row>
    <row r="397">
      <c r="A397" t="inlineStr">
        <is>
          <t>No</t>
        </is>
      </c>
      <c r="B397" t="inlineStr">
        <is>
          <t>PE1505 .G7</t>
        </is>
      </c>
      <c r="C397" t="inlineStr">
        <is>
          <t>0                      PE 1505000G  7</t>
        </is>
      </c>
      <c r="D397" t="inlineStr">
        <is>
          <t>Sound and form in modern poetry; a study of prosody from Thomas Hardy to Robert Lowell [by] Harvey Gross.</t>
        </is>
      </c>
      <c r="F397" t="inlineStr">
        <is>
          <t>No</t>
        </is>
      </c>
      <c r="G397" t="inlineStr">
        <is>
          <t>1</t>
        </is>
      </c>
      <c r="H397" t="inlineStr">
        <is>
          <t>No</t>
        </is>
      </c>
      <c r="I397" t="inlineStr">
        <is>
          <t>No</t>
        </is>
      </c>
      <c r="J397" t="inlineStr">
        <is>
          <t>0</t>
        </is>
      </c>
      <c r="K397" t="inlineStr">
        <is>
          <t>Gross, Harvey Seymour, 1922-</t>
        </is>
      </c>
      <c r="L397" t="inlineStr">
        <is>
          <t>Ann Arbor, University of Michigan Press [1964]</t>
        </is>
      </c>
      <c r="M397" t="inlineStr">
        <is>
          <t>1964</t>
        </is>
      </c>
      <c r="O397" t="inlineStr">
        <is>
          <t>eng</t>
        </is>
      </c>
      <c r="P397" t="inlineStr">
        <is>
          <t>miu</t>
        </is>
      </c>
      <c r="R397" t="inlineStr">
        <is>
          <t xml:space="preserve">PE </t>
        </is>
      </c>
      <c r="S397" t="n">
        <v>1</v>
      </c>
      <c r="T397" t="n">
        <v>1</v>
      </c>
      <c r="U397" t="inlineStr">
        <is>
          <t>2000-12-03</t>
        </is>
      </c>
      <c r="V397" t="inlineStr">
        <is>
          <t>2000-12-03</t>
        </is>
      </c>
      <c r="W397" t="inlineStr">
        <is>
          <t>1997-09-25</t>
        </is>
      </c>
      <c r="X397" t="inlineStr">
        <is>
          <t>1997-09-25</t>
        </is>
      </c>
      <c r="Y397" t="n">
        <v>1108</v>
      </c>
      <c r="Z397" t="n">
        <v>990</v>
      </c>
      <c r="AA397" t="n">
        <v>1046</v>
      </c>
      <c r="AB397" t="n">
        <v>8</v>
      </c>
      <c r="AC397" t="n">
        <v>8</v>
      </c>
      <c r="AD397" t="n">
        <v>39</v>
      </c>
      <c r="AE397" t="n">
        <v>40</v>
      </c>
      <c r="AF397" t="n">
        <v>17</v>
      </c>
      <c r="AG397" t="n">
        <v>18</v>
      </c>
      <c r="AH397" t="n">
        <v>7</v>
      </c>
      <c r="AI397" t="n">
        <v>7</v>
      </c>
      <c r="AJ397" t="n">
        <v>20</v>
      </c>
      <c r="AK397" t="n">
        <v>20</v>
      </c>
      <c r="AL397" t="n">
        <v>7</v>
      </c>
      <c r="AM397" t="n">
        <v>7</v>
      </c>
      <c r="AN397" t="n">
        <v>0</v>
      </c>
      <c r="AO397" t="n">
        <v>0</v>
      </c>
      <c r="AP397" t="inlineStr">
        <is>
          <t>No</t>
        </is>
      </c>
      <c r="AQ397" t="inlineStr">
        <is>
          <t>Yes</t>
        </is>
      </c>
      <c r="AR397">
        <f>HYPERLINK("http://catalog.hathitrust.org/Record/001183200","HathiTrust Record")</f>
        <v/>
      </c>
      <c r="AS397">
        <f>HYPERLINK("https://creighton-primo.hosted.exlibrisgroup.com/primo-explore/search?tab=default_tab&amp;search_scope=EVERYTHING&amp;vid=01CRU&amp;lang=en_US&amp;offset=0&amp;query=any,contains,991002305499702656","Catalog Record")</f>
        <v/>
      </c>
      <c r="AT397">
        <f>HYPERLINK("http://www.worldcat.org/oclc/318125","WorldCat Record")</f>
        <v/>
      </c>
      <c r="AU397" t="inlineStr">
        <is>
          <t>39623672:eng</t>
        </is>
      </c>
      <c r="AV397" t="inlineStr">
        <is>
          <t>318125</t>
        </is>
      </c>
      <c r="AW397" t="inlineStr">
        <is>
          <t>991002305499702656</t>
        </is>
      </c>
      <c r="AX397" t="inlineStr">
        <is>
          <t>991002305499702656</t>
        </is>
      </c>
      <c r="AY397" t="inlineStr">
        <is>
          <t>2270564020002656</t>
        </is>
      </c>
      <c r="AZ397" t="inlineStr">
        <is>
          <t>BOOK</t>
        </is>
      </c>
      <c r="BC397" t="inlineStr">
        <is>
          <t>32285003248134</t>
        </is>
      </c>
      <c r="BD397" t="inlineStr">
        <is>
          <t>893697614</t>
        </is>
      </c>
    </row>
    <row r="398">
      <c r="A398" t="inlineStr">
        <is>
          <t>No</t>
        </is>
      </c>
      <c r="B398" t="inlineStr">
        <is>
          <t>PE1505 .S75 1966</t>
        </is>
      </c>
      <c r="C398" t="inlineStr">
        <is>
          <t>0                      PE 1505000S  75          1966</t>
        </is>
      </c>
      <c r="D398" t="inlineStr">
        <is>
          <t>The technique of English verse, by George R. Stewart.</t>
        </is>
      </c>
      <c r="F398" t="inlineStr">
        <is>
          <t>No</t>
        </is>
      </c>
      <c r="G398" t="inlineStr">
        <is>
          <t>1</t>
        </is>
      </c>
      <c r="H398" t="inlineStr">
        <is>
          <t>No</t>
        </is>
      </c>
      <c r="I398" t="inlineStr">
        <is>
          <t>No</t>
        </is>
      </c>
      <c r="J398" t="inlineStr">
        <is>
          <t>0</t>
        </is>
      </c>
      <c r="K398" t="inlineStr">
        <is>
          <t>Stewart, George R., 1895-1980.</t>
        </is>
      </c>
      <c r="L398" t="inlineStr">
        <is>
          <t>Port Washington, N.Y., Kennikat Press [1966, c1958]</t>
        </is>
      </c>
      <c r="M398" t="inlineStr">
        <is>
          <t>1966</t>
        </is>
      </c>
      <c r="O398" t="inlineStr">
        <is>
          <t>eng</t>
        </is>
      </c>
      <c r="P398" t="inlineStr">
        <is>
          <t>nyu</t>
        </is>
      </c>
      <c r="R398" t="inlineStr">
        <is>
          <t xml:space="preserve">PE </t>
        </is>
      </c>
      <c r="S398" t="n">
        <v>2</v>
      </c>
      <c r="T398" t="n">
        <v>2</v>
      </c>
      <c r="U398" t="inlineStr">
        <is>
          <t>2005-05-25</t>
        </is>
      </c>
      <c r="V398" t="inlineStr">
        <is>
          <t>2005-05-25</t>
        </is>
      </c>
      <c r="W398" t="inlineStr">
        <is>
          <t>1997-09-25</t>
        </is>
      </c>
      <c r="X398" t="inlineStr">
        <is>
          <t>1997-09-25</t>
        </is>
      </c>
      <c r="Y398" t="n">
        <v>322</v>
      </c>
      <c r="Z398" t="n">
        <v>287</v>
      </c>
      <c r="AA398" t="n">
        <v>393</v>
      </c>
      <c r="AB398" t="n">
        <v>2</v>
      </c>
      <c r="AC398" t="n">
        <v>4</v>
      </c>
      <c r="AD398" t="n">
        <v>16</v>
      </c>
      <c r="AE398" t="n">
        <v>22</v>
      </c>
      <c r="AF398" t="n">
        <v>4</v>
      </c>
      <c r="AG398" t="n">
        <v>4</v>
      </c>
      <c r="AH398" t="n">
        <v>5</v>
      </c>
      <c r="AI398" t="n">
        <v>5</v>
      </c>
      <c r="AJ398" t="n">
        <v>11</v>
      </c>
      <c r="AK398" t="n">
        <v>15</v>
      </c>
      <c r="AL398" t="n">
        <v>1</v>
      </c>
      <c r="AM398" t="n">
        <v>3</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HYPERLINK("https://creighton-primo.hosted.exlibrisgroup.com/primo-explore/search?tab=default_tab&amp;search_scope=EVERYTHING&amp;vid=01CRU&amp;lang=en_US&amp;offset=0&amp;query=any,contains,991001027859702656","Catalog Record")</f>
        <v/>
      </c>
      <c r="AT398">
        <f>HYPERLINK("http://www.worldcat.org/oclc/174968","WorldCat Record")</f>
        <v/>
      </c>
      <c r="AU398" t="inlineStr">
        <is>
          <t>68220646:eng</t>
        </is>
      </c>
      <c r="AV398" t="inlineStr">
        <is>
          <t>174968</t>
        </is>
      </c>
      <c r="AW398" t="inlineStr">
        <is>
          <t>991001027859702656</t>
        </is>
      </c>
      <c r="AX398" t="inlineStr">
        <is>
          <t>991001027859702656</t>
        </is>
      </c>
      <c r="AY398" t="inlineStr">
        <is>
          <t>2266577780002656</t>
        </is>
      </c>
      <c r="AZ398" t="inlineStr">
        <is>
          <t>BOOK</t>
        </is>
      </c>
      <c r="BC398" t="inlineStr">
        <is>
          <t>32285003248258</t>
        </is>
      </c>
      <c r="BD398" t="inlineStr">
        <is>
          <t>893503035</t>
        </is>
      </c>
    </row>
    <row r="399">
      <c r="A399" t="inlineStr">
        <is>
          <t>No</t>
        </is>
      </c>
      <c r="B399" t="inlineStr">
        <is>
          <t>PE1517 .H7 1901</t>
        </is>
      </c>
      <c r="C399" t="inlineStr">
        <is>
          <t>0                      PE 1517000H  7           1901</t>
        </is>
      </c>
      <c r="D399" t="inlineStr">
        <is>
          <t>The rhymester ; or, The rules of rhyme. A guide to English versification. With a dictionary of rhymes, an examination of classical measures, and comments upon burlesque, comic verse and song-writing / by the late Tom Hood. Ed., with additions, by Arthur Penn [pseud.]</t>
        </is>
      </c>
      <c r="F399" t="inlineStr">
        <is>
          <t>No</t>
        </is>
      </c>
      <c r="G399" t="inlineStr">
        <is>
          <t>1</t>
        </is>
      </c>
      <c r="H399" t="inlineStr">
        <is>
          <t>No</t>
        </is>
      </c>
      <c r="I399" t="inlineStr">
        <is>
          <t>No</t>
        </is>
      </c>
      <c r="J399" t="inlineStr">
        <is>
          <t>0</t>
        </is>
      </c>
      <c r="K399" t="inlineStr">
        <is>
          <t>Hood, Tom, 1835-1874.</t>
        </is>
      </c>
      <c r="L399" t="inlineStr">
        <is>
          <t>New York : D. Appleton and company, 1882, 1901 printing.</t>
        </is>
      </c>
      <c r="M399" t="inlineStr">
        <is>
          <t>1882</t>
        </is>
      </c>
      <c r="O399" t="inlineStr">
        <is>
          <t>eng</t>
        </is>
      </c>
      <c r="P399" t="inlineStr">
        <is>
          <t xml:space="preserve">xx </t>
        </is>
      </c>
      <c r="R399" t="inlineStr">
        <is>
          <t xml:space="preserve">PE </t>
        </is>
      </c>
      <c r="S399" t="n">
        <v>2</v>
      </c>
      <c r="T399" t="n">
        <v>2</v>
      </c>
      <c r="U399" t="inlineStr">
        <is>
          <t>1998-02-12</t>
        </is>
      </c>
      <c r="V399" t="inlineStr">
        <is>
          <t>1998-02-12</t>
        </is>
      </c>
      <c r="W399" t="inlineStr">
        <is>
          <t>1997-09-08</t>
        </is>
      </c>
      <c r="X399" t="inlineStr">
        <is>
          <t>1997-09-08</t>
        </is>
      </c>
      <c r="Y399" t="n">
        <v>114</v>
      </c>
      <c r="Z399" t="n">
        <v>107</v>
      </c>
      <c r="AA399" t="n">
        <v>153</v>
      </c>
      <c r="AB399" t="n">
        <v>1</v>
      </c>
      <c r="AC399" t="n">
        <v>2</v>
      </c>
      <c r="AD399" t="n">
        <v>3</v>
      </c>
      <c r="AE399" t="n">
        <v>6</v>
      </c>
      <c r="AF399" t="n">
        <v>0</v>
      </c>
      <c r="AG399" t="n">
        <v>0</v>
      </c>
      <c r="AH399" t="n">
        <v>0</v>
      </c>
      <c r="AI399" t="n">
        <v>2</v>
      </c>
      <c r="AJ399" t="n">
        <v>3</v>
      </c>
      <c r="AK399" t="n">
        <v>4</v>
      </c>
      <c r="AL399" t="n">
        <v>0</v>
      </c>
      <c r="AM399" t="n">
        <v>1</v>
      </c>
      <c r="AN399" t="n">
        <v>0</v>
      </c>
      <c r="AO399" t="n">
        <v>0</v>
      </c>
      <c r="AP399" t="inlineStr">
        <is>
          <t>Yes</t>
        </is>
      </c>
      <c r="AQ399" t="inlineStr">
        <is>
          <t>No</t>
        </is>
      </c>
      <c r="AR399">
        <f>HYPERLINK("http://catalog.hathitrust.org/Record/001903101","HathiTrust Record")</f>
        <v/>
      </c>
      <c r="AS399">
        <f>HYPERLINK("https://creighton-primo.hosted.exlibrisgroup.com/primo-explore/search?tab=default_tab&amp;search_scope=EVERYTHING&amp;vid=01CRU&amp;lang=en_US&amp;offset=0&amp;query=any,contains,991003030159702656","Catalog Record")</f>
        <v/>
      </c>
      <c r="AT399">
        <f>HYPERLINK("http://www.worldcat.org/oclc/593353","WorldCat Record")</f>
        <v/>
      </c>
      <c r="AU399" t="inlineStr">
        <is>
          <t>3584326:eng</t>
        </is>
      </c>
      <c r="AV399" t="inlineStr">
        <is>
          <t>593353</t>
        </is>
      </c>
      <c r="AW399" t="inlineStr">
        <is>
          <t>991003030159702656</t>
        </is>
      </c>
      <c r="AX399" t="inlineStr">
        <is>
          <t>991003030159702656</t>
        </is>
      </c>
      <c r="AY399" t="inlineStr">
        <is>
          <t>2264834770002656</t>
        </is>
      </c>
      <c r="AZ399" t="inlineStr">
        <is>
          <t>BOOK</t>
        </is>
      </c>
      <c r="BC399" t="inlineStr">
        <is>
          <t>32285003165080</t>
        </is>
      </c>
      <c r="BD399" t="inlineStr">
        <is>
          <t>893616915</t>
        </is>
      </c>
    </row>
    <row r="400">
      <c r="A400" t="inlineStr">
        <is>
          <t>No</t>
        </is>
      </c>
      <c r="B400" t="inlineStr">
        <is>
          <t>PE1519 .W3</t>
        </is>
      </c>
      <c r="C400" t="inlineStr">
        <is>
          <t>0                      PE 1519000W  3</t>
        </is>
      </c>
      <c r="D400" t="inlineStr">
        <is>
          <t>The rhyming dictionary of the English language ; in which the whole language is arranged according to its terminations, with an index of allowable rhymes / by J. Walker.</t>
        </is>
      </c>
      <c r="F400" t="inlineStr">
        <is>
          <t>No</t>
        </is>
      </c>
      <c r="G400" t="inlineStr">
        <is>
          <t>1</t>
        </is>
      </c>
      <c r="H400" t="inlineStr">
        <is>
          <t>No</t>
        </is>
      </c>
      <c r="I400" t="inlineStr">
        <is>
          <t>No</t>
        </is>
      </c>
      <c r="J400" t="inlineStr">
        <is>
          <t>0</t>
        </is>
      </c>
      <c r="K400" t="inlineStr">
        <is>
          <t>Walker, John, 1732-1807.</t>
        </is>
      </c>
      <c r="L400" t="inlineStr">
        <is>
          <t>London : G. Routledge and sons New York : E.P. Dutton, [1894?]</t>
        </is>
      </c>
      <c r="M400" t="inlineStr">
        <is>
          <t>1894</t>
        </is>
      </c>
      <c r="N400" t="inlineStr">
        <is>
          <t>Rev. and enl. by Lawrence H. Dawson.</t>
        </is>
      </c>
      <c r="O400" t="inlineStr">
        <is>
          <t>eng</t>
        </is>
      </c>
      <c r="P400" t="inlineStr">
        <is>
          <t>enk</t>
        </is>
      </c>
      <c r="R400" t="inlineStr">
        <is>
          <t xml:space="preserve">PE </t>
        </is>
      </c>
      <c r="S400" t="n">
        <v>1</v>
      </c>
      <c r="T400" t="n">
        <v>1</v>
      </c>
      <c r="U400" t="inlineStr">
        <is>
          <t>2010-06-16</t>
        </is>
      </c>
      <c r="V400" t="inlineStr">
        <is>
          <t>2010-06-16</t>
        </is>
      </c>
      <c r="W400" t="inlineStr">
        <is>
          <t>1998-01-27</t>
        </is>
      </c>
      <c r="X400" t="inlineStr">
        <is>
          <t>1998-01-27</t>
        </is>
      </c>
      <c r="Y400" t="n">
        <v>239</v>
      </c>
      <c r="Z400" t="n">
        <v>217</v>
      </c>
      <c r="AA400" t="n">
        <v>788</v>
      </c>
      <c r="AB400" t="n">
        <v>3</v>
      </c>
      <c r="AC400" t="n">
        <v>4</v>
      </c>
      <c r="AD400" t="n">
        <v>12</v>
      </c>
      <c r="AE400" t="n">
        <v>27</v>
      </c>
      <c r="AF400" t="n">
        <v>7</v>
      </c>
      <c r="AG400" t="n">
        <v>10</v>
      </c>
      <c r="AH400" t="n">
        <v>1</v>
      </c>
      <c r="AI400" t="n">
        <v>3</v>
      </c>
      <c r="AJ400" t="n">
        <v>5</v>
      </c>
      <c r="AK400" t="n">
        <v>16</v>
      </c>
      <c r="AL400" t="n">
        <v>2</v>
      </c>
      <c r="AM400" t="n">
        <v>3</v>
      </c>
      <c r="AN400" t="n">
        <v>0</v>
      </c>
      <c r="AO400" t="n">
        <v>0</v>
      </c>
      <c r="AP400" t="inlineStr">
        <is>
          <t>Yes</t>
        </is>
      </c>
      <c r="AQ400" t="inlineStr">
        <is>
          <t>No</t>
        </is>
      </c>
      <c r="AR400">
        <f>HYPERLINK("http://catalog.hathitrust.org/Record/005697059","HathiTrust Record")</f>
        <v/>
      </c>
      <c r="AS400">
        <f>HYPERLINK("https://creighton-primo.hosted.exlibrisgroup.com/primo-explore/search?tab=default_tab&amp;search_scope=EVERYTHING&amp;vid=01CRU&amp;lang=en_US&amp;offset=0&amp;query=any,contains,991001741319702656","Catalog Record")</f>
        <v/>
      </c>
      <c r="AT400">
        <f>HYPERLINK("http://www.worldcat.org/oclc/4183580","WorldCat Record")</f>
        <v/>
      </c>
      <c r="AU400" t="inlineStr">
        <is>
          <t>3809995799:eng</t>
        </is>
      </c>
      <c r="AV400" t="inlineStr">
        <is>
          <t>4183580</t>
        </is>
      </c>
      <c r="AW400" t="inlineStr">
        <is>
          <t>991001741319702656</t>
        </is>
      </c>
      <c r="AX400" t="inlineStr">
        <is>
          <t>991001741319702656</t>
        </is>
      </c>
      <c r="AY400" t="inlineStr">
        <is>
          <t>2254701740002656</t>
        </is>
      </c>
      <c r="AZ400" t="inlineStr">
        <is>
          <t>BOOK</t>
        </is>
      </c>
      <c r="BC400" t="inlineStr">
        <is>
          <t>32285003327516</t>
        </is>
      </c>
      <c r="BD400" t="inlineStr">
        <is>
          <t>893522791</t>
        </is>
      </c>
    </row>
    <row r="401">
      <c r="A401" t="inlineStr">
        <is>
          <t>No</t>
        </is>
      </c>
      <c r="B401" t="inlineStr">
        <is>
          <t>PE1561 .S3</t>
        </is>
      </c>
      <c r="C401" t="inlineStr">
        <is>
          <t>0                      PE 1561000S  3</t>
        </is>
      </c>
      <c r="D401" t="inlineStr">
        <is>
          <t>A history of English prose rhythm, by George Saintsbury.</t>
        </is>
      </c>
      <c r="F401" t="inlineStr">
        <is>
          <t>No</t>
        </is>
      </c>
      <c r="G401" t="inlineStr">
        <is>
          <t>1</t>
        </is>
      </c>
      <c r="H401" t="inlineStr">
        <is>
          <t>No</t>
        </is>
      </c>
      <c r="I401" t="inlineStr">
        <is>
          <t>No</t>
        </is>
      </c>
      <c r="J401" t="inlineStr">
        <is>
          <t>0</t>
        </is>
      </c>
      <c r="K401" t="inlineStr">
        <is>
          <t>Saintsbury, George, 1845-1933.</t>
        </is>
      </c>
      <c r="L401" t="inlineStr">
        <is>
          <t>Bloomington, Indiana University Press [1965]</t>
        </is>
      </c>
      <c r="M401" t="inlineStr">
        <is>
          <t>1965</t>
        </is>
      </c>
      <c r="N401" t="inlineStr">
        <is>
          <t>[1st ed.]</t>
        </is>
      </c>
      <c r="O401" t="inlineStr">
        <is>
          <t>eng</t>
        </is>
      </c>
      <c r="P401" t="inlineStr">
        <is>
          <t>inu</t>
        </is>
      </c>
      <c r="R401" t="inlineStr">
        <is>
          <t xml:space="preserve">PE </t>
        </is>
      </c>
      <c r="S401" t="n">
        <v>1</v>
      </c>
      <c r="T401" t="n">
        <v>1</v>
      </c>
      <c r="U401" t="inlineStr">
        <is>
          <t>2000-06-20</t>
        </is>
      </c>
      <c r="V401" t="inlineStr">
        <is>
          <t>2000-06-20</t>
        </is>
      </c>
      <c r="W401" t="inlineStr">
        <is>
          <t>1997-09-26</t>
        </is>
      </c>
      <c r="X401" t="inlineStr">
        <is>
          <t>1997-09-26</t>
        </is>
      </c>
      <c r="Y401" t="n">
        <v>535</v>
      </c>
      <c r="Z401" t="n">
        <v>517</v>
      </c>
      <c r="AA401" t="n">
        <v>861</v>
      </c>
      <c r="AB401" t="n">
        <v>6</v>
      </c>
      <c r="AC401" t="n">
        <v>8</v>
      </c>
      <c r="AD401" t="n">
        <v>21</v>
      </c>
      <c r="AE401" t="n">
        <v>42</v>
      </c>
      <c r="AF401" t="n">
        <v>4</v>
      </c>
      <c r="AG401" t="n">
        <v>12</v>
      </c>
      <c r="AH401" t="n">
        <v>6</v>
      </c>
      <c r="AI401" t="n">
        <v>11</v>
      </c>
      <c r="AJ401" t="n">
        <v>10</v>
      </c>
      <c r="AK401" t="n">
        <v>24</v>
      </c>
      <c r="AL401" t="n">
        <v>5</v>
      </c>
      <c r="AM401" t="n">
        <v>7</v>
      </c>
      <c r="AN401" t="n">
        <v>0</v>
      </c>
      <c r="AO401" t="n">
        <v>0</v>
      </c>
      <c r="AP401" t="inlineStr">
        <is>
          <t>No</t>
        </is>
      </c>
      <c r="AQ401" t="inlineStr">
        <is>
          <t>Yes</t>
        </is>
      </c>
      <c r="AR401">
        <f>HYPERLINK("http://catalog.hathitrust.org/Record/001464018","HathiTrust Record")</f>
        <v/>
      </c>
      <c r="AS401">
        <f>HYPERLINK("https://creighton-primo.hosted.exlibrisgroup.com/primo-explore/search?tab=default_tab&amp;search_scope=EVERYTHING&amp;vid=01CRU&amp;lang=en_US&amp;offset=0&amp;query=any,contains,991002305869702656","Catalog Record")</f>
        <v/>
      </c>
      <c r="AT401">
        <f>HYPERLINK("http://www.worldcat.org/oclc/318261","WorldCat Record")</f>
        <v/>
      </c>
      <c r="AU401" t="inlineStr">
        <is>
          <t>1392172:eng</t>
        </is>
      </c>
      <c r="AV401" t="inlineStr">
        <is>
          <t>318261</t>
        </is>
      </c>
      <c r="AW401" t="inlineStr">
        <is>
          <t>991002305869702656</t>
        </is>
      </c>
      <c r="AX401" t="inlineStr">
        <is>
          <t>991002305869702656</t>
        </is>
      </c>
      <c r="AY401" t="inlineStr">
        <is>
          <t>2270494870002656</t>
        </is>
      </c>
      <c r="AZ401" t="inlineStr">
        <is>
          <t>BOOK</t>
        </is>
      </c>
      <c r="BC401" t="inlineStr">
        <is>
          <t>32285003248365</t>
        </is>
      </c>
      <c r="BD401" t="inlineStr">
        <is>
          <t>893497952</t>
        </is>
      </c>
    </row>
    <row r="402">
      <c r="A402" t="inlineStr">
        <is>
          <t>No</t>
        </is>
      </c>
      <c r="B402" t="inlineStr">
        <is>
          <t>PE1571 .H84 1988</t>
        </is>
      </c>
      <c r="C402" t="inlineStr">
        <is>
          <t>0                      PE 1571000H  84          1988</t>
        </is>
      </c>
      <c r="D402" t="inlineStr">
        <is>
          <t>Words in time : a social history of the English vocabulary / Geoffrey Hughes.</t>
        </is>
      </c>
      <c r="F402" t="inlineStr">
        <is>
          <t>No</t>
        </is>
      </c>
      <c r="G402" t="inlineStr">
        <is>
          <t>1</t>
        </is>
      </c>
      <c r="H402" t="inlineStr">
        <is>
          <t>No</t>
        </is>
      </c>
      <c r="I402" t="inlineStr">
        <is>
          <t>No</t>
        </is>
      </c>
      <c r="J402" t="inlineStr">
        <is>
          <t>0</t>
        </is>
      </c>
      <c r="K402" t="inlineStr">
        <is>
          <t>Hughes, Geoffrey, 1939-</t>
        </is>
      </c>
      <c r="L402" t="inlineStr">
        <is>
          <t>New York : Blackwell, 1988.</t>
        </is>
      </c>
      <c r="M402" t="inlineStr">
        <is>
          <t>1988</t>
        </is>
      </c>
      <c r="O402" t="inlineStr">
        <is>
          <t>eng</t>
        </is>
      </c>
      <c r="P402" t="inlineStr">
        <is>
          <t>nyu</t>
        </is>
      </c>
      <c r="R402" t="inlineStr">
        <is>
          <t xml:space="preserve">PE </t>
        </is>
      </c>
      <c r="S402" t="n">
        <v>5</v>
      </c>
      <c r="T402" t="n">
        <v>5</v>
      </c>
      <c r="U402" t="inlineStr">
        <is>
          <t>2005-11-08</t>
        </is>
      </c>
      <c r="V402" t="inlineStr">
        <is>
          <t>2005-11-08</t>
        </is>
      </c>
      <c r="W402" t="inlineStr">
        <is>
          <t>1993-05-03</t>
        </is>
      </c>
      <c r="X402" t="inlineStr">
        <is>
          <t>1993-05-03</t>
        </is>
      </c>
      <c r="Y402" t="n">
        <v>494</v>
      </c>
      <c r="Z402" t="n">
        <v>397</v>
      </c>
      <c r="AA402" t="n">
        <v>493</v>
      </c>
      <c r="AB402" t="n">
        <v>5</v>
      </c>
      <c r="AC402" t="n">
        <v>5</v>
      </c>
      <c r="AD402" t="n">
        <v>21</v>
      </c>
      <c r="AE402" t="n">
        <v>23</v>
      </c>
      <c r="AF402" t="n">
        <v>4</v>
      </c>
      <c r="AG402" t="n">
        <v>5</v>
      </c>
      <c r="AH402" t="n">
        <v>7</v>
      </c>
      <c r="AI402" t="n">
        <v>8</v>
      </c>
      <c r="AJ402" t="n">
        <v>11</v>
      </c>
      <c r="AK402" t="n">
        <v>12</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HYPERLINK("https://creighton-primo.hosted.exlibrisgroup.com/primo-explore/search?tab=default_tab&amp;search_scope=EVERYTHING&amp;vid=01CRU&amp;lang=en_US&amp;offset=0&amp;query=any,contains,991001207419702656","Catalog Record")</f>
        <v/>
      </c>
      <c r="AT402">
        <f>HYPERLINK("http://www.worldcat.org/oclc/17354298","WorldCat Record")</f>
        <v/>
      </c>
      <c r="AU402" t="inlineStr">
        <is>
          <t>889751770:eng</t>
        </is>
      </c>
      <c r="AV402" t="inlineStr">
        <is>
          <t>17354298</t>
        </is>
      </c>
      <c r="AW402" t="inlineStr">
        <is>
          <t>991001207419702656</t>
        </is>
      </c>
      <c r="AX402" t="inlineStr">
        <is>
          <t>991001207419702656</t>
        </is>
      </c>
      <c r="AY402" t="inlineStr">
        <is>
          <t>2268285570002656</t>
        </is>
      </c>
      <c r="AZ402" t="inlineStr">
        <is>
          <t>BOOK</t>
        </is>
      </c>
      <c r="BB402" t="inlineStr">
        <is>
          <t>9780631158325</t>
        </is>
      </c>
      <c r="BC402" t="inlineStr">
        <is>
          <t>32285001632925</t>
        </is>
      </c>
      <c r="BD402" t="inlineStr">
        <is>
          <t>893903338</t>
        </is>
      </c>
    </row>
    <row r="403">
      <c r="A403" t="inlineStr">
        <is>
          <t>No</t>
        </is>
      </c>
      <c r="B403" t="inlineStr">
        <is>
          <t>PE1571 .P45</t>
        </is>
      </c>
      <c r="C403" t="inlineStr">
        <is>
          <t>0                      PE 1571000P  45</t>
        </is>
      </c>
      <c r="D403" t="inlineStr">
        <is>
          <t>The families of words.</t>
        </is>
      </c>
      <c r="F403" t="inlineStr">
        <is>
          <t>No</t>
        </is>
      </c>
      <c r="G403" t="inlineStr">
        <is>
          <t>1</t>
        </is>
      </c>
      <c r="H403" t="inlineStr">
        <is>
          <t>No</t>
        </is>
      </c>
      <c r="I403" t="inlineStr">
        <is>
          <t>No</t>
        </is>
      </c>
      <c r="J403" t="inlineStr">
        <is>
          <t>0</t>
        </is>
      </c>
      <c r="K403" t="inlineStr">
        <is>
          <t>Pei, Mario, 1901-1978.</t>
        </is>
      </c>
      <c r="L403" t="inlineStr">
        <is>
          <t>New York, Harper [1962]</t>
        </is>
      </c>
      <c r="M403" t="inlineStr">
        <is>
          <t>1962</t>
        </is>
      </c>
      <c r="N403" t="inlineStr">
        <is>
          <t>[1st ed.]</t>
        </is>
      </c>
      <c r="O403" t="inlineStr">
        <is>
          <t>eng</t>
        </is>
      </c>
      <c r="P403" t="inlineStr">
        <is>
          <t>nyu</t>
        </is>
      </c>
      <c r="R403" t="inlineStr">
        <is>
          <t xml:space="preserve">PE </t>
        </is>
      </c>
      <c r="S403" t="n">
        <v>2</v>
      </c>
      <c r="T403" t="n">
        <v>2</v>
      </c>
      <c r="U403" t="inlineStr">
        <is>
          <t>2000-06-20</t>
        </is>
      </c>
      <c r="V403" t="inlineStr">
        <is>
          <t>2000-06-20</t>
        </is>
      </c>
      <c r="W403" t="inlineStr">
        <is>
          <t>1997-09-26</t>
        </is>
      </c>
      <c r="X403" t="inlineStr">
        <is>
          <t>1997-09-26</t>
        </is>
      </c>
      <c r="Y403" t="n">
        <v>778</v>
      </c>
      <c r="Z403" t="n">
        <v>711</v>
      </c>
      <c r="AA403" t="n">
        <v>811</v>
      </c>
      <c r="AB403" t="n">
        <v>3</v>
      </c>
      <c r="AC403" t="n">
        <v>5</v>
      </c>
      <c r="AD403" t="n">
        <v>23</v>
      </c>
      <c r="AE403" t="n">
        <v>25</v>
      </c>
      <c r="AF403" t="n">
        <v>9</v>
      </c>
      <c r="AG403" t="n">
        <v>9</v>
      </c>
      <c r="AH403" t="n">
        <v>5</v>
      </c>
      <c r="AI403" t="n">
        <v>5</v>
      </c>
      <c r="AJ403" t="n">
        <v>14</v>
      </c>
      <c r="AK403" t="n">
        <v>14</v>
      </c>
      <c r="AL403" t="n">
        <v>2</v>
      </c>
      <c r="AM403" t="n">
        <v>4</v>
      </c>
      <c r="AN403" t="n">
        <v>0</v>
      </c>
      <c r="AO403" t="n">
        <v>0</v>
      </c>
      <c r="AP403" t="inlineStr">
        <is>
          <t>Yes</t>
        </is>
      </c>
      <c r="AQ403" t="inlineStr">
        <is>
          <t>No</t>
        </is>
      </c>
      <c r="AR403">
        <f>HYPERLINK("http://catalog.hathitrust.org/Record/001183211","HathiTrust Record")</f>
        <v/>
      </c>
      <c r="AS403">
        <f>HYPERLINK("https://creighton-primo.hosted.exlibrisgroup.com/primo-explore/search?tab=default_tab&amp;search_scope=EVERYTHING&amp;vid=01CRU&amp;lang=en_US&amp;offset=0&amp;query=any,contains,991002305899702656","Catalog Record")</f>
        <v/>
      </c>
      <c r="AT403">
        <f>HYPERLINK("http://www.worldcat.org/oclc/318263","WorldCat Record")</f>
        <v/>
      </c>
      <c r="AU403" t="inlineStr">
        <is>
          <t>119228339:eng</t>
        </is>
      </c>
      <c r="AV403" t="inlineStr">
        <is>
          <t>318263</t>
        </is>
      </c>
      <c r="AW403" t="inlineStr">
        <is>
          <t>991002305899702656</t>
        </is>
      </c>
      <c r="AX403" t="inlineStr">
        <is>
          <t>991002305899702656</t>
        </is>
      </c>
      <c r="AY403" t="inlineStr">
        <is>
          <t>2270496550002656</t>
        </is>
      </c>
      <c r="AZ403" t="inlineStr">
        <is>
          <t>BOOK</t>
        </is>
      </c>
      <c r="BC403" t="inlineStr">
        <is>
          <t>32285003248373</t>
        </is>
      </c>
      <c r="BD403" t="inlineStr">
        <is>
          <t>893710127</t>
        </is>
      </c>
    </row>
    <row r="404">
      <c r="A404" t="inlineStr">
        <is>
          <t>No</t>
        </is>
      </c>
      <c r="B404" t="inlineStr">
        <is>
          <t>PE1571 .S65 2006</t>
        </is>
      </c>
      <c r="C404" t="inlineStr">
        <is>
          <t>0                      PE 1571000S  65          2006</t>
        </is>
      </c>
      <c r="D404" t="inlineStr">
        <is>
          <t>Household words : bloomers, sucker, bombshell, scab, nigger, cyber / Stephanie A. Smith.</t>
        </is>
      </c>
      <c r="F404" t="inlineStr">
        <is>
          <t>No</t>
        </is>
      </c>
      <c r="G404" t="inlineStr">
        <is>
          <t>1</t>
        </is>
      </c>
      <c r="H404" t="inlineStr">
        <is>
          <t>No</t>
        </is>
      </c>
      <c r="I404" t="inlineStr">
        <is>
          <t>No</t>
        </is>
      </c>
      <c r="J404" t="inlineStr">
        <is>
          <t>0</t>
        </is>
      </c>
      <c r="K404" t="inlineStr">
        <is>
          <t>Smith, Stephanie A. (Stephanie Ann), 1959-</t>
        </is>
      </c>
      <c r="L404" t="inlineStr">
        <is>
          <t>Minneapolis : University of Minnesota Press, c2006.</t>
        </is>
      </c>
      <c r="M404" t="inlineStr">
        <is>
          <t>2006</t>
        </is>
      </c>
      <c r="O404" t="inlineStr">
        <is>
          <t>eng</t>
        </is>
      </c>
      <c r="P404" t="inlineStr">
        <is>
          <t>mnu</t>
        </is>
      </c>
      <c r="R404" t="inlineStr">
        <is>
          <t xml:space="preserve">PE </t>
        </is>
      </c>
      <c r="S404" t="n">
        <v>4</v>
      </c>
      <c r="T404" t="n">
        <v>4</v>
      </c>
      <c r="U404" t="inlineStr">
        <is>
          <t>2010-03-31</t>
        </is>
      </c>
      <c r="V404" t="inlineStr">
        <is>
          <t>2010-03-31</t>
        </is>
      </c>
      <c r="W404" t="inlineStr">
        <is>
          <t>2006-10-02</t>
        </is>
      </c>
      <c r="X404" t="inlineStr">
        <is>
          <t>2006-10-02</t>
        </is>
      </c>
      <c r="Y404" t="n">
        <v>228</v>
      </c>
      <c r="Z404" t="n">
        <v>200</v>
      </c>
      <c r="AA404" t="n">
        <v>200</v>
      </c>
      <c r="AB404" t="n">
        <v>2</v>
      </c>
      <c r="AC404" t="n">
        <v>2</v>
      </c>
      <c r="AD404" t="n">
        <v>9</v>
      </c>
      <c r="AE404" t="n">
        <v>9</v>
      </c>
      <c r="AF404" t="n">
        <v>1</v>
      </c>
      <c r="AG404" t="n">
        <v>1</v>
      </c>
      <c r="AH404" t="n">
        <v>5</v>
      </c>
      <c r="AI404" t="n">
        <v>5</v>
      </c>
      <c r="AJ404" t="n">
        <v>5</v>
      </c>
      <c r="AK404" t="n">
        <v>5</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HYPERLINK("https://creighton-primo.hosted.exlibrisgroup.com/primo-explore/search?tab=default_tab&amp;search_scope=EVERYTHING&amp;vid=01CRU&amp;lang=en_US&amp;offset=0&amp;query=any,contains,991004914549702656","Catalog Record")</f>
        <v/>
      </c>
      <c r="AT404">
        <f>HYPERLINK("http://www.worldcat.org/oclc/61463591","WorldCat Record")</f>
        <v/>
      </c>
      <c r="AU404" t="inlineStr">
        <is>
          <t>44041383:eng</t>
        </is>
      </c>
      <c r="AV404" t="inlineStr">
        <is>
          <t>61463591</t>
        </is>
      </c>
      <c r="AW404" t="inlineStr">
        <is>
          <t>991004914549702656</t>
        </is>
      </c>
      <c r="AX404" t="inlineStr">
        <is>
          <t>991004914549702656</t>
        </is>
      </c>
      <c r="AY404" t="inlineStr">
        <is>
          <t>2270739540002656</t>
        </is>
      </c>
      <c r="AZ404" t="inlineStr">
        <is>
          <t>BOOK</t>
        </is>
      </c>
      <c r="BB404" t="inlineStr">
        <is>
          <t>9780816645527</t>
        </is>
      </c>
      <c r="BC404" t="inlineStr">
        <is>
          <t>32285005226559</t>
        </is>
      </c>
      <c r="BD404" t="inlineStr">
        <is>
          <t>893612902</t>
        </is>
      </c>
    </row>
    <row r="405">
      <c r="A405" t="inlineStr">
        <is>
          <t>No</t>
        </is>
      </c>
      <c r="B405" t="inlineStr">
        <is>
          <t>PE1574 .A3 1975</t>
        </is>
      </c>
      <c r="C405" t="inlineStr">
        <is>
          <t>0                      PE 1574000A  3           1975</t>
        </is>
      </c>
      <c r="D405" t="inlineStr">
        <is>
          <t>The magic and mystery of words / by J. Donald Adams.</t>
        </is>
      </c>
      <c r="F405" t="inlineStr">
        <is>
          <t>No</t>
        </is>
      </c>
      <c r="G405" t="inlineStr">
        <is>
          <t>1</t>
        </is>
      </c>
      <c r="H405" t="inlineStr">
        <is>
          <t>No</t>
        </is>
      </c>
      <c r="I405" t="inlineStr">
        <is>
          <t>No</t>
        </is>
      </c>
      <c r="J405" t="inlineStr">
        <is>
          <t>0</t>
        </is>
      </c>
      <c r="K405" t="inlineStr">
        <is>
          <t>Adams, J. Donald (James Donald), 1891-1968.</t>
        </is>
      </c>
      <c r="L405" t="inlineStr">
        <is>
          <t>Westport, Conn. : Greenwood Press, 1975, c1963.</t>
        </is>
      </c>
      <c r="M405" t="inlineStr">
        <is>
          <t>1975</t>
        </is>
      </c>
      <c r="O405" t="inlineStr">
        <is>
          <t>eng</t>
        </is>
      </c>
      <c r="P405" t="inlineStr">
        <is>
          <t>ctu</t>
        </is>
      </c>
      <c r="R405" t="inlineStr">
        <is>
          <t xml:space="preserve">PE </t>
        </is>
      </c>
      <c r="S405" t="n">
        <v>1</v>
      </c>
      <c r="T405" t="n">
        <v>1</v>
      </c>
      <c r="U405" t="inlineStr">
        <is>
          <t>1997-12-01</t>
        </is>
      </c>
      <c r="V405" t="inlineStr">
        <is>
          <t>1997-12-01</t>
        </is>
      </c>
      <c r="W405" t="inlineStr">
        <is>
          <t>1997-09-26</t>
        </is>
      </c>
      <c r="X405" t="inlineStr">
        <is>
          <t>1997-09-26</t>
        </is>
      </c>
      <c r="Y405" t="n">
        <v>60</v>
      </c>
      <c r="Z405" t="n">
        <v>55</v>
      </c>
      <c r="AA405" t="n">
        <v>584</v>
      </c>
      <c r="AB405" t="n">
        <v>1</v>
      </c>
      <c r="AC405" t="n">
        <v>3</v>
      </c>
      <c r="AD405" t="n">
        <v>0</v>
      </c>
      <c r="AE405" t="n">
        <v>14</v>
      </c>
      <c r="AF405" t="n">
        <v>0</v>
      </c>
      <c r="AG405" t="n">
        <v>4</v>
      </c>
      <c r="AH405" t="n">
        <v>0</v>
      </c>
      <c r="AI405" t="n">
        <v>4</v>
      </c>
      <c r="AJ405" t="n">
        <v>0</v>
      </c>
      <c r="AK405" t="n">
        <v>8</v>
      </c>
      <c r="AL405" t="n">
        <v>0</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HYPERLINK("https://creighton-primo.hosted.exlibrisgroup.com/primo-explore/search?tab=default_tab&amp;search_scope=EVERYTHING&amp;vid=01CRU&amp;lang=en_US&amp;offset=0&amp;query=any,contains,991003539149702656","Catalog Record")</f>
        <v/>
      </c>
      <c r="AT405">
        <f>HYPERLINK("http://www.worldcat.org/oclc/1104058","WorldCat Record")</f>
        <v/>
      </c>
      <c r="AU405" t="inlineStr">
        <is>
          <t>180049683:eng</t>
        </is>
      </c>
      <c r="AV405" t="inlineStr">
        <is>
          <t>1104058</t>
        </is>
      </c>
      <c r="AW405" t="inlineStr">
        <is>
          <t>991003539149702656</t>
        </is>
      </c>
      <c r="AX405" t="inlineStr">
        <is>
          <t>991003539149702656</t>
        </is>
      </c>
      <c r="AY405" t="inlineStr">
        <is>
          <t>2258487710002656</t>
        </is>
      </c>
      <c r="AZ405" t="inlineStr">
        <is>
          <t>BOOK</t>
        </is>
      </c>
      <c r="BB405" t="inlineStr">
        <is>
          <t>9780837176864</t>
        </is>
      </c>
      <c r="BC405" t="inlineStr">
        <is>
          <t>32285003248381</t>
        </is>
      </c>
      <c r="BD405" t="inlineStr">
        <is>
          <t>893512059</t>
        </is>
      </c>
    </row>
    <row r="406">
      <c r="A406" t="inlineStr">
        <is>
          <t>No</t>
        </is>
      </c>
      <c r="B406" t="inlineStr">
        <is>
          <t>PE1574 .F8</t>
        </is>
      </c>
      <c r="C406" t="inlineStr">
        <is>
          <t>0                      PE 1574000F  8</t>
        </is>
      </c>
      <c r="D406" t="inlineStr">
        <is>
          <t>Word origins and their romantic stories.</t>
        </is>
      </c>
      <c r="F406" t="inlineStr">
        <is>
          <t>No</t>
        </is>
      </c>
      <c r="G406" t="inlineStr">
        <is>
          <t>1</t>
        </is>
      </c>
      <c r="H406" t="inlineStr">
        <is>
          <t>No</t>
        </is>
      </c>
      <c r="I406" t="inlineStr">
        <is>
          <t>No</t>
        </is>
      </c>
      <c r="J406" t="inlineStr">
        <is>
          <t>0</t>
        </is>
      </c>
      <c r="K406" t="inlineStr">
        <is>
          <t>Funk, Wilfred J. (Wilfred John), 1883-1965.</t>
        </is>
      </c>
      <c r="L406" t="inlineStr">
        <is>
          <t>New York : Grosset &amp; Dunlap, [c1950]</t>
        </is>
      </c>
      <c r="M406" t="inlineStr">
        <is>
          <t>1950</t>
        </is>
      </c>
      <c r="O406" t="inlineStr">
        <is>
          <t>eng</t>
        </is>
      </c>
      <c r="P406" t="inlineStr">
        <is>
          <t>nyu</t>
        </is>
      </c>
      <c r="R406" t="inlineStr">
        <is>
          <t xml:space="preserve">PE </t>
        </is>
      </c>
      <c r="S406" t="n">
        <v>6</v>
      </c>
      <c r="T406" t="n">
        <v>6</v>
      </c>
      <c r="U406" t="inlineStr">
        <is>
          <t>2009-09-23</t>
        </is>
      </c>
      <c r="V406" t="inlineStr">
        <is>
          <t>2009-09-23</t>
        </is>
      </c>
      <c r="W406" t="inlineStr">
        <is>
          <t>1991-12-10</t>
        </is>
      </c>
      <c r="X406" t="inlineStr">
        <is>
          <t>1991-12-10</t>
        </is>
      </c>
      <c r="Y406" t="n">
        <v>204</v>
      </c>
      <c r="Z406" t="n">
        <v>190</v>
      </c>
      <c r="AA406" t="n">
        <v>1815</v>
      </c>
      <c r="AB406" t="n">
        <v>5</v>
      </c>
      <c r="AC406" t="n">
        <v>16</v>
      </c>
      <c r="AD406" t="n">
        <v>8</v>
      </c>
      <c r="AE406" t="n">
        <v>41</v>
      </c>
      <c r="AF406" t="n">
        <v>1</v>
      </c>
      <c r="AG406" t="n">
        <v>13</v>
      </c>
      <c r="AH406" t="n">
        <v>1</v>
      </c>
      <c r="AI406" t="n">
        <v>6</v>
      </c>
      <c r="AJ406" t="n">
        <v>4</v>
      </c>
      <c r="AK406" t="n">
        <v>19</v>
      </c>
      <c r="AL406" t="n">
        <v>4</v>
      </c>
      <c r="AM406" t="n">
        <v>11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HYPERLINK("https://creighton-primo.hosted.exlibrisgroup.com/primo-explore/search?tab=default_tab&amp;search_scope=EVERYTHING&amp;vid=01CRU&amp;lang=en_US&amp;offset=0&amp;query=any,contains,991003657649702656","Catalog Record")</f>
        <v/>
      </c>
      <c r="AT406">
        <f>HYPERLINK("http://www.worldcat.org/oclc/1263743","WorldCat Record")</f>
        <v/>
      </c>
      <c r="AU406" t="inlineStr">
        <is>
          <t>138053480:eng</t>
        </is>
      </c>
      <c r="AV406" t="inlineStr">
        <is>
          <t>1263743</t>
        </is>
      </c>
      <c r="AW406" t="inlineStr">
        <is>
          <t>991003657649702656</t>
        </is>
      </c>
      <c r="AX406" t="inlineStr">
        <is>
          <t>991003657649702656</t>
        </is>
      </c>
      <c r="AY406" t="inlineStr">
        <is>
          <t>2262420260002656</t>
        </is>
      </c>
      <c r="AZ406" t="inlineStr">
        <is>
          <t>BOOK</t>
        </is>
      </c>
      <c r="BC406" t="inlineStr">
        <is>
          <t>32285000875319</t>
        </is>
      </c>
      <c r="BD406" t="inlineStr">
        <is>
          <t>893435248</t>
        </is>
      </c>
    </row>
    <row r="407">
      <c r="A407" t="inlineStr">
        <is>
          <t>No</t>
        </is>
      </c>
      <c r="B407" t="inlineStr">
        <is>
          <t>PE1574 .G8</t>
        </is>
      </c>
      <c r="C407" t="inlineStr">
        <is>
          <t>0                      PE 1574000G  8</t>
        </is>
      </c>
      <c r="D407" t="inlineStr">
        <is>
          <t>Words and their ways in English speech, by James Bradstreet Greenough ... and George Lyman Kittredge ...</t>
        </is>
      </c>
      <c r="F407" t="inlineStr">
        <is>
          <t>No</t>
        </is>
      </c>
      <c r="G407" t="inlineStr">
        <is>
          <t>1</t>
        </is>
      </c>
      <c r="H407" t="inlineStr">
        <is>
          <t>No</t>
        </is>
      </c>
      <c r="I407" t="inlineStr">
        <is>
          <t>No</t>
        </is>
      </c>
      <c r="J407" t="inlineStr">
        <is>
          <t>0</t>
        </is>
      </c>
      <c r="K407" t="inlineStr">
        <is>
          <t>Greenough, J. B. (James Bradstreet), 1833-1901.</t>
        </is>
      </c>
      <c r="L407" t="inlineStr">
        <is>
          <t>New York, The Macmillan Company; [etc., etc.] 1901.</t>
        </is>
      </c>
      <c r="M407" t="inlineStr">
        <is>
          <t>1901</t>
        </is>
      </c>
      <c r="O407" t="inlineStr">
        <is>
          <t>eng</t>
        </is>
      </c>
      <c r="P407" t="inlineStr">
        <is>
          <t>nyu</t>
        </is>
      </c>
      <c r="R407" t="inlineStr">
        <is>
          <t xml:space="preserve">PE </t>
        </is>
      </c>
      <c r="S407" t="n">
        <v>3</v>
      </c>
      <c r="T407" t="n">
        <v>3</v>
      </c>
      <c r="U407" t="inlineStr">
        <is>
          <t>1999-04-25</t>
        </is>
      </c>
      <c r="V407" t="inlineStr">
        <is>
          <t>1999-04-25</t>
        </is>
      </c>
      <c r="W407" t="inlineStr">
        <is>
          <t>1997-09-26</t>
        </is>
      </c>
      <c r="X407" t="inlineStr">
        <is>
          <t>1997-09-26</t>
        </is>
      </c>
      <c r="Y407" t="n">
        <v>346</v>
      </c>
      <c r="Z407" t="n">
        <v>307</v>
      </c>
      <c r="AA407" t="n">
        <v>741</v>
      </c>
      <c r="AB407" t="n">
        <v>4</v>
      </c>
      <c r="AC407" t="n">
        <v>6</v>
      </c>
      <c r="AD407" t="n">
        <v>15</v>
      </c>
      <c r="AE407" t="n">
        <v>45</v>
      </c>
      <c r="AF407" t="n">
        <v>4</v>
      </c>
      <c r="AG407" t="n">
        <v>20</v>
      </c>
      <c r="AH407" t="n">
        <v>3</v>
      </c>
      <c r="AI407" t="n">
        <v>9</v>
      </c>
      <c r="AJ407" t="n">
        <v>8</v>
      </c>
      <c r="AK407" t="n">
        <v>23</v>
      </c>
      <c r="AL407" t="n">
        <v>3</v>
      </c>
      <c r="AM407" t="n">
        <v>5</v>
      </c>
      <c r="AN407" t="n">
        <v>0</v>
      </c>
      <c r="AO407" t="n">
        <v>0</v>
      </c>
      <c r="AP407" t="inlineStr">
        <is>
          <t>Yes</t>
        </is>
      </c>
      <c r="AQ407" t="inlineStr">
        <is>
          <t>No</t>
        </is>
      </c>
      <c r="AR407">
        <f>HYPERLINK("http://catalog.hathitrust.org/Record/001183216","HathiTrust Record")</f>
        <v/>
      </c>
      <c r="AS407">
        <f>HYPERLINK("https://creighton-primo.hosted.exlibrisgroup.com/primo-explore/search?tab=default_tab&amp;search_scope=EVERYTHING&amp;vid=01CRU&amp;lang=en_US&amp;offset=0&amp;query=any,contains,991002305769702656","Catalog Record")</f>
        <v/>
      </c>
      <c r="AT407">
        <f>HYPERLINK("http://www.worldcat.org/oclc/318200","WorldCat Record")</f>
        <v/>
      </c>
      <c r="AU407" t="inlineStr">
        <is>
          <t>1394921:eng</t>
        </is>
      </c>
      <c r="AV407" t="inlineStr">
        <is>
          <t>318200</t>
        </is>
      </c>
      <c r="AW407" t="inlineStr">
        <is>
          <t>991002305769702656</t>
        </is>
      </c>
      <c r="AX407" t="inlineStr">
        <is>
          <t>991002305769702656</t>
        </is>
      </c>
      <c r="AY407" t="inlineStr">
        <is>
          <t>2270474030002656</t>
        </is>
      </c>
      <c r="AZ407" t="inlineStr">
        <is>
          <t>BOOK</t>
        </is>
      </c>
      <c r="BC407" t="inlineStr">
        <is>
          <t>32285003248449</t>
        </is>
      </c>
      <c r="BD407" t="inlineStr">
        <is>
          <t>893622132</t>
        </is>
      </c>
    </row>
    <row r="408">
      <c r="A408" t="inlineStr">
        <is>
          <t>No</t>
        </is>
      </c>
      <c r="B408" t="inlineStr">
        <is>
          <t>PE1574 .G8 1962</t>
        </is>
      </c>
      <c r="C408" t="inlineStr">
        <is>
          <t>0                      PE 1574000G  8           1962</t>
        </is>
      </c>
      <c r="D408" t="inlineStr">
        <is>
          <t>Words and their ways in English speech / by James Bradstreet Greenough and George Lyman Kittridge. [With a new introd by Simeon Potter]</t>
        </is>
      </c>
      <c r="F408" t="inlineStr">
        <is>
          <t>No</t>
        </is>
      </c>
      <c r="G408" t="inlineStr">
        <is>
          <t>1</t>
        </is>
      </c>
      <c r="H408" t="inlineStr">
        <is>
          <t>No</t>
        </is>
      </c>
      <c r="I408" t="inlineStr">
        <is>
          <t>No</t>
        </is>
      </c>
      <c r="J408" t="inlineStr">
        <is>
          <t>0</t>
        </is>
      </c>
      <c r="K408" t="inlineStr">
        <is>
          <t>Greenough, J. B. (James Bradstreet), 1833-1901.</t>
        </is>
      </c>
      <c r="L408" t="inlineStr">
        <is>
          <t>Boston : Beacon Press, c1962, 1965 printing.</t>
        </is>
      </c>
      <c r="M408" t="inlineStr">
        <is>
          <t>1962</t>
        </is>
      </c>
      <c r="O408" t="inlineStr">
        <is>
          <t>eng</t>
        </is>
      </c>
      <c r="P408" t="inlineStr">
        <is>
          <t>mau</t>
        </is>
      </c>
      <c r="Q408" t="inlineStr">
        <is>
          <t>Beacon paperback, BP136</t>
        </is>
      </c>
      <c r="R408" t="inlineStr">
        <is>
          <t xml:space="preserve">PE </t>
        </is>
      </c>
      <c r="S408" t="n">
        <v>1</v>
      </c>
      <c r="T408" t="n">
        <v>1</v>
      </c>
      <c r="U408" t="inlineStr">
        <is>
          <t>1999-11-02</t>
        </is>
      </c>
      <c r="V408" t="inlineStr">
        <is>
          <t>1999-11-02</t>
        </is>
      </c>
      <c r="W408" t="inlineStr">
        <is>
          <t>1993-04-23</t>
        </is>
      </c>
      <c r="X408" t="inlineStr">
        <is>
          <t>1993-04-23</t>
        </is>
      </c>
      <c r="Y408" t="n">
        <v>207</v>
      </c>
      <c r="Z408" t="n">
        <v>188</v>
      </c>
      <c r="AA408" t="n">
        <v>193</v>
      </c>
      <c r="AB408" t="n">
        <v>4</v>
      </c>
      <c r="AC408" t="n">
        <v>4</v>
      </c>
      <c r="AD408" t="n">
        <v>6</v>
      </c>
      <c r="AE408" t="n">
        <v>6</v>
      </c>
      <c r="AF408" t="n">
        <v>2</v>
      </c>
      <c r="AG408" t="n">
        <v>2</v>
      </c>
      <c r="AH408" t="n">
        <v>2</v>
      </c>
      <c r="AI408" t="n">
        <v>2</v>
      </c>
      <c r="AJ408" t="n">
        <v>2</v>
      </c>
      <c r="AK408" t="n">
        <v>2</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HYPERLINK("https://creighton-primo.hosted.exlibrisgroup.com/primo-explore/search?tab=default_tab&amp;search_scope=EVERYTHING&amp;vid=01CRU&amp;lang=en_US&amp;offset=0&amp;query=any,contains,991002309829702656","Catalog Record")</f>
        <v/>
      </c>
      <c r="AT408">
        <f>HYPERLINK("http://www.worldcat.org/oclc/319322","WorldCat Record")</f>
        <v/>
      </c>
      <c r="AU408" t="inlineStr">
        <is>
          <t>10252348160:eng</t>
        </is>
      </c>
      <c r="AV408" t="inlineStr">
        <is>
          <t>319322</t>
        </is>
      </c>
      <c r="AW408" t="inlineStr">
        <is>
          <t>991002309829702656</t>
        </is>
      </c>
      <c r="AX408" t="inlineStr">
        <is>
          <t>991002309829702656</t>
        </is>
      </c>
      <c r="AY408" t="inlineStr">
        <is>
          <t>2267565010002656</t>
        </is>
      </c>
      <c r="AZ408" t="inlineStr">
        <is>
          <t>BOOK</t>
        </is>
      </c>
      <c r="BC408" t="inlineStr">
        <is>
          <t>32285001647394</t>
        </is>
      </c>
      <c r="BD408" t="inlineStr">
        <is>
          <t>893316663</t>
        </is>
      </c>
    </row>
    <row r="409">
      <c r="A409" t="inlineStr">
        <is>
          <t>No</t>
        </is>
      </c>
      <c r="B409" t="inlineStr">
        <is>
          <t>PE1574 .H6 1965</t>
        </is>
      </c>
      <c r="C409" t="inlineStr">
        <is>
          <t>0                      PE 1574000H  6           1965</t>
        </is>
      </c>
      <c r="D409" t="inlineStr">
        <is>
          <t>The mother tongue / by Lancelot Hogben.</t>
        </is>
      </c>
      <c r="F409" t="inlineStr">
        <is>
          <t>No</t>
        </is>
      </c>
      <c r="G409" t="inlineStr">
        <is>
          <t>1</t>
        </is>
      </c>
      <c r="H409" t="inlineStr">
        <is>
          <t>No</t>
        </is>
      </c>
      <c r="I409" t="inlineStr">
        <is>
          <t>No</t>
        </is>
      </c>
      <c r="J409" t="inlineStr">
        <is>
          <t>0</t>
        </is>
      </c>
      <c r="K409" t="inlineStr">
        <is>
          <t>Hogben, Lancelot Thomas, 1895-1975.</t>
        </is>
      </c>
      <c r="L409" t="inlineStr">
        <is>
          <t>New York : Norton, [1965, c1964]</t>
        </is>
      </c>
      <c r="M409" t="inlineStr">
        <is>
          <t>1965</t>
        </is>
      </c>
      <c r="N409" t="inlineStr">
        <is>
          <t>1st American ed.</t>
        </is>
      </c>
      <c r="O409" t="inlineStr">
        <is>
          <t>eng</t>
        </is>
      </c>
      <c r="P409" t="inlineStr">
        <is>
          <t>nyu</t>
        </is>
      </c>
      <c r="R409" t="inlineStr">
        <is>
          <t xml:space="preserve">PE </t>
        </is>
      </c>
      <c r="S409" t="n">
        <v>1</v>
      </c>
      <c r="T409" t="n">
        <v>1</v>
      </c>
      <c r="U409" t="inlineStr">
        <is>
          <t>2008-03-25</t>
        </is>
      </c>
      <c r="V409" t="inlineStr">
        <is>
          <t>2008-03-25</t>
        </is>
      </c>
      <c r="W409" t="inlineStr">
        <is>
          <t>2008-03-25</t>
        </is>
      </c>
      <c r="X409" t="inlineStr">
        <is>
          <t>2008-03-25</t>
        </is>
      </c>
      <c r="Y409" t="n">
        <v>691</v>
      </c>
      <c r="Z409" t="n">
        <v>667</v>
      </c>
      <c r="AA409" t="n">
        <v>730</v>
      </c>
      <c r="AB409" t="n">
        <v>7</v>
      </c>
      <c r="AC409" t="n">
        <v>7</v>
      </c>
      <c r="AD409" t="n">
        <v>27</v>
      </c>
      <c r="AE409" t="n">
        <v>29</v>
      </c>
      <c r="AF409" t="n">
        <v>12</v>
      </c>
      <c r="AG409" t="n">
        <v>12</v>
      </c>
      <c r="AH409" t="n">
        <v>4</v>
      </c>
      <c r="AI409" t="n">
        <v>5</v>
      </c>
      <c r="AJ409" t="n">
        <v>11</v>
      </c>
      <c r="AK409" t="n">
        <v>12</v>
      </c>
      <c r="AL409" t="n">
        <v>6</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HYPERLINK("https://creighton-primo.hosted.exlibrisgroup.com/primo-explore/search?tab=default_tab&amp;search_scope=EVERYTHING&amp;vid=01CRU&amp;lang=en_US&amp;offset=0&amp;query=any,contains,991005196649702656","Catalog Record")</f>
        <v/>
      </c>
      <c r="AT409">
        <f>HYPERLINK("http://www.worldcat.org/oclc/318180","WorldCat Record")</f>
        <v/>
      </c>
      <c r="AU409" t="inlineStr">
        <is>
          <t>4988977717:eng</t>
        </is>
      </c>
      <c r="AV409" t="inlineStr">
        <is>
          <t>318180</t>
        </is>
      </c>
      <c r="AW409" t="inlineStr">
        <is>
          <t>991005196649702656</t>
        </is>
      </c>
      <c r="AX409" t="inlineStr">
        <is>
          <t>991005196649702656</t>
        </is>
      </c>
      <c r="AY409" t="inlineStr">
        <is>
          <t>2270576670002656</t>
        </is>
      </c>
      <c r="AZ409" t="inlineStr">
        <is>
          <t>BOOK</t>
        </is>
      </c>
      <c r="BC409" t="inlineStr">
        <is>
          <t>32285005397947</t>
        </is>
      </c>
      <c r="BD409" t="inlineStr">
        <is>
          <t>893619622</t>
        </is>
      </c>
    </row>
    <row r="410">
      <c r="A410" t="inlineStr">
        <is>
          <t>No</t>
        </is>
      </c>
      <c r="B410" t="inlineStr">
        <is>
          <t>PE1574 .L43 2005</t>
        </is>
      </c>
      <c r="C410" t="inlineStr">
        <is>
          <t>0                      PE 1574000L  43          2005</t>
        </is>
      </c>
      <c r="D410" t="inlineStr">
        <is>
          <t>Word origins : -- and how we know them : etymology for everyone / Anatoly Liberman.</t>
        </is>
      </c>
      <c r="F410" t="inlineStr">
        <is>
          <t>No</t>
        </is>
      </c>
      <c r="G410" t="inlineStr">
        <is>
          <t>1</t>
        </is>
      </c>
      <c r="H410" t="inlineStr">
        <is>
          <t>No</t>
        </is>
      </c>
      <c r="I410" t="inlineStr">
        <is>
          <t>No</t>
        </is>
      </c>
      <c r="J410" t="inlineStr">
        <is>
          <t>0</t>
        </is>
      </c>
      <c r="K410" t="inlineStr">
        <is>
          <t>Liberman, Anatoly.</t>
        </is>
      </c>
      <c r="L410" t="inlineStr">
        <is>
          <t>Oxford ; New York : Oxford University Press, 2005.</t>
        </is>
      </c>
      <c r="M410" t="inlineStr">
        <is>
          <t>2005</t>
        </is>
      </c>
      <c r="O410" t="inlineStr">
        <is>
          <t>eng</t>
        </is>
      </c>
      <c r="P410" t="inlineStr">
        <is>
          <t>enk</t>
        </is>
      </c>
      <c r="R410" t="inlineStr">
        <is>
          <t xml:space="preserve">PE </t>
        </is>
      </c>
      <c r="S410" t="n">
        <v>3</v>
      </c>
      <c r="T410" t="n">
        <v>3</v>
      </c>
      <c r="U410" t="inlineStr">
        <is>
          <t>2005-05-24</t>
        </is>
      </c>
      <c r="V410" t="inlineStr">
        <is>
          <t>2005-05-24</t>
        </is>
      </c>
      <c r="W410" t="inlineStr">
        <is>
          <t>2005-05-24</t>
        </is>
      </c>
      <c r="X410" t="inlineStr">
        <is>
          <t>2005-05-24</t>
        </is>
      </c>
      <c r="Y410" t="n">
        <v>1148</v>
      </c>
      <c r="Z410" t="n">
        <v>1048</v>
      </c>
      <c r="AA410" t="n">
        <v>1194</v>
      </c>
      <c r="AB410" t="n">
        <v>9</v>
      </c>
      <c r="AC410" t="n">
        <v>11</v>
      </c>
      <c r="AD410" t="n">
        <v>36</v>
      </c>
      <c r="AE410" t="n">
        <v>38</v>
      </c>
      <c r="AF410" t="n">
        <v>16</v>
      </c>
      <c r="AG410" t="n">
        <v>16</v>
      </c>
      <c r="AH410" t="n">
        <v>6</v>
      </c>
      <c r="AI410" t="n">
        <v>7</v>
      </c>
      <c r="AJ410" t="n">
        <v>16</v>
      </c>
      <c r="AK410" t="n">
        <v>17</v>
      </c>
      <c r="AL410" t="n">
        <v>7</v>
      </c>
      <c r="AM410" t="n">
        <v>8</v>
      </c>
      <c r="AN410" t="n">
        <v>0</v>
      </c>
      <c r="AO410" t="n">
        <v>0</v>
      </c>
      <c r="AP410" t="inlineStr">
        <is>
          <t>No</t>
        </is>
      </c>
      <c r="AQ410" t="inlineStr">
        <is>
          <t>Yes</t>
        </is>
      </c>
      <c r="AR410">
        <f>HYPERLINK("http://catalog.hathitrust.org/Record/004954775","HathiTrust Record")</f>
        <v/>
      </c>
      <c r="AS410">
        <f>HYPERLINK("https://creighton-primo.hosted.exlibrisgroup.com/primo-explore/search?tab=default_tab&amp;search_scope=EVERYTHING&amp;vid=01CRU&amp;lang=en_US&amp;offset=0&amp;query=any,contains,991004534429702656","Catalog Record")</f>
        <v/>
      </c>
      <c r="AT410">
        <f>HYPERLINK("http://www.worldcat.org/oclc/56682439","WorldCat Record")</f>
        <v/>
      </c>
      <c r="AU410" t="inlineStr">
        <is>
          <t>796451883:eng</t>
        </is>
      </c>
      <c r="AV410" t="inlineStr">
        <is>
          <t>56682439</t>
        </is>
      </c>
      <c r="AW410" t="inlineStr">
        <is>
          <t>991004534429702656</t>
        </is>
      </c>
      <c r="AX410" t="inlineStr">
        <is>
          <t>991004534429702656</t>
        </is>
      </c>
      <c r="AY410" t="inlineStr">
        <is>
          <t>2270081740002656</t>
        </is>
      </c>
      <c r="AZ410" t="inlineStr">
        <is>
          <t>BOOK</t>
        </is>
      </c>
      <c r="BB410" t="inlineStr">
        <is>
          <t>9780195161472</t>
        </is>
      </c>
      <c r="BC410" t="inlineStr">
        <is>
          <t>32285005090153</t>
        </is>
      </c>
      <c r="BD410" t="inlineStr">
        <is>
          <t>893500705</t>
        </is>
      </c>
    </row>
    <row r="411">
      <c r="A411" t="inlineStr">
        <is>
          <t>No</t>
        </is>
      </c>
      <c r="B411" t="inlineStr">
        <is>
          <t>PE1574 .L46 1986</t>
        </is>
      </c>
      <c r="C411" t="inlineStr">
        <is>
          <t>0                      PE 1574000L  46          1986</t>
        </is>
      </c>
      <c r="D411" t="inlineStr">
        <is>
          <t>Stories behind words : the origins and histories of 285 English words / by Peter R. Limburg.</t>
        </is>
      </c>
      <c r="F411" t="inlineStr">
        <is>
          <t>No</t>
        </is>
      </c>
      <c r="G411" t="inlineStr">
        <is>
          <t>1</t>
        </is>
      </c>
      <c r="H411" t="inlineStr">
        <is>
          <t>No</t>
        </is>
      </c>
      <c r="I411" t="inlineStr">
        <is>
          <t>No</t>
        </is>
      </c>
      <c r="J411" t="inlineStr">
        <is>
          <t>0</t>
        </is>
      </c>
      <c r="K411" t="inlineStr">
        <is>
          <t>Limburg, Peter R.</t>
        </is>
      </c>
      <c r="L411" t="inlineStr">
        <is>
          <t>[Bronx, N.Y.] : H.W. Wilson Co., 1986.</t>
        </is>
      </c>
      <c r="M411" t="inlineStr">
        <is>
          <t>1986</t>
        </is>
      </c>
      <c r="O411" t="inlineStr">
        <is>
          <t>eng</t>
        </is>
      </c>
      <c r="P411" t="inlineStr">
        <is>
          <t>nyu</t>
        </is>
      </c>
      <c r="R411" t="inlineStr">
        <is>
          <t xml:space="preserve">PE </t>
        </is>
      </c>
      <c r="S411" t="n">
        <v>6</v>
      </c>
      <c r="T411" t="n">
        <v>6</v>
      </c>
      <c r="U411" t="inlineStr">
        <is>
          <t>2000-09-27</t>
        </is>
      </c>
      <c r="V411" t="inlineStr">
        <is>
          <t>2000-09-27</t>
        </is>
      </c>
      <c r="W411" t="inlineStr">
        <is>
          <t>1993-04-23</t>
        </is>
      </c>
      <c r="X411" t="inlineStr">
        <is>
          <t>1993-04-23</t>
        </is>
      </c>
      <c r="Y411" t="n">
        <v>730</v>
      </c>
      <c r="Z411" t="n">
        <v>689</v>
      </c>
      <c r="AA411" t="n">
        <v>690</v>
      </c>
      <c r="AB411" t="n">
        <v>6</v>
      </c>
      <c r="AC411" t="n">
        <v>6</v>
      </c>
      <c r="AD411" t="n">
        <v>14</v>
      </c>
      <c r="AE411" t="n">
        <v>14</v>
      </c>
      <c r="AF411" t="n">
        <v>2</v>
      </c>
      <c r="AG411" t="n">
        <v>2</v>
      </c>
      <c r="AH411" t="n">
        <v>4</v>
      </c>
      <c r="AI411" t="n">
        <v>4</v>
      </c>
      <c r="AJ411" t="n">
        <v>8</v>
      </c>
      <c r="AK411" t="n">
        <v>8</v>
      </c>
      <c r="AL411" t="n">
        <v>2</v>
      </c>
      <c r="AM411" t="n">
        <v>2</v>
      </c>
      <c r="AN411" t="n">
        <v>1</v>
      </c>
      <c r="AO411" t="n">
        <v>1</v>
      </c>
      <c r="AP411" t="inlineStr">
        <is>
          <t>No</t>
        </is>
      </c>
      <c r="AQ411" t="inlineStr">
        <is>
          <t>Yes</t>
        </is>
      </c>
      <c r="AR411">
        <f>HYPERLINK("http://catalog.hathitrust.org/Record/008318437","HathiTrust Record")</f>
        <v/>
      </c>
      <c r="AS411">
        <f>HYPERLINK("https://creighton-primo.hosted.exlibrisgroup.com/primo-explore/search?tab=default_tab&amp;search_scope=EVERYTHING&amp;vid=01CRU&amp;lang=en_US&amp;offset=0&amp;query=any,contains,991000739649702656","Catalog Record")</f>
        <v/>
      </c>
      <c r="AT411">
        <f>HYPERLINK("http://www.worldcat.org/oclc/12805419","WorldCat Record")</f>
        <v/>
      </c>
      <c r="AU411" t="inlineStr">
        <is>
          <t>231706431:eng</t>
        </is>
      </c>
      <c r="AV411" t="inlineStr">
        <is>
          <t>12805419</t>
        </is>
      </c>
      <c r="AW411" t="inlineStr">
        <is>
          <t>991000739649702656</t>
        </is>
      </c>
      <c r="AX411" t="inlineStr">
        <is>
          <t>991000739649702656</t>
        </is>
      </c>
      <c r="AY411" t="inlineStr">
        <is>
          <t>2255868470002656</t>
        </is>
      </c>
      <c r="AZ411" t="inlineStr">
        <is>
          <t>BOOK</t>
        </is>
      </c>
      <c r="BB411" t="inlineStr">
        <is>
          <t>9780824207182</t>
        </is>
      </c>
      <c r="BC411" t="inlineStr">
        <is>
          <t>32285001647402</t>
        </is>
      </c>
      <c r="BD411" t="inlineStr">
        <is>
          <t>893790809</t>
        </is>
      </c>
    </row>
    <row r="412">
      <c r="A412" t="inlineStr">
        <is>
          <t>No</t>
        </is>
      </c>
      <c r="B412" t="inlineStr">
        <is>
          <t>PE1574 .M25</t>
        </is>
      </c>
      <c r="C412" t="inlineStr">
        <is>
          <t>0                      PE 1574000M  25</t>
        </is>
      </c>
      <c r="D412" t="inlineStr">
        <is>
          <t>English words and their background, by George H. McKnight.</t>
        </is>
      </c>
      <c r="F412" t="inlineStr">
        <is>
          <t>No</t>
        </is>
      </c>
      <c r="G412" t="inlineStr">
        <is>
          <t>1</t>
        </is>
      </c>
      <c r="H412" t="inlineStr">
        <is>
          <t>No</t>
        </is>
      </c>
      <c r="I412" t="inlineStr">
        <is>
          <t>No</t>
        </is>
      </c>
      <c r="J412" t="inlineStr">
        <is>
          <t>0</t>
        </is>
      </c>
      <c r="K412" t="inlineStr">
        <is>
          <t>McKnight, George Harley, 1871-1951.</t>
        </is>
      </c>
      <c r="L412" t="inlineStr">
        <is>
          <t>New York, D. Appleton, 1923.</t>
        </is>
      </c>
      <c r="M412" t="inlineStr">
        <is>
          <t>1923</t>
        </is>
      </c>
      <c r="O412" t="inlineStr">
        <is>
          <t>eng</t>
        </is>
      </c>
      <c r="P412" t="inlineStr">
        <is>
          <t>nyu</t>
        </is>
      </c>
      <c r="R412" t="inlineStr">
        <is>
          <t xml:space="preserve">PE </t>
        </is>
      </c>
      <c r="S412" t="n">
        <v>1</v>
      </c>
      <c r="T412" t="n">
        <v>1</v>
      </c>
      <c r="U412" t="inlineStr">
        <is>
          <t>2002-10-30</t>
        </is>
      </c>
      <c r="V412" t="inlineStr">
        <is>
          <t>2002-10-30</t>
        </is>
      </c>
      <c r="W412" t="inlineStr">
        <is>
          <t>1997-09-26</t>
        </is>
      </c>
      <c r="X412" t="inlineStr">
        <is>
          <t>1997-09-26</t>
        </is>
      </c>
      <c r="Y412" t="n">
        <v>482</v>
      </c>
      <c r="Z412" t="n">
        <v>430</v>
      </c>
      <c r="AA412" t="n">
        <v>624</v>
      </c>
      <c r="AB412" t="n">
        <v>5</v>
      </c>
      <c r="AC412" t="n">
        <v>7</v>
      </c>
      <c r="AD412" t="n">
        <v>21</v>
      </c>
      <c r="AE412" t="n">
        <v>30</v>
      </c>
      <c r="AF412" t="n">
        <v>7</v>
      </c>
      <c r="AG412" t="n">
        <v>11</v>
      </c>
      <c r="AH412" t="n">
        <v>5</v>
      </c>
      <c r="AI412" t="n">
        <v>7</v>
      </c>
      <c r="AJ412" t="n">
        <v>11</v>
      </c>
      <c r="AK412" t="n">
        <v>14</v>
      </c>
      <c r="AL412" t="n">
        <v>4</v>
      </c>
      <c r="AM412" t="n">
        <v>6</v>
      </c>
      <c r="AN412" t="n">
        <v>0</v>
      </c>
      <c r="AO412" t="n">
        <v>0</v>
      </c>
      <c r="AP412" t="inlineStr">
        <is>
          <t>Yes</t>
        </is>
      </c>
      <c r="AQ412" t="inlineStr">
        <is>
          <t>No</t>
        </is>
      </c>
      <c r="AR412">
        <f>HYPERLINK("http://catalog.hathitrust.org/Record/001441133","HathiTrust Record")</f>
        <v/>
      </c>
      <c r="AS412">
        <f>HYPERLINK("https://creighton-primo.hosted.exlibrisgroup.com/primo-explore/search?tab=default_tab&amp;search_scope=EVERYTHING&amp;vid=01CRU&amp;lang=en_US&amp;offset=0&amp;query=any,contains,991003373889702656","Catalog Record")</f>
        <v/>
      </c>
      <c r="AT412">
        <f>HYPERLINK("http://www.worldcat.org/oclc/910351","WorldCat Record")</f>
        <v/>
      </c>
      <c r="AU412" t="inlineStr">
        <is>
          <t>536173:eng</t>
        </is>
      </c>
      <c r="AV412" t="inlineStr">
        <is>
          <t>910351</t>
        </is>
      </c>
      <c r="AW412" t="inlineStr">
        <is>
          <t>991003373889702656</t>
        </is>
      </c>
      <c r="AX412" t="inlineStr">
        <is>
          <t>991003373889702656</t>
        </is>
      </c>
      <c r="AY412" t="inlineStr">
        <is>
          <t>2265330450002656</t>
        </is>
      </c>
      <c r="AZ412" t="inlineStr">
        <is>
          <t>BOOK</t>
        </is>
      </c>
      <c r="BC412" t="inlineStr">
        <is>
          <t>32285003248456</t>
        </is>
      </c>
      <c r="BD412" t="inlineStr">
        <is>
          <t>893717595</t>
        </is>
      </c>
    </row>
    <row r="413">
      <c r="A413" t="inlineStr">
        <is>
          <t>No</t>
        </is>
      </c>
      <c r="B413" t="inlineStr">
        <is>
          <t>PE1574 .P26 1972</t>
        </is>
      </c>
      <c r="C413" t="inlineStr">
        <is>
          <t>0                      PE 1574000P  26          1972</t>
        </is>
      </c>
      <c r="D413" t="inlineStr">
        <is>
          <t>A charm of words; essays and papers on language.</t>
        </is>
      </c>
      <c r="F413" t="inlineStr">
        <is>
          <t>No</t>
        </is>
      </c>
      <c r="G413" t="inlineStr">
        <is>
          <t>1</t>
        </is>
      </c>
      <c r="H413" t="inlineStr">
        <is>
          <t>No</t>
        </is>
      </c>
      <c r="I413" t="inlineStr">
        <is>
          <t>No</t>
        </is>
      </c>
      <c r="J413" t="inlineStr">
        <is>
          <t>0</t>
        </is>
      </c>
      <c r="K413" t="inlineStr">
        <is>
          <t>Partridge, Eric, 1894-1979.</t>
        </is>
      </c>
      <c r="L413" t="inlineStr">
        <is>
          <t>Freeport, N.Y., Books for Libraries Press [1972, c1960]</t>
        </is>
      </c>
      <c r="M413" t="inlineStr">
        <is>
          <t>1972</t>
        </is>
      </c>
      <c r="O413" t="inlineStr">
        <is>
          <t>eng</t>
        </is>
      </c>
      <c r="P413" t="inlineStr">
        <is>
          <t>nyu</t>
        </is>
      </c>
      <c r="Q413" t="inlineStr">
        <is>
          <t>Essay index reprint series</t>
        </is>
      </c>
      <c r="R413" t="inlineStr">
        <is>
          <t xml:space="preserve">PE </t>
        </is>
      </c>
      <c r="S413" t="n">
        <v>2</v>
      </c>
      <c r="T413" t="n">
        <v>2</v>
      </c>
      <c r="U413" t="inlineStr">
        <is>
          <t>2004-03-05</t>
        </is>
      </c>
      <c r="V413" t="inlineStr">
        <is>
          <t>2004-03-05</t>
        </is>
      </c>
      <c r="W413" t="inlineStr">
        <is>
          <t>1997-09-26</t>
        </is>
      </c>
      <c r="X413" t="inlineStr">
        <is>
          <t>1997-09-26</t>
        </is>
      </c>
      <c r="Y413" t="n">
        <v>108</v>
      </c>
      <c r="Z413" t="n">
        <v>97</v>
      </c>
      <c r="AA413" t="n">
        <v>608</v>
      </c>
      <c r="AB413" t="n">
        <v>2</v>
      </c>
      <c r="AC413" t="n">
        <v>6</v>
      </c>
      <c r="AD413" t="n">
        <v>6</v>
      </c>
      <c r="AE413" t="n">
        <v>32</v>
      </c>
      <c r="AF413" t="n">
        <v>4</v>
      </c>
      <c r="AG413" t="n">
        <v>12</v>
      </c>
      <c r="AH413" t="n">
        <v>1</v>
      </c>
      <c r="AI413" t="n">
        <v>8</v>
      </c>
      <c r="AJ413" t="n">
        <v>1</v>
      </c>
      <c r="AK413" t="n">
        <v>15</v>
      </c>
      <c r="AL413" t="n">
        <v>1</v>
      </c>
      <c r="AM413" t="n">
        <v>5</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HYPERLINK("https://creighton-primo.hosted.exlibrisgroup.com/primo-explore/search?tab=default_tab&amp;search_scope=EVERYTHING&amp;vid=01CRU&amp;lang=en_US&amp;offset=0&amp;query=any,contains,991001356409702656","Catalog Record")</f>
        <v/>
      </c>
      <c r="AT413">
        <f>HYPERLINK("http://www.worldcat.org/oclc/221663","WorldCat Record")</f>
        <v/>
      </c>
      <c r="AU413" t="inlineStr">
        <is>
          <t>1325756:eng</t>
        </is>
      </c>
      <c r="AV413" t="inlineStr">
        <is>
          <t>221663</t>
        </is>
      </c>
      <c r="AW413" t="inlineStr">
        <is>
          <t>991001356409702656</t>
        </is>
      </c>
      <c r="AX413" t="inlineStr">
        <is>
          <t>991001356409702656</t>
        </is>
      </c>
      <c r="AY413" t="inlineStr">
        <is>
          <t>2258445240002656</t>
        </is>
      </c>
      <c r="AZ413" t="inlineStr">
        <is>
          <t>BOOK</t>
        </is>
      </c>
      <c r="BB413" t="inlineStr">
        <is>
          <t>9780836927078</t>
        </is>
      </c>
      <c r="BC413" t="inlineStr">
        <is>
          <t>32285003248472</t>
        </is>
      </c>
      <c r="BD413" t="inlineStr">
        <is>
          <t>893702959</t>
        </is>
      </c>
    </row>
    <row r="414">
      <c r="A414" t="inlineStr">
        <is>
          <t>No</t>
        </is>
      </c>
      <c r="B414" t="inlineStr">
        <is>
          <t>PE1574 .T8 1904</t>
        </is>
      </c>
      <c r="C414" t="inlineStr">
        <is>
          <t>0                      PE 1574000T  8           1904</t>
        </is>
      </c>
      <c r="D414" t="inlineStr">
        <is>
          <t>The study of words, by Richard Chenevix Trench.</t>
        </is>
      </c>
      <c r="F414" t="inlineStr">
        <is>
          <t>No</t>
        </is>
      </c>
      <c r="G414" t="inlineStr">
        <is>
          <t>1</t>
        </is>
      </c>
      <c r="H414" t="inlineStr">
        <is>
          <t>No</t>
        </is>
      </c>
      <c r="I414" t="inlineStr">
        <is>
          <t>No</t>
        </is>
      </c>
      <c r="J414" t="inlineStr">
        <is>
          <t>0</t>
        </is>
      </c>
      <c r="K414" t="inlineStr">
        <is>
          <t>Trench, Richard Chenevix, 1807-1886.</t>
        </is>
      </c>
      <c r="L414" t="inlineStr">
        <is>
          <t>New York, H. W. Bell, 1904.</t>
        </is>
      </c>
      <c r="M414" t="inlineStr">
        <is>
          <t>1904</t>
        </is>
      </c>
      <c r="O414" t="inlineStr">
        <is>
          <t>eng</t>
        </is>
      </c>
      <c r="P414" t="inlineStr">
        <is>
          <t>nyu</t>
        </is>
      </c>
      <c r="Q414" t="inlineStr">
        <is>
          <t>The Unit books, no. 7</t>
        </is>
      </c>
      <c r="R414" t="inlineStr">
        <is>
          <t xml:space="preserve">PE </t>
        </is>
      </c>
      <c r="S414" t="n">
        <v>0</v>
      </c>
      <c r="T414" t="n">
        <v>0</v>
      </c>
      <c r="U414" t="inlineStr">
        <is>
          <t>2002-01-02</t>
        </is>
      </c>
      <c r="V414" t="inlineStr">
        <is>
          <t>2002-01-02</t>
        </is>
      </c>
      <c r="W414" t="inlineStr">
        <is>
          <t>1997-09-26</t>
        </is>
      </c>
      <c r="X414" t="inlineStr">
        <is>
          <t>1997-09-26</t>
        </is>
      </c>
      <c r="Y414" t="n">
        <v>53</v>
      </c>
      <c r="Z414" t="n">
        <v>50</v>
      </c>
      <c r="AA414" t="n">
        <v>461</v>
      </c>
      <c r="AB414" t="n">
        <v>1</v>
      </c>
      <c r="AC414" t="n">
        <v>6</v>
      </c>
      <c r="AD414" t="n">
        <v>1</v>
      </c>
      <c r="AE414" t="n">
        <v>23</v>
      </c>
      <c r="AF414" t="n">
        <v>0</v>
      </c>
      <c r="AG414" t="n">
        <v>7</v>
      </c>
      <c r="AH414" t="n">
        <v>1</v>
      </c>
      <c r="AI414" t="n">
        <v>6</v>
      </c>
      <c r="AJ414" t="n">
        <v>1</v>
      </c>
      <c r="AK414" t="n">
        <v>7</v>
      </c>
      <c r="AL414" t="n">
        <v>0</v>
      </c>
      <c r="AM414" t="n">
        <v>5</v>
      </c>
      <c r="AN414" t="n">
        <v>0</v>
      </c>
      <c r="AO414" t="n">
        <v>1</v>
      </c>
      <c r="AP414" t="inlineStr">
        <is>
          <t>Yes</t>
        </is>
      </c>
      <c r="AQ414" t="inlineStr">
        <is>
          <t>No</t>
        </is>
      </c>
      <c r="AR414">
        <f>HYPERLINK("http://catalog.hathitrust.org/Record/006151785","HathiTrust Record")</f>
        <v/>
      </c>
      <c r="AS414">
        <f>HYPERLINK("https://creighton-primo.hosted.exlibrisgroup.com/primo-explore/search?tab=default_tab&amp;search_scope=EVERYTHING&amp;vid=01CRU&amp;lang=en_US&amp;offset=0&amp;query=any,contains,991002380219702656","Catalog Record")</f>
        <v/>
      </c>
      <c r="AT414">
        <f>HYPERLINK("http://www.worldcat.org/oclc/328126","WorldCat Record")</f>
        <v/>
      </c>
      <c r="AU414" t="inlineStr">
        <is>
          <t>3855525773:eng</t>
        </is>
      </c>
      <c r="AV414" t="inlineStr">
        <is>
          <t>328126</t>
        </is>
      </c>
      <c r="AW414" t="inlineStr">
        <is>
          <t>991002380219702656</t>
        </is>
      </c>
      <c r="AX414" t="inlineStr">
        <is>
          <t>991002380219702656</t>
        </is>
      </c>
      <c r="AY414" t="inlineStr">
        <is>
          <t>2271540530002656</t>
        </is>
      </c>
      <c r="AZ414" t="inlineStr">
        <is>
          <t>BOOK</t>
        </is>
      </c>
      <c r="BC414" t="inlineStr">
        <is>
          <t>32285003248480</t>
        </is>
      </c>
      <c r="BD414" t="inlineStr">
        <is>
          <t>893245101</t>
        </is>
      </c>
    </row>
    <row r="415">
      <c r="A415" t="inlineStr">
        <is>
          <t>No</t>
        </is>
      </c>
      <c r="B415" t="inlineStr">
        <is>
          <t>PE1582.A3 S4</t>
        </is>
      </c>
      <c r="C415" t="inlineStr">
        <is>
          <t>0                      PE 1582000A  3                  S  4</t>
        </is>
      </c>
      <c r="D415" t="inlineStr">
        <is>
          <t>A history of foreign words in English.</t>
        </is>
      </c>
      <c r="F415" t="inlineStr">
        <is>
          <t>No</t>
        </is>
      </c>
      <c r="G415" t="inlineStr">
        <is>
          <t>1</t>
        </is>
      </c>
      <c r="H415" t="inlineStr">
        <is>
          <t>No</t>
        </is>
      </c>
      <c r="I415" t="inlineStr">
        <is>
          <t>No</t>
        </is>
      </c>
      <c r="J415" t="inlineStr">
        <is>
          <t>0</t>
        </is>
      </c>
      <c r="K415" t="inlineStr">
        <is>
          <t>Serjeantson, Mary S., 1896-1974.</t>
        </is>
      </c>
      <c r="L415" t="inlineStr">
        <is>
          <t>London, Routledge &amp; Kegan Paul [1962]</t>
        </is>
      </c>
      <c r="M415" t="inlineStr">
        <is>
          <t>1962</t>
        </is>
      </c>
      <c r="O415" t="inlineStr">
        <is>
          <t>eng</t>
        </is>
      </c>
      <c r="P415" t="inlineStr">
        <is>
          <t>enk</t>
        </is>
      </c>
      <c r="R415" t="inlineStr">
        <is>
          <t xml:space="preserve">PE </t>
        </is>
      </c>
      <c r="S415" t="n">
        <v>1</v>
      </c>
      <c r="T415" t="n">
        <v>1</v>
      </c>
      <c r="U415" t="inlineStr">
        <is>
          <t>2002-10-30</t>
        </is>
      </c>
      <c r="V415" t="inlineStr">
        <is>
          <t>2002-10-30</t>
        </is>
      </c>
      <c r="W415" t="inlineStr">
        <is>
          <t>1997-09-26</t>
        </is>
      </c>
      <c r="X415" t="inlineStr">
        <is>
          <t>1997-09-26</t>
        </is>
      </c>
      <c r="Y415" t="n">
        <v>61</v>
      </c>
      <c r="Z415" t="n">
        <v>44</v>
      </c>
      <c r="AA415" t="n">
        <v>720</v>
      </c>
      <c r="AB415" t="n">
        <v>1</v>
      </c>
      <c r="AC415" t="n">
        <v>6</v>
      </c>
      <c r="AD415" t="n">
        <v>3</v>
      </c>
      <c r="AE415" t="n">
        <v>32</v>
      </c>
      <c r="AF415" t="n">
        <v>0</v>
      </c>
      <c r="AG415" t="n">
        <v>12</v>
      </c>
      <c r="AH415" t="n">
        <v>2</v>
      </c>
      <c r="AI415" t="n">
        <v>5</v>
      </c>
      <c r="AJ415" t="n">
        <v>2</v>
      </c>
      <c r="AK415" t="n">
        <v>17</v>
      </c>
      <c r="AL415" t="n">
        <v>0</v>
      </c>
      <c r="AM415" t="n">
        <v>5</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HYPERLINK("https://creighton-primo.hosted.exlibrisgroup.com/primo-explore/search?tab=default_tab&amp;search_scope=EVERYTHING&amp;vid=01CRU&amp;lang=en_US&amp;offset=0&amp;query=any,contains,991004899589702656","Catalog Record")</f>
        <v/>
      </c>
      <c r="AT415">
        <f>HYPERLINK("http://www.worldcat.org/oclc/5921231","WorldCat Record")</f>
        <v/>
      </c>
      <c r="AU415" t="inlineStr">
        <is>
          <t>1393052:eng</t>
        </is>
      </c>
      <c r="AV415" t="inlineStr">
        <is>
          <t>5921231</t>
        </is>
      </c>
      <c r="AW415" t="inlineStr">
        <is>
          <t>991004899589702656</t>
        </is>
      </c>
      <c r="AX415" t="inlineStr">
        <is>
          <t>991004899589702656</t>
        </is>
      </c>
      <c r="AY415" t="inlineStr">
        <is>
          <t>2263847980002656</t>
        </is>
      </c>
      <c r="AZ415" t="inlineStr">
        <is>
          <t>BOOK</t>
        </is>
      </c>
      <c r="BC415" t="inlineStr">
        <is>
          <t>32285003248530</t>
        </is>
      </c>
      <c r="BD415" t="inlineStr">
        <is>
          <t>893876678</t>
        </is>
      </c>
    </row>
    <row r="416">
      <c r="A416" t="inlineStr">
        <is>
          <t>No</t>
        </is>
      </c>
      <c r="B416" t="inlineStr">
        <is>
          <t>PE1582.G6 B7</t>
        </is>
      </c>
      <c r="C416" t="inlineStr">
        <is>
          <t>0                      PE 1582000G  6                  B  7</t>
        </is>
      </c>
      <c r="D416" t="inlineStr">
        <is>
          <t>The contribution of Greek to English, with special attention to medical and other scientific terms, by Charles Barrett Brown ...</t>
        </is>
      </c>
      <c r="F416" t="inlineStr">
        <is>
          <t>No</t>
        </is>
      </c>
      <c r="G416" t="inlineStr">
        <is>
          <t>1</t>
        </is>
      </c>
      <c r="H416" t="inlineStr">
        <is>
          <t>No</t>
        </is>
      </c>
      <c r="I416" t="inlineStr">
        <is>
          <t>No</t>
        </is>
      </c>
      <c r="J416" t="inlineStr">
        <is>
          <t>0</t>
        </is>
      </c>
      <c r="K416" t="inlineStr">
        <is>
          <t>Brown, Charles Barrett.</t>
        </is>
      </c>
      <c r="L416" t="inlineStr">
        <is>
          <t>Nashville, Tenn., The Vanderbilt University Press [1942]</t>
        </is>
      </c>
      <c r="M416" t="inlineStr">
        <is>
          <t>1942</t>
        </is>
      </c>
      <c r="O416" t="inlineStr">
        <is>
          <t>eng</t>
        </is>
      </c>
      <c r="P416" t="inlineStr">
        <is>
          <t>tnu</t>
        </is>
      </c>
      <c r="R416" t="inlineStr">
        <is>
          <t xml:space="preserve">PE </t>
        </is>
      </c>
      <c r="S416" t="n">
        <v>2</v>
      </c>
      <c r="T416" t="n">
        <v>2</v>
      </c>
      <c r="U416" t="inlineStr">
        <is>
          <t>2009-09-23</t>
        </is>
      </c>
      <c r="V416" t="inlineStr">
        <is>
          <t>2009-09-23</t>
        </is>
      </c>
      <c r="W416" t="inlineStr">
        <is>
          <t>1997-09-26</t>
        </is>
      </c>
      <c r="X416" t="inlineStr">
        <is>
          <t>1997-09-26</t>
        </is>
      </c>
      <c r="Y416" t="n">
        <v>218</v>
      </c>
      <c r="Z416" t="n">
        <v>207</v>
      </c>
      <c r="AA416" t="n">
        <v>210</v>
      </c>
      <c r="AB416" t="n">
        <v>3</v>
      </c>
      <c r="AC416" t="n">
        <v>3</v>
      </c>
      <c r="AD416" t="n">
        <v>10</v>
      </c>
      <c r="AE416" t="n">
        <v>10</v>
      </c>
      <c r="AF416" t="n">
        <v>1</v>
      </c>
      <c r="AG416" t="n">
        <v>1</v>
      </c>
      <c r="AH416" t="n">
        <v>1</v>
      </c>
      <c r="AI416" t="n">
        <v>1</v>
      </c>
      <c r="AJ416" t="n">
        <v>6</v>
      </c>
      <c r="AK416" t="n">
        <v>6</v>
      </c>
      <c r="AL416" t="n">
        <v>2</v>
      </c>
      <c r="AM416" t="n">
        <v>2</v>
      </c>
      <c r="AN416" t="n">
        <v>0</v>
      </c>
      <c r="AO416" t="n">
        <v>0</v>
      </c>
      <c r="AP416" t="inlineStr">
        <is>
          <t>No</t>
        </is>
      </c>
      <c r="AQ416" t="inlineStr">
        <is>
          <t>Yes</t>
        </is>
      </c>
      <c r="AR416">
        <f>HYPERLINK("http://catalog.hathitrust.org/Record/001183230","HathiTrust Record")</f>
        <v/>
      </c>
      <c r="AS416">
        <f>HYPERLINK("https://creighton-primo.hosted.exlibrisgroup.com/primo-explore/search?tab=default_tab&amp;search_scope=EVERYTHING&amp;vid=01CRU&amp;lang=en_US&amp;offset=0&amp;query=any,contains,991003875919702656","Catalog Record")</f>
        <v/>
      </c>
      <c r="AT416">
        <f>HYPERLINK("http://www.worldcat.org/oclc/1706140","WorldCat Record")</f>
        <v/>
      </c>
      <c r="AU416" t="inlineStr">
        <is>
          <t>2543685:eng</t>
        </is>
      </c>
      <c r="AV416" t="inlineStr">
        <is>
          <t>1706140</t>
        </is>
      </c>
      <c r="AW416" t="inlineStr">
        <is>
          <t>991003875919702656</t>
        </is>
      </c>
      <c r="AX416" t="inlineStr">
        <is>
          <t>991003875919702656</t>
        </is>
      </c>
      <c r="AY416" t="inlineStr">
        <is>
          <t>2266876800002656</t>
        </is>
      </c>
      <c r="AZ416" t="inlineStr">
        <is>
          <t>BOOK</t>
        </is>
      </c>
      <c r="BC416" t="inlineStr">
        <is>
          <t>32285003248548</t>
        </is>
      </c>
      <c r="BD416" t="inlineStr">
        <is>
          <t>893246842</t>
        </is>
      </c>
    </row>
    <row r="417">
      <c r="A417" t="inlineStr">
        <is>
          <t>No</t>
        </is>
      </c>
      <c r="B417" t="inlineStr">
        <is>
          <t>PE1582.G7 G56 1987</t>
        </is>
      </c>
      <c r="C417" t="inlineStr">
        <is>
          <t>0                      PE 1582000G  7                  G  56          1987</t>
        </is>
      </c>
      <c r="D417" t="inlineStr">
        <is>
          <t>Greek in English / Lawrence Giangrande.</t>
        </is>
      </c>
      <c r="F417" t="inlineStr">
        <is>
          <t>No</t>
        </is>
      </c>
      <c r="G417" t="inlineStr">
        <is>
          <t>1</t>
        </is>
      </c>
      <c r="H417" t="inlineStr">
        <is>
          <t>No</t>
        </is>
      </c>
      <c r="I417" t="inlineStr">
        <is>
          <t>No</t>
        </is>
      </c>
      <c r="J417" t="inlineStr">
        <is>
          <t>0</t>
        </is>
      </c>
      <c r="K417" t="inlineStr">
        <is>
          <t>Giangrande, Lawrence.</t>
        </is>
      </c>
      <c r="L417" t="inlineStr">
        <is>
          <t>North York, Ontario : University Press of Canada, c1987.</t>
        </is>
      </c>
      <c r="M417" t="inlineStr">
        <is>
          <t>1987</t>
        </is>
      </c>
      <c r="O417" t="inlineStr">
        <is>
          <t>eng</t>
        </is>
      </c>
      <c r="P417" t="inlineStr">
        <is>
          <t>onc</t>
        </is>
      </c>
      <c r="R417" t="inlineStr">
        <is>
          <t xml:space="preserve">PE </t>
        </is>
      </c>
      <c r="S417" t="n">
        <v>1</v>
      </c>
      <c r="T417" t="n">
        <v>1</v>
      </c>
      <c r="U417" t="inlineStr">
        <is>
          <t>1996-04-28</t>
        </is>
      </c>
      <c r="V417" t="inlineStr">
        <is>
          <t>1996-04-28</t>
        </is>
      </c>
      <c r="W417" t="inlineStr">
        <is>
          <t>1993-04-23</t>
        </is>
      </c>
      <c r="X417" t="inlineStr">
        <is>
          <t>1993-04-23</t>
        </is>
      </c>
      <c r="Y417" t="n">
        <v>62</v>
      </c>
      <c r="Z417" t="n">
        <v>39</v>
      </c>
      <c r="AA417" t="n">
        <v>40</v>
      </c>
      <c r="AB417" t="n">
        <v>1</v>
      </c>
      <c r="AC417" t="n">
        <v>1</v>
      </c>
      <c r="AD417" t="n">
        <v>3</v>
      </c>
      <c r="AE417" t="n">
        <v>3</v>
      </c>
      <c r="AF417" t="n">
        <v>2</v>
      </c>
      <c r="AG417" t="n">
        <v>2</v>
      </c>
      <c r="AH417" t="n">
        <v>1</v>
      </c>
      <c r="AI417" t="n">
        <v>1</v>
      </c>
      <c r="AJ417" t="n">
        <v>2</v>
      </c>
      <c r="AK417" t="n">
        <v>2</v>
      </c>
      <c r="AL417" t="n">
        <v>0</v>
      </c>
      <c r="AM417" t="n">
        <v>0</v>
      </c>
      <c r="AN417" t="n">
        <v>0</v>
      </c>
      <c r="AO417" t="n">
        <v>0</v>
      </c>
      <c r="AP417" t="inlineStr">
        <is>
          <t>No</t>
        </is>
      </c>
      <c r="AQ417" t="inlineStr">
        <is>
          <t>Yes</t>
        </is>
      </c>
      <c r="AR417">
        <f>HYPERLINK("http://catalog.hathitrust.org/Record/007107850","HathiTrust Record")</f>
        <v/>
      </c>
      <c r="AS417">
        <f>HYPERLINK("https://creighton-primo.hosted.exlibrisgroup.com/primo-explore/search?tab=default_tab&amp;search_scope=EVERYTHING&amp;vid=01CRU&amp;lang=en_US&amp;offset=0&amp;query=any,contains,991001190629702656","Catalog Record")</f>
        <v/>
      </c>
      <c r="AT417">
        <f>HYPERLINK("http://www.worldcat.org/oclc/18382738","WorldCat Record")</f>
        <v/>
      </c>
      <c r="AU417" t="inlineStr">
        <is>
          <t>17820014:eng</t>
        </is>
      </c>
      <c r="AV417" t="inlineStr">
        <is>
          <t>18382738</t>
        </is>
      </c>
      <c r="AW417" t="inlineStr">
        <is>
          <t>991001190629702656</t>
        </is>
      </c>
      <c r="AX417" t="inlineStr">
        <is>
          <t>991001190629702656</t>
        </is>
      </c>
      <c r="AY417" t="inlineStr">
        <is>
          <t>2263197220002656</t>
        </is>
      </c>
      <c r="AZ417" t="inlineStr">
        <is>
          <t>BOOK</t>
        </is>
      </c>
      <c r="BB417" t="inlineStr">
        <is>
          <t>9780921801061</t>
        </is>
      </c>
      <c r="BC417" t="inlineStr">
        <is>
          <t>32285001647428</t>
        </is>
      </c>
      <c r="BD417" t="inlineStr">
        <is>
          <t>893243927</t>
        </is>
      </c>
    </row>
    <row r="418">
      <c r="A418" t="inlineStr">
        <is>
          <t>No</t>
        </is>
      </c>
      <c r="B418" t="inlineStr">
        <is>
          <t>PE1582.I55 O69 2000</t>
        </is>
      </c>
      <c r="C418" t="inlineStr">
        <is>
          <t>0                      PE 1582000I  55                 O  69          2000</t>
        </is>
      </c>
      <c r="D418" t="inlineStr">
        <is>
          <t>A dictionary of Anglo-Irish : words and phrases from Gaelic in the English of Ireland / Diarmaid Ó Muirithe.</t>
        </is>
      </c>
      <c r="F418" t="inlineStr">
        <is>
          <t>No</t>
        </is>
      </c>
      <c r="G418" t="inlineStr">
        <is>
          <t>1</t>
        </is>
      </c>
      <c r="H418" t="inlineStr">
        <is>
          <t>No</t>
        </is>
      </c>
      <c r="I418" t="inlineStr">
        <is>
          <t>No</t>
        </is>
      </c>
      <c r="J418" t="inlineStr">
        <is>
          <t>0</t>
        </is>
      </c>
      <c r="K418" t="inlineStr">
        <is>
          <t>Ó Muirithe, Diarmaid.</t>
        </is>
      </c>
      <c r="L418" t="inlineStr">
        <is>
          <t>Dublin : Four Courts, 2000.</t>
        </is>
      </c>
      <c r="M418" t="inlineStr">
        <is>
          <t>2000</t>
        </is>
      </c>
      <c r="O418" t="inlineStr">
        <is>
          <t>eng</t>
        </is>
      </c>
      <c r="P418" t="inlineStr">
        <is>
          <t xml:space="preserve">ie </t>
        </is>
      </c>
      <c r="R418" t="inlineStr">
        <is>
          <t xml:space="preserve">PE </t>
        </is>
      </c>
      <c r="S418" t="n">
        <v>3</v>
      </c>
      <c r="T418" t="n">
        <v>3</v>
      </c>
      <c r="U418" t="inlineStr">
        <is>
          <t>2002-11-18</t>
        </is>
      </c>
      <c r="V418" t="inlineStr">
        <is>
          <t>2002-11-18</t>
        </is>
      </c>
      <c r="W418" t="inlineStr">
        <is>
          <t>2000-09-19</t>
        </is>
      </c>
      <c r="X418" t="inlineStr">
        <is>
          <t>2000-09-19</t>
        </is>
      </c>
      <c r="Y418" t="n">
        <v>35</v>
      </c>
      <c r="Z418" t="n">
        <v>26</v>
      </c>
      <c r="AA418" t="n">
        <v>169</v>
      </c>
      <c r="AB418" t="n">
        <v>1</v>
      </c>
      <c r="AC418" t="n">
        <v>1</v>
      </c>
      <c r="AD418" t="n">
        <v>0</v>
      </c>
      <c r="AE418" t="n">
        <v>12</v>
      </c>
      <c r="AF418" t="n">
        <v>0</v>
      </c>
      <c r="AG418" t="n">
        <v>3</v>
      </c>
      <c r="AH418" t="n">
        <v>0</v>
      </c>
      <c r="AI418" t="n">
        <v>4</v>
      </c>
      <c r="AJ418" t="n">
        <v>0</v>
      </c>
      <c r="AK418" t="n">
        <v>7</v>
      </c>
      <c r="AL418" t="n">
        <v>0</v>
      </c>
      <c r="AM418" t="n">
        <v>0</v>
      </c>
      <c r="AN418" t="n">
        <v>0</v>
      </c>
      <c r="AO418" t="n">
        <v>1</v>
      </c>
      <c r="AP418" t="inlineStr">
        <is>
          <t>No</t>
        </is>
      </c>
      <c r="AQ418" t="inlineStr">
        <is>
          <t>No</t>
        </is>
      </c>
      <c r="AS418">
        <f>HYPERLINK("https://creighton-primo.hosted.exlibrisgroup.com/primo-explore/search?tab=default_tab&amp;search_scope=EVERYTHING&amp;vid=01CRU&amp;lang=en_US&amp;offset=0&amp;query=any,contains,991003294039702656","Catalog Record")</f>
        <v/>
      </c>
      <c r="AT418">
        <f>HYPERLINK("http://www.worldcat.org/oclc/59384384","WorldCat Record")</f>
        <v/>
      </c>
      <c r="AU418" t="inlineStr">
        <is>
          <t>2067262:eng</t>
        </is>
      </c>
      <c r="AV418" t="inlineStr">
        <is>
          <t>59384384</t>
        </is>
      </c>
      <c r="AW418" t="inlineStr">
        <is>
          <t>991003294039702656</t>
        </is>
      </c>
      <c r="AX418" t="inlineStr">
        <is>
          <t>991003294039702656</t>
        </is>
      </c>
      <c r="AY418" t="inlineStr">
        <is>
          <t>2267190460002656</t>
        </is>
      </c>
      <c r="AZ418" t="inlineStr">
        <is>
          <t>BOOK</t>
        </is>
      </c>
      <c r="BB418" t="inlineStr">
        <is>
          <t>9781851824458</t>
        </is>
      </c>
      <c r="BC418" t="inlineStr">
        <is>
          <t>32285003763058</t>
        </is>
      </c>
      <c r="BD418" t="inlineStr">
        <is>
          <t>893881020</t>
        </is>
      </c>
    </row>
    <row r="419">
      <c r="A419" t="inlineStr">
        <is>
          <t>No</t>
        </is>
      </c>
      <c r="B419" t="inlineStr">
        <is>
          <t>PE1585 .A37 1991</t>
        </is>
      </c>
      <c r="C419" t="inlineStr">
        <is>
          <t>0                      PE 1585000A  37          1991</t>
        </is>
      </c>
      <c r="D419" t="inlineStr">
        <is>
          <t>Euphemism &amp; dysphemism : language used as shield and weapon / Keith Allan, Kate Burridge.</t>
        </is>
      </c>
      <c r="F419" t="inlineStr">
        <is>
          <t>No</t>
        </is>
      </c>
      <c r="G419" t="inlineStr">
        <is>
          <t>1</t>
        </is>
      </c>
      <c r="H419" t="inlineStr">
        <is>
          <t>No</t>
        </is>
      </c>
      <c r="I419" t="inlineStr">
        <is>
          <t>No</t>
        </is>
      </c>
      <c r="J419" t="inlineStr">
        <is>
          <t>0</t>
        </is>
      </c>
      <c r="K419" t="inlineStr">
        <is>
          <t>Allan, Keith, 1943-</t>
        </is>
      </c>
      <c r="L419" t="inlineStr">
        <is>
          <t>New York : Oxford University Press, 1991.</t>
        </is>
      </c>
      <c r="M419" t="inlineStr">
        <is>
          <t>1991</t>
        </is>
      </c>
      <c r="O419" t="inlineStr">
        <is>
          <t>eng</t>
        </is>
      </c>
      <c r="P419" t="inlineStr">
        <is>
          <t>nyu</t>
        </is>
      </c>
      <c r="R419" t="inlineStr">
        <is>
          <t xml:space="preserve">PE </t>
        </is>
      </c>
      <c r="S419" t="n">
        <v>7</v>
      </c>
      <c r="T419" t="n">
        <v>7</v>
      </c>
      <c r="U419" t="inlineStr">
        <is>
          <t>2000-02-21</t>
        </is>
      </c>
      <c r="V419" t="inlineStr">
        <is>
          <t>2000-02-21</t>
        </is>
      </c>
      <c r="W419" t="inlineStr">
        <is>
          <t>1993-12-16</t>
        </is>
      </c>
      <c r="X419" t="inlineStr">
        <is>
          <t>1993-12-16</t>
        </is>
      </c>
      <c r="Y419" t="n">
        <v>792</v>
      </c>
      <c r="Z419" t="n">
        <v>622</v>
      </c>
      <c r="AA419" t="n">
        <v>629</v>
      </c>
      <c r="AB419" t="n">
        <v>6</v>
      </c>
      <c r="AC419" t="n">
        <v>6</v>
      </c>
      <c r="AD419" t="n">
        <v>31</v>
      </c>
      <c r="AE419" t="n">
        <v>31</v>
      </c>
      <c r="AF419" t="n">
        <v>10</v>
      </c>
      <c r="AG419" t="n">
        <v>10</v>
      </c>
      <c r="AH419" t="n">
        <v>8</v>
      </c>
      <c r="AI419" t="n">
        <v>8</v>
      </c>
      <c r="AJ419" t="n">
        <v>14</v>
      </c>
      <c r="AK419" t="n">
        <v>14</v>
      </c>
      <c r="AL419" t="n">
        <v>5</v>
      </c>
      <c r="AM419" t="n">
        <v>5</v>
      </c>
      <c r="AN419" t="n">
        <v>2</v>
      </c>
      <c r="AO419" t="n">
        <v>2</v>
      </c>
      <c r="AP419" t="inlineStr">
        <is>
          <t>No</t>
        </is>
      </c>
      <c r="AQ419" t="inlineStr">
        <is>
          <t>Yes</t>
        </is>
      </c>
      <c r="AR419">
        <f>HYPERLINK("http://catalog.hathitrust.org/Record/002466491","HathiTrust Record")</f>
        <v/>
      </c>
      <c r="AS419">
        <f>HYPERLINK("https://creighton-primo.hosted.exlibrisgroup.com/primo-explore/search?tab=default_tab&amp;search_scope=EVERYTHING&amp;vid=01CRU&amp;lang=en_US&amp;offset=0&amp;query=any,contains,991001790059702656","Catalog Record")</f>
        <v/>
      </c>
      <c r="AT419">
        <f>HYPERLINK("http://www.worldcat.org/oclc/22542447","WorldCat Record")</f>
        <v/>
      </c>
      <c r="AU419" t="inlineStr">
        <is>
          <t>836735984:eng</t>
        </is>
      </c>
      <c r="AV419" t="inlineStr">
        <is>
          <t>22542447</t>
        </is>
      </c>
      <c r="AW419" t="inlineStr">
        <is>
          <t>991001790059702656</t>
        </is>
      </c>
      <c r="AX419" t="inlineStr">
        <is>
          <t>991001790059702656</t>
        </is>
      </c>
      <c r="AY419" t="inlineStr">
        <is>
          <t>2266515140002656</t>
        </is>
      </c>
      <c r="AZ419" t="inlineStr">
        <is>
          <t>BOOK</t>
        </is>
      </c>
      <c r="BB419" t="inlineStr">
        <is>
          <t>9780195066227</t>
        </is>
      </c>
      <c r="BC419" t="inlineStr">
        <is>
          <t>32285001816643</t>
        </is>
      </c>
      <c r="BD419" t="inlineStr">
        <is>
          <t>893226131</t>
        </is>
      </c>
    </row>
    <row r="420">
      <c r="A420" t="inlineStr">
        <is>
          <t>No</t>
        </is>
      </c>
      <c r="B420" t="inlineStr">
        <is>
          <t>PE1585 .E85 1980</t>
        </is>
      </c>
      <c r="C420" t="inlineStr">
        <is>
          <t>0                      PE 1585000E  85          1980</t>
        </is>
      </c>
      <c r="D420" t="inlineStr">
        <is>
          <t>Say it my way : how to avoid certain pitfalls of spoken English together with a decidedly informal history of how our language rose (or fell) / by Willard R. Espy.</t>
        </is>
      </c>
      <c r="F420" t="inlineStr">
        <is>
          <t>No</t>
        </is>
      </c>
      <c r="G420" t="inlineStr">
        <is>
          <t>1</t>
        </is>
      </c>
      <c r="H420" t="inlineStr">
        <is>
          <t>No</t>
        </is>
      </c>
      <c r="I420" t="inlineStr">
        <is>
          <t>No</t>
        </is>
      </c>
      <c r="J420" t="inlineStr">
        <is>
          <t>0</t>
        </is>
      </c>
      <c r="K420" t="inlineStr">
        <is>
          <t>Espy, Willard R.</t>
        </is>
      </c>
      <c r="L420" t="inlineStr">
        <is>
          <t>Garden City, N.Y. : Doubleday, 1980.</t>
        </is>
      </c>
      <c r="M420" t="inlineStr">
        <is>
          <t>1980</t>
        </is>
      </c>
      <c r="N420" t="inlineStr">
        <is>
          <t>1st ed.</t>
        </is>
      </c>
      <c r="O420" t="inlineStr">
        <is>
          <t>eng</t>
        </is>
      </c>
      <c r="P420" t="inlineStr">
        <is>
          <t>nyu</t>
        </is>
      </c>
      <c r="R420" t="inlineStr">
        <is>
          <t xml:space="preserve">PE </t>
        </is>
      </c>
      <c r="S420" t="n">
        <v>1</v>
      </c>
      <c r="T420" t="n">
        <v>1</v>
      </c>
      <c r="U420" t="inlineStr">
        <is>
          <t>1992-04-16</t>
        </is>
      </c>
      <c r="V420" t="inlineStr">
        <is>
          <t>1992-04-16</t>
        </is>
      </c>
      <c r="W420" t="inlineStr">
        <is>
          <t>1990-06-26</t>
        </is>
      </c>
      <c r="X420" t="inlineStr">
        <is>
          <t>1990-06-26</t>
        </is>
      </c>
      <c r="Y420" t="n">
        <v>564</v>
      </c>
      <c r="Z420" t="n">
        <v>539</v>
      </c>
      <c r="AA420" t="n">
        <v>610</v>
      </c>
      <c r="AB420" t="n">
        <v>2</v>
      </c>
      <c r="AC420" t="n">
        <v>4</v>
      </c>
      <c r="AD420" t="n">
        <v>17</v>
      </c>
      <c r="AE420" t="n">
        <v>19</v>
      </c>
      <c r="AF420" t="n">
        <v>5</v>
      </c>
      <c r="AG420" t="n">
        <v>5</v>
      </c>
      <c r="AH420" t="n">
        <v>3</v>
      </c>
      <c r="AI420" t="n">
        <v>3</v>
      </c>
      <c r="AJ420" t="n">
        <v>7</v>
      </c>
      <c r="AK420" t="n">
        <v>7</v>
      </c>
      <c r="AL420" t="n">
        <v>1</v>
      </c>
      <c r="AM420" t="n">
        <v>3</v>
      </c>
      <c r="AN420" t="n">
        <v>4</v>
      </c>
      <c r="AO420" t="n">
        <v>4</v>
      </c>
      <c r="AP420" t="inlineStr">
        <is>
          <t>No</t>
        </is>
      </c>
      <c r="AQ420" t="inlineStr">
        <is>
          <t>Yes</t>
        </is>
      </c>
      <c r="AR420">
        <f>HYPERLINK("http://catalog.hathitrust.org/Record/000035022","HathiTrust Record")</f>
        <v/>
      </c>
      <c r="AS420">
        <f>HYPERLINK("https://creighton-primo.hosted.exlibrisgroup.com/primo-explore/search?tab=default_tab&amp;search_scope=EVERYTHING&amp;vid=01CRU&amp;lang=en_US&amp;offset=0&amp;query=any,contains,991004855579702656","Catalog Record")</f>
        <v/>
      </c>
      <c r="AT420">
        <f>HYPERLINK("http://www.worldcat.org/oclc/5674150","WorldCat Record")</f>
        <v/>
      </c>
      <c r="AU420" t="inlineStr">
        <is>
          <t>18842400:eng</t>
        </is>
      </c>
      <c r="AV420" t="inlineStr">
        <is>
          <t>5674150</t>
        </is>
      </c>
      <c r="AW420" t="inlineStr">
        <is>
          <t>991004855579702656</t>
        </is>
      </c>
      <c r="AX420" t="inlineStr">
        <is>
          <t>991004855579702656</t>
        </is>
      </c>
      <c r="AY420" t="inlineStr">
        <is>
          <t>2256324570002656</t>
        </is>
      </c>
      <c r="AZ420" t="inlineStr">
        <is>
          <t>BOOK</t>
        </is>
      </c>
      <c r="BB420" t="inlineStr">
        <is>
          <t>9780385131018</t>
        </is>
      </c>
      <c r="BC420" t="inlineStr">
        <is>
          <t>32285000212216</t>
        </is>
      </c>
      <c r="BD420" t="inlineStr">
        <is>
          <t>893895569</t>
        </is>
      </c>
    </row>
    <row r="421">
      <c r="A421" t="inlineStr">
        <is>
          <t>No</t>
        </is>
      </c>
      <c r="B421" t="inlineStr">
        <is>
          <t>PE1585 .H35 1941</t>
        </is>
      </c>
      <c r="C421" t="inlineStr">
        <is>
          <t>0                      PE 1585000H  35          1941</t>
        </is>
      </c>
      <c r="D421" t="inlineStr">
        <is>
          <t>Language in action : a guide to accurate thinking, reading and writing / [by] S.I. Hayakawa.</t>
        </is>
      </c>
      <c r="F421" t="inlineStr">
        <is>
          <t>No</t>
        </is>
      </c>
      <c r="G421" t="inlineStr">
        <is>
          <t>1</t>
        </is>
      </c>
      <c r="H421" t="inlineStr">
        <is>
          <t>No</t>
        </is>
      </c>
      <c r="I421" t="inlineStr">
        <is>
          <t>No</t>
        </is>
      </c>
      <c r="J421" t="inlineStr">
        <is>
          <t>0</t>
        </is>
      </c>
      <c r="K421" t="inlineStr">
        <is>
          <t>Hayakawa, S. I. (Samuel Ichiyé), 1906-1992.</t>
        </is>
      </c>
      <c r="L421" t="inlineStr">
        <is>
          <t>New York : Harcourt, Brace and Company, 1941.</t>
        </is>
      </c>
      <c r="M421" t="inlineStr">
        <is>
          <t>1941</t>
        </is>
      </c>
      <c r="O421" t="inlineStr">
        <is>
          <t>eng</t>
        </is>
      </c>
      <c r="P421" t="inlineStr">
        <is>
          <t>nyu</t>
        </is>
      </c>
      <c r="R421" t="inlineStr">
        <is>
          <t xml:space="preserve">PE </t>
        </is>
      </c>
      <c r="S421" t="n">
        <v>2</v>
      </c>
      <c r="T421" t="n">
        <v>2</v>
      </c>
      <c r="U421" t="inlineStr">
        <is>
          <t>1998-02-24</t>
        </is>
      </c>
      <c r="V421" t="inlineStr">
        <is>
          <t>1998-02-24</t>
        </is>
      </c>
      <c r="W421" t="inlineStr">
        <is>
          <t>1992-05-19</t>
        </is>
      </c>
      <c r="X421" t="inlineStr">
        <is>
          <t>1992-05-19</t>
        </is>
      </c>
      <c r="Y421" t="n">
        <v>300</v>
      </c>
      <c r="Z421" t="n">
        <v>277</v>
      </c>
      <c r="AA421" t="n">
        <v>296</v>
      </c>
      <c r="AB421" t="n">
        <v>4</v>
      </c>
      <c r="AC421" t="n">
        <v>4</v>
      </c>
      <c r="AD421" t="n">
        <v>7</v>
      </c>
      <c r="AE421" t="n">
        <v>7</v>
      </c>
      <c r="AF421" t="n">
        <v>2</v>
      </c>
      <c r="AG421" t="n">
        <v>2</v>
      </c>
      <c r="AH421" t="n">
        <v>1</v>
      </c>
      <c r="AI421" t="n">
        <v>1</v>
      </c>
      <c r="AJ421" t="n">
        <v>4</v>
      </c>
      <c r="AK421" t="n">
        <v>4</v>
      </c>
      <c r="AL421" t="n">
        <v>2</v>
      </c>
      <c r="AM421" t="n">
        <v>2</v>
      </c>
      <c r="AN421" t="n">
        <v>0</v>
      </c>
      <c r="AO421" t="n">
        <v>0</v>
      </c>
      <c r="AP421" t="inlineStr">
        <is>
          <t>No</t>
        </is>
      </c>
      <c r="AQ421" t="inlineStr">
        <is>
          <t>Yes</t>
        </is>
      </c>
      <c r="AR421">
        <f>HYPERLINK("http://catalog.hathitrust.org/Record/001440924","HathiTrust Record")</f>
        <v/>
      </c>
      <c r="AS421">
        <f>HYPERLINK("https://creighton-primo.hosted.exlibrisgroup.com/primo-explore/search?tab=default_tab&amp;search_scope=EVERYTHING&amp;vid=01CRU&amp;lang=en_US&amp;offset=0&amp;query=any,contains,991003841579702656","Catalog Record")</f>
        <v/>
      </c>
      <c r="AT421">
        <f>HYPERLINK("http://www.worldcat.org/oclc/1618880","WorldCat Record")</f>
        <v/>
      </c>
      <c r="AU421" t="inlineStr">
        <is>
          <t>5574273815:eng</t>
        </is>
      </c>
      <c r="AV421" t="inlineStr">
        <is>
          <t>1618880</t>
        </is>
      </c>
      <c r="AW421" t="inlineStr">
        <is>
          <t>991003841579702656</t>
        </is>
      </c>
      <c r="AX421" t="inlineStr">
        <is>
          <t>991003841579702656</t>
        </is>
      </c>
      <c r="AY421" t="inlineStr">
        <is>
          <t>2264222110002656</t>
        </is>
      </c>
      <c r="AZ421" t="inlineStr">
        <is>
          <t>BOOK</t>
        </is>
      </c>
      <c r="BC421" t="inlineStr">
        <is>
          <t>32285001111607</t>
        </is>
      </c>
      <c r="BD421" t="inlineStr">
        <is>
          <t>893349210</t>
        </is>
      </c>
    </row>
    <row r="422">
      <c r="A422" t="inlineStr">
        <is>
          <t>No</t>
        </is>
      </c>
      <c r="B422" t="inlineStr">
        <is>
          <t>PE1585 .L4 1967</t>
        </is>
      </c>
      <c r="C422" t="inlineStr">
        <is>
          <t>0                      PE 1585000L  4           1967</t>
        </is>
      </c>
      <c r="D422" t="inlineStr">
        <is>
          <t>Studies in words, by C. S. Lewis.</t>
        </is>
      </c>
      <c r="F422" t="inlineStr">
        <is>
          <t>No</t>
        </is>
      </c>
      <c r="G422" t="inlineStr">
        <is>
          <t>1</t>
        </is>
      </c>
      <c r="H422" t="inlineStr">
        <is>
          <t>No</t>
        </is>
      </c>
      <c r="I422" t="inlineStr">
        <is>
          <t>Yes</t>
        </is>
      </c>
      <c r="J422" t="inlineStr">
        <is>
          <t>0</t>
        </is>
      </c>
      <c r="K422" t="inlineStr">
        <is>
          <t>Lewis, C. S. (Clive Staples), 1898-1963.</t>
        </is>
      </c>
      <c r="L422" t="inlineStr">
        <is>
          <t>Cambridge, London, Cambridge U.P., 1967.</t>
        </is>
      </c>
      <c r="M422" t="inlineStr">
        <is>
          <t>1967</t>
        </is>
      </c>
      <c r="N422" t="inlineStr">
        <is>
          <t>2nd ed.</t>
        </is>
      </c>
      <c r="O422" t="inlineStr">
        <is>
          <t>eng</t>
        </is>
      </c>
      <c r="P422" t="inlineStr">
        <is>
          <t>mau</t>
        </is>
      </c>
      <c r="R422" t="inlineStr">
        <is>
          <t xml:space="preserve">PE </t>
        </is>
      </c>
      <c r="S422" t="n">
        <v>1</v>
      </c>
      <c r="T422" t="n">
        <v>1</v>
      </c>
      <c r="U422" t="inlineStr">
        <is>
          <t>1997-10-31</t>
        </is>
      </c>
      <c r="V422" t="inlineStr">
        <is>
          <t>1997-10-31</t>
        </is>
      </c>
      <c r="W422" t="inlineStr">
        <is>
          <t>1997-09-26</t>
        </is>
      </c>
      <c r="X422" t="inlineStr">
        <is>
          <t>1997-09-26</t>
        </is>
      </c>
      <c r="Y422" t="n">
        <v>974</v>
      </c>
      <c r="Z422" t="n">
        <v>776</v>
      </c>
      <c r="AA422" t="n">
        <v>1428</v>
      </c>
      <c r="AB422" t="n">
        <v>8</v>
      </c>
      <c r="AC422" t="n">
        <v>15</v>
      </c>
      <c r="AD422" t="n">
        <v>32</v>
      </c>
      <c r="AE422" t="n">
        <v>59</v>
      </c>
      <c r="AF422" t="n">
        <v>10</v>
      </c>
      <c r="AG422" t="n">
        <v>22</v>
      </c>
      <c r="AH422" t="n">
        <v>9</v>
      </c>
      <c r="AI422" t="n">
        <v>10</v>
      </c>
      <c r="AJ422" t="n">
        <v>14</v>
      </c>
      <c r="AK422" t="n">
        <v>26</v>
      </c>
      <c r="AL422" t="n">
        <v>6</v>
      </c>
      <c r="AM422" t="n">
        <v>12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HYPERLINK("https://creighton-primo.hosted.exlibrisgroup.com/primo-explore/search?tab=default_tab&amp;search_scope=EVERYTHING&amp;vid=01CRU&amp;lang=en_US&amp;offset=0&amp;query=any,contains,991002306609702656","Catalog Record")</f>
        <v/>
      </c>
      <c r="AT422">
        <f>HYPERLINK("http://www.worldcat.org/oclc/318606","WorldCat Record")</f>
        <v/>
      </c>
      <c r="AU422" t="inlineStr">
        <is>
          <t>1393120:eng</t>
        </is>
      </c>
      <c r="AV422" t="inlineStr">
        <is>
          <t>318606</t>
        </is>
      </c>
      <c r="AW422" t="inlineStr">
        <is>
          <t>991002306609702656</t>
        </is>
      </c>
      <c r="AX422" t="inlineStr">
        <is>
          <t>991002306609702656</t>
        </is>
      </c>
      <c r="AY422" t="inlineStr">
        <is>
          <t>2270441470002656</t>
        </is>
      </c>
      <c r="AZ422" t="inlineStr">
        <is>
          <t>BOOK</t>
        </is>
      </c>
      <c r="BC422" t="inlineStr">
        <is>
          <t>32285003248654</t>
        </is>
      </c>
      <c r="BD422" t="inlineStr">
        <is>
          <t>893257122</t>
        </is>
      </c>
    </row>
    <row r="423">
      <c r="A423" t="inlineStr">
        <is>
          <t>No</t>
        </is>
      </c>
      <c r="B423" t="inlineStr">
        <is>
          <t>PE1585 .W26</t>
        </is>
      </c>
      <c r="C423" t="inlineStr">
        <is>
          <t>0                      PE 1585000W  26</t>
        </is>
      </c>
      <c r="D423" t="inlineStr">
        <is>
          <t>On the wisdom of words, by Geoffrey Wagner.</t>
        </is>
      </c>
      <c r="F423" t="inlineStr">
        <is>
          <t>No</t>
        </is>
      </c>
      <c r="G423" t="inlineStr">
        <is>
          <t>1</t>
        </is>
      </c>
      <c r="H423" t="inlineStr">
        <is>
          <t>No</t>
        </is>
      </c>
      <c r="I423" t="inlineStr">
        <is>
          <t>No</t>
        </is>
      </c>
      <c r="J423" t="inlineStr">
        <is>
          <t>0</t>
        </is>
      </c>
      <c r="K423" t="inlineStr">
        <is>
          <t>Wagner, Geoffrey Atheling.</t>
        </is>
      </c>
      <c r="L423" t="inlineStr">
        <is>
          <t>Princeton, N.J., Van Nostrand [1968]</t>
        </is>
      </c>
      <c r="M423" t="inlineStr">
        <is>
          <t>1968</t>
        </is>
      </c>
      <c r="O423" t="inlineStr">
        <is>
          <t>eng</t>
        </is>
      </c>
      <c r="P423" t="inlineStr">
        <is>
          <t>nju</t>
        </is>
      </c>
      <c r="R423" t="inlineStr">
        <is>
          <t xml:space="preserve">PE </t>
        </is>
      </c>
      <c r="S423" t="n">
        <v>1</v>
      </c>
      <c r="T423" t="n">
        <v>1</v>
      </c>
      <c r="U423" t="inlineStr">
        <is>
          <t>1999-11-02</t>
        </is>
      </c>
      <c r="V423" t="inlineStr">
        <is>
          <t>1999-11-02</t>
        </is>
      </c>
      <c r="W423" t="inlineStr">
        <is>
          <t>1997-09-26</t>
        </is>
      </c>
      <c r="X423" t="inlineStr">
        <is>
          <t>1997-09-26</t>
        </is>
      </c>
      <c r="Y423" t="n">
        <v>503</v>
      </c>
      <c r="Z423" t="n">
        <v>464</v>
      </c>
      <c r="AA423" t="n">
        <v>475</v>
      </c>
      <c r="AB423" t="n">
        <v>4</v>
      </c>
      <c r="AC423" t="n">
        <v>4</v>
      </c>
      <c r="AD423" t="n">
        <v>21</v>
      </c>
      <c r="AE423" t="n">
        <v>21</v>
      </c>
      <c r="AF423" t="n">
        <v>5</v>
      </c>
      <c r="AG423" t="n">
        <v>5</v>
      </c>
      <c r="AH423" t="n">
        <v>4</v>
      </c>
      <c r="AI423" t="n">
        <v>4</v>
      </c>
      <c r="AJ423" t="n">
        <v>10</v>
      </c>
      <c r="AK423" t="n">
        <v>10</v>
      </c>
      <c r="AL423" t="n">
        <v>3</v>
      </c>
      <c r="AM423" t="n">
        <v>3</v>
      </c>
      <c r="AN423" t="n">
        <v>0</v>
      </c>
      <c r="AO423" t="n">
        <v>0</v>
      </c>
      <c r="AP423" t="inlineStr">
        <is>
          <t>No</t>
        </is>
      </c>
      <c r="AQ423" t="inlineStr">
        <is>
          <t>Yes</t>
        </is>
      </c>
      <c r="AR423">
        <f>HYPERLINK("http://catalog.hathitrust.org/Record/010075828","HathiTrust Record")</f>
        <v/>
      </c>
      <c r="AS423">
        <f>HYPERLINK("https://creighton-primo.hosted.exlibrisgroup.com/primo-explore/search?tab=default_tab&amp;search_scope=EVERYTHING&amp;vid=01CRU&amp;lang=en_US&amp;offset=0&amp;query=any,contains,991001011679702656","Catalog Record")</f>
        <v/>
      </c>
      <c r="AT423">
        <f>HYPERLINK("http://www.worldcat.org/oclc/173457","WorldCat Record")</f>
        <v/>
      </c>
      <c r="AU423" t="inlineStr">
        <is>
          <t>1303367:eng</t>
        </is>
      </c>
      <c r="AV423" t="inlineStr">
        <is>
          <t>173457</t>
        </is>
      </c>
      <c r="AW423" t="inlineStr">
        <is>
          <t>991001011679702656</t>
        </is>
      </c>
      <c r="AX423" t="inlineStr">
        <is>
          <t>991001011679702656</t>
        </is>
      </c>
      <c r="AY423" t="inlineStr">
        <is>
          <t>2268441660002656</t>
        </is>
      </c>
      <c r="AZ423" t="inlineStr">
        <is>
          <t>BOOK</t>
        </is>
      </c>
      <c r="BC423" t="inlineStr">
        <is>
          <t>32285003248688</t>
        </is>
      </c>
      <c r="BD423" t="inlineStr">
        <is>
          <t>893690240</t>
        </is>
      </c>
    </row>
    <row r="424">
      <c r="A424" t="inlineStr">
        <is>
          <t>No</t>
        </is>
      </c>
      <c r="B424" t="inlineStr">
        <is>
          <t>PE1591 .C7 1927a</t>
        </is>
      </c>
      <c r="C424" t="inlineStr">
        <is>
          <t>0                      PE 1591000C  7           1927a</t>
        </is>
      </c>
      <c r="D424" t="inlineStr">
        <is>
          <t>English synonyms explained, in alphabetical order : with copious illustrations and examples drawn from the best writers / to which is now added an index to the words, by George Crabb.</t>
        </is>
      </c>
      <c r="F424" t="inlineStr">
        <is>
          <t>No</t>
        </is>
      </c>
      <c r="G424" t="inlineStr">
        <is>
          <t>1</t>
        </is>
      </c>
      <c r="H424" t="inlineStr">
        <is>
          <t>No</t>
        </is>
      </c>
      <c r="I424" t="inlineStr">
        <is>
          <t>No</t>
        </is>
      </c>
      <c r="J424" t="inlineStr">
        <is>
          <t>0</t>
        </is>
      </c>
      <c r="K424" t="inlineStr">
        <is>
          <t>Crabb, George, 1778-1851.</t>
        </is>
      </c>
      <c r="L424" t="inlineStr">
        <is>
          <t>New York : Thomas Y. Crowell Company, 1927.</t>
        </is>
      </c>
      <c r="M424" t="inlineStr">
        <is>
          <t>1927</t>
        </is>
      </c>
      <c r="O424" t="inlineStr">
        <is>
          <t>eng</t>
        </is>
      </c>
      <c r="P424" t="inlineStr">
        <is>
          <t>nyu</t>
        </is>
      </c>
      <c r="R424" t="inlineStr">
        <is>
          <t xml:space="preserve">PE </t>
        </is>
      </c>
      <c r="S424" t="n">
        <v>1</v>
      </c>
      <c r="T424" t="n">
        <v>1</v>
      </c>
      <c r="U424" t="inlineStr">
        <is>
          <t>2002-12-03</t>
        </is>
      </c>
      <c r="V424" t="inlineStr">
        <is>
          <t>2002-12-03</t>
        </is>
      </c>
      <c r="W424" t="inlineStr">
        <is>
          <t>1998-01-27</t>
        </is>
      </c>
      <c r="X424" t="inlineStr">
        <is>
          <t>1998-01-27</t>
        </is>
      </c>
      <c r="Y424" t="n">
        <v>26</v>
      </c>
      <c r="Z424" t="n">
        <v>25</v>
      </c>
      <c r="AA424" t="n">
        <v>64</v>
      </c>
      <c r="AB424" t="n">
        <v>1</v>
      </c>
      <c r="AC424" t="n">
        <v>2</v>
      </c>
      <c r="AD424" t="n">
        <v>1</v>
      </c>
      <c r="AE424" t="n">
        <v>3</v>
      </c>
      <c r="AF424" t="n">
        <v>0</v>
      </c>
      <c r="AG424" t="n">
        <v>1</v>
      </c>
      <c r="AH424" t="n">
        <v>1</v>
      </c>
      <c r="AI424" t="n">
        <v>1</v>
      </c>
      <c r="AJ424" t="n">
        <v>0</v>
      </c>
      <c r="AK424" t="n">
        <v>0</v>
      </c>
      <c r="AL424" t="n">
        <v>0</v>
      </c>
      <c r="AM424" t="n">
        <v>1</v>
      </c>
      <c r="AN424" t="n">
        <v>0</v>
      </c>
      <c r="AO424" t="n">
        <v>0</v>
      </c>
      <c r="AP424" t="inlineStr">
        <is>
          <t>Yes</t>
        </is>
      </c>
      <c r="AQ424" t="inlineStr">
        <is>
          <t>No</t>
        </is>
      </c>
      <c r="AR424">
        <f>HYPERLINK("http://catalog.hathitrust.org/Record/001183243","HathiTrust Record")</f>
        <v/>
      </c>
      <c r="AS424">
        <f>HYPERLINK("https://creighton-primo.hosted.exlibrisgroup.com/primo-explore/search?tab=default_tab&amp;search_scope=EVERYTHING&amp;vid=01CRU&amp;lang=en_US&amp;offset=0&amp;query=any,contains,991002051899702656","Catalog Record")</f>
        <v/>
      </c>
      <c r="AT424">
        <f>HYPERLINK("http://www.worldcat.org/oclc/13090642","WorldCat Record")</f>
        <v/>
      </c>
      <c r="AU424" t="inlineStr">
        <is>
          <t>5235662539:eng</t>
        </is>
      </c>
      <c r="AV424" t="inlineStr">
        <is>
          <t>13090642</t>
        </is>
      </c>
      <c r="AW424" t="inlineStr">
        <is>
          <t>991002051899702656</t>
        </is>
      </c>
      <c r="AX424" t="inlineStr">
        <is>
          <t>991002051899702656</t>
        </is>
      </c>
      <c r="AY424" t="inlineStr">
        <is>
          <t>2272685890002656</t>
        </is>
      </c>
      <c r="AZ424" t="inlineStr">
        <is>
          <t>BOOK</t>
        </is>
      </c>
      <c r="BC424" t="inlineStr">
        <is>
          <t>32285003327706</t>
        </is>
      </c>
      <c r="BD424" t="inlineStr">
        <is>
          <t>893703614</t>
        </is>
      </c>
    </row>
    <row r="425">
      <c r="A425" t="inlineStr">
        <is>
          <t>No</t>
        </is>
      </c>
      <c r="B425" t="inlineStr">
        <is>
          <t>PE1591 .G67 1993</t>
        </is>
      </c>
      <c r="C425" t="inlineStr">
        <is>
          <t>0                      PE 1591000G  67          1993</t>
        </is>
      </c>
      <c r="D425" t="inlineStr">
        <is>
          <t>The describer's dictionary : a treasury of terms and literary quotations for readers and writers / by David Grambs.</t>
        </is>
      </c>
      <c r="F425" t="inlineStr">
        <is>
          <t>No</t>
        </is>
      </c>
      <c r="G425" t="inlineStr">
        <is>
          <t>1</t>
        </is>
      </c>
      <c r="H425" t="inlineStr">
        <is>
          <t>No</t>
        </is>
      </c>
      <c r="I425" t="inlineStr">
        <is>
          <t>No</t>
        </is>
      </c>
      <c r="J425" t="inlineStr">
        <is>
          <t>0</t>
        </is>
      </c>
      <c r="K425" t="inlineStr">
        <is>
          <t>Grambs, David.</t>
        </is>
      </c>
      <c r="L425" t="inlineStr">
        <is>
          <t>New York : W.W. Norton, 1993.</t>
        </is>
      </c>
      <c r="M425" t="inlineStr">
        <is>
          <t>1993</t>
        </is>
      </c>
      <c r="N425" t="inlineStr">
        <is>
          <t>1st ed.</t>
        </is>
      </c>
      <c r="O425" t="inlineStr">
        <is>
          <t>eng</t>
        </is>
      </c>
      <c r="P425" t="inlineStr">
        <is>
          <t>nyu</t>
        </is>
      </c>
      <c r="R425" t="inlineStr">
        <is>
          <t xml:space="preserve">PE </t>
        </is>
      </c>
      <c r="S425" t="n">
        <v>2</v>
      </c>
      <c r="T425" t="n">
        <v>2</v>
      </c>
      <c r="U425" t="inlineStr">
        <is>
          <t>1993-08-19</t>
        </is>
      </c>
      <c r="V425" t="inlineStr">
        <is>
          <t>1993-08-19</t>
        </is>
      </c>
      <c r="W425" t="inlineStr">
        <is>
          <t>1993-07-30</t>
        </is>
      </c>
      <c r="X425" t="inlineStr">
        <is>
          <t>1993-07-30</t>
        </is>
      </c>
      <c r="Y425" t="n">
        <v>436</v>
      </c>
      <c r="Z425" t="n">
        <v>392</v>
      </c>
      <c r="AA425" t="n">
        <v>599</v>
      </c>
      <c r="AB425" t="n">
        <v>6</v>
      </c>
      <c r="AC425" t="n">
        <v>10</v>
      </c>
      <c r="AD425" t="n">
        <v>12</v>
      </c>
      <c r="AE425" t="n">
        <v>17</v>
      </c>
      <c r="AF425" t="n">
        <v>1</v>
      </c>
      <c r="AG425" t="n">
        <v>1</v>
      </c>
      <c r="AH425" t="n">
        <v>3</v>
      </c>
      <c r="AI425" t="n">
        <v>3</v>
      </c>
      <c r="AJ425" t="n">
        <v>4</v>
      </c>
      <c r="AK425" t="n">
        <v>6</v>
      </c>
      <c r="AL425" t="n">
        <v>5</v>
      </c>
      <c r="AM425" t="n">
        <v>8</v>
      </c>
      <c r="AN425" t="n">
        <v>1</v>
      </c>
      <c r="AO425" t="n">
        <v>1</v>
      </c>
      <c r="AP425" t="inlineStr">
        <is>
          <t>No</t>
        </is>
      </c>
      <c r="AQ425" t="inlineStr">
        <is>
          <t>No</t>
        </is>
      </c>
      <c r="AS425">
        <f>HYPERLINK("https://creighton-primo.hosted.exlibrisgroup.com/primo-explore/search?tab=default_tab&amp;search_scope=EVERYTHING&amp;vid=01CRU&amp;lang=en_US&amp;offset=0&amp;query=any,contains,991001987429702656","Catalog Record")</f>
        <v/>
      </c>
      <c r="AT425">
        <f>HYPERLINK("http://www.worldcat.org/oclc/25246377","WorldCat Record")</f>
        <v/>
      </c>
      <c r="AU425" t="inlineStr">
        <is>
          <t>42486284:eng</t>
        </is>
      </c>
      <c r="AV425" t="inlineStr">
        <is>
          <t>25246377</t>
        </is>
      </c>
      <c r="AW425" t="inlineStr">
        <is>
          <t>991001987429702656</t>
        </is>
      </c>
      <c r="AX425" t="inlineStr">
        <is>
          <t>991001987429702656</t>
        </is>
      </c>
      <c r="AY425" t="inlineStr">
        <is>
          <t>2256277950002656</t>
        </is>
      </c>
      <c r="AZ425" t="inlineStr">
        <is>
          <t>BOOK</t>
        </is>
      </c>
      <c r="BB425" t="inlineStr">
        <is>
          <t>9780393033991</t>
        </is>
      </c>
      <c r="BC425" t="inlineStr">
        <is>
          <t>32285001704211</t>
        </is>
      </c>
      <c r="BD425" t="inlineStr">
        <is>
          <t>893250687</t>
        </is>
      </c>
    </row>
    <row r="426">
      <c r="A426" t="inlineStr">
        <is>
          <t>No</t>
        </is>
      </c>
      <c r="B426" t="inlineStr">
        <is>
          <t>PE1591.R7 W6</t>
        </is>
      </c>
      <c r="C426" t="inlineStr">
        <is>
          <t>0                      PE 1591000R  7                  W  6</t>
        </is>
      </c>
      <c r="D426" t="inlineStr">
        <is>
          <t>Thesaurus of English words and phrases : classified and arranged so as to facilitate the expression of ideas and assist in literary composition / enl. by John Lewis Roget.</t>
        </is>
      </c>
      <c r="F426" t="inlineStr">
        <is>
          <t>No</t>
        </is>
      </c>
      <c r="G426" t="inlineStr">
        <is>
          <t>1</t>
        </is>
      </c>
      <c r="H426" t="inlineStr">
        <is>
          <t>No</t>
        </is>
      </c>
      <c r="I426" t="inlineStr">
        <is>
          <t>No</t>
        </is>
      </c>
      <c r="J426" t="inlineStr">
        <is>
          <t>0</t>
        </is>
      </c>
      <c r="K426" t="inlineStr">
        <is>
          <t>Roget, Peter Mark, 1779-1869.</t>
        </is>
      </c>
      <c r="L426" t="inlineStr">
        <is>
          <t>Cleveland : World Pub. Co., [n. d.]</t>
        </is>
      </c>
      <c r="N426" t="inlineStr">
        <is>
          <t>New edition rev. and enl. / by Samuel Romilly Roget.</t>
        </is>
      </c>
      <c r="O426" t="inlineStr">
        <is>
          <t>eng</t>
        </is>
      </c>
      <c r="P426" t="inlineStr">
        <is>
          <t>ohu</t>
        </is>
      </c>
      <c r="R426" t="inlineStr">
        <is>
          <t xml:space="preserve">PE </t>
        </is>
      </c>
      <c r="S426" t="n">
        <v>8</v>
      </c>
      <c r="T426" t="n">
        <v>8</v>
      </c>
      <c r="U426" t="inlineStr">
        <is>
          <t>2000-12-13</t>
        </is>
      </c>
      <c r="V426" t="inlineStr">
        <is>
          <t>2000-12-13</t>
        </is>
      </c>
      <c r="W426" t="inlineStr">
        <is>
          <t>1995-10-03</t>
        </is>
      </c>
      <c r="X426" t="inlineStr">
        <is>
          <t>1995-10-03</t>
        </is>
      </c>
      <c r="Y426" t="n">
        <v>10</v>
      </c>
      <c r="Z426" t="n">
        <v>9</v>
      </c>
      <c r="AA426" t="n">
        <v>1189</v>
      </c>
      <c r="AB426" t="n">
        <v>1</v>
      </c>
      <c r="AC426" t="n">
        <v>9</v>
      </c>
      <c r="AD426" t="n">
        <v>1</v>
      </c>
      <c r="AE426" t="n">
        <v>24</v>
      </c>
      <c r="AF426" t="n">
        <v>1</v>
      </c>
      <c r="AG426" t="n">
        <v>5</v>
      </c>
      <c r="AH426" t="n">
        <v>0</v>
      </c>
      <c r="AI426" t="n">
        <v>4</v>
      </c>
      <c r="AJ426" t="n">
        <v>0</v>
      </c>
      <c r="AK426" t="n">
        <v>11</v>
      </c>
      <c r="AL426" t="n">
        <v>0</v>
      </c>
      <c r="AM426" t="n">
        <v>1</v>
      </c>
      <c r="AN426" t="n">
        <v>0</v>
      </c>
      <c r="AO426" t="n">
        <v>4</v>
      </c>
      <c r="AP426" t="inlineStr">
        <is>
          <t>No</t>
        </is>
      </c>
      <c r="AQ426" t="inlineStr">
        <is>
          <t>No</t>
        </is>
      </c>
      <c r="AS426">
        <f>HYPERLINK("https://creighton-primo.hosted.exlibrisgroup.com/primo-explore/search?tab=default_tab&amp;search_scope=EVERYTHING&amp;vid=01CRU&amp;lang=en_US&amp;offset=0&amp;query=any,contains,991004039989702656","Catalog Record")</f>
        <v/>
      </c>
      <c r="AT426">
        <f>HYPERLINK("http://www.worldcat.org/oclc/2185421","WorldCat Record")</f>
        <v/>
      </c>
      <c r="AU426" t="inlineStr">
        <is>
          <t>4919191130:eng</t>
        </is>
      </c>
      <c r="AV426" t="inlineStr">
        <is>
          <t>2185421</t>
        </is>
      </c>
      <c r="AW426" t="inlineStr">
        <is>
          <t>991004039989702656</t>
        </is>
      </c>
      <c r="AX426" t="inlineStr">
        <is>
          <t>991004039989702656</t>
        </is>
      </c>
      <c r="AY426" t="inlineStr">
        <is>
          <t>2258428350002656</t>
        </is>
      </c>
      <c r="AZ426" t="inlineStr">
        <is>
          <t>BOOK</t>
        </is>
      </c>
      <c r="BC426" t="inlineStr">
        <is>
          <t>32285002067568</t>
        </is>
      </c>
      <c r="BD426" t="inlineStr">
        <is>
          <t>893343390</t>
        </is>
      </c>
    </row>
    <row r="427">
      <c r="A427" t="inlineStr">
        <is>
          <t>No</t>
        </is>
      </c>
      <c r="B427" t="inlineStr">
        <is>
          <t>PE1611 .B44 1994</t>
        </is>
      </c>
      <c r="C427" t="inlineStr">
        <is>
          <t>0                      PE 1611000B  44          1994</t>
        </is>
      </c>
      <c r="D427" t="inlineStr">
        <is>
          <t>Tradition and innovation in modern English dictionaries / Henri Béjoint.</t>
        </is>
      </c>
      <c r="F427" t="inlineStr">
        <is>
          <t>No</t>
        </is>
      </c>
      <c r="G427" t="inlineStr">
        <is>
          <t>1</t>
        </is>
      </c>
      <c r="H427" t="inlineStr">
        <is>
          <t>No</t>
        </is>
      </c>
      <c r="I427" t="inlineStr">
        <is>
          <t>No</t>
        </is>
      </c>
      <c r="J427" t="inlineStr">
        <is>
          <t>0</t>
        </is>
      </c>
      <c r="K427" t="inlineStr">
        <is>
          <t>Béjoint, Henri.</t>
        </is>
      </c>
      <c r="L427" t="inlineStr">
        <is>
          <t>Oxford [England] : Clarendon Press ; New York : Oxford University Press, 1994.</t>
        </is>
      </c>
      <c r="M427" t="inlineStr">
        <is>
          <t>1994</t>
        </is>
      </c>
      <c r="O427" t="inlineStr">
        <is>
          <t>eng</t>
        </is>
      </c>
      <c r="P427" t="inlineStr">
        <is>
          <t>enk</t>
        </is>
      </c>
      <c r="R427" t="inlineStr">
        <is>
          <t xml:space="preserve">PE </t>
        </is>
      </c>
      <c r="S427" t="n">
        <v>4</v>
      </c>
      <c r="T427" t="n">
        <v>4</v>
      </c>
      <c r="U427" t="inlineStr">
        <is>
          <t>2005-03-21</t>
        </is>
      </c>
      <c r="V427" t="inlineStr">
        <is>
          <t>2005-03-21</t>
        </is>
      </c>
      <c r="W427" t="inlineStr">
        <is>
          <t>1997-05-14</t>
        </is>
      </c>
      <c r="X427" t="inlineStr">
        <is>
          <t>1997-05-14</t>
        </is>
      </c>
      <c r="Y427" t="n">
        <v>333</v>
      </c>
      <c r="Z427" t="n">
        <v>241</v>
      </c>
      <c r="AA427" t="n">
        <v>249</v>
      </c>
      <c r="AB427" t="n">
        <v>2</v>
      </c>
      <c r="AC427" t="n">
        <v>2</v>
      </c>
      <c r="AD427" t="n">
        <v>11</v>
      </c>
      <c r="AE427" t="n">
        <v>11</v>
      </c>
      <c r="AF427" t="n">
        <v>1</v>
      </c>
      <c r="AG427" t="n">
        <v>1</v>
      </c>
      <c r="AH427" t="n">
        <v>5</v>
      </c>
      <c r="AI427" t="n">
        <v>5</v>
      </c>
      <c r="AJ427" t="n">
        <v>7</v>
      </c>
      <c r="AK427" t="n">
        <v>7</v>
      </c>
      <c r="AL427" t="n">
        <v>1</v>
      </c>
      <c r="AM427" t="n">
        <v>1</v>
      </c>
      <c r="AN427" t="n">
        <v>0</v>
      </c>
      <c r="AO427" t="n">
        <v>0</v>
      </c>
      <c r="AP427" t="inlineStr">
        <is>
          <t>No</t>
        </is>
      </c>
      <c r="AQ427" t="inlineStr">
        <is>
          <t>Yes</t>
        </is>
      </c>
      <c r="AR427">
        <f>HYPERLINK("http://catalog.hathitrust.org/Record/002816191","HathiTrust Record")</f>
        <v/>
      </c>
      <c r="AS427">
        <f>HYPERLINK("https://creighton-primo.hosted.exlibrisgroup.com/primo-explore/search?tab=default_tab&amp;search_scope=EVERYTHING&amp;vid=01CRU&amp;lang=en_US&amp;offset=0&amp;query=any,contains,991002182579702656","Catalog Record")</f>
        <v/>
      </c>
      <c r="AT427">
        <f>HYPERLINK("http://www.worldcat.org/oclc/28111449","WorldCat Record")</f>
        <v/>
      </c>
      <c r="AU427" t="inlineStr">
        <is>
          <t>30243008:eng</t>
        </is>
      </c>
      <c r="AV427" t="inlineStr">
        <is>
          <t>28111449</t>
        </is>
      </c>
      <c r="AW427" t="inlineStr">
        <is>
          <t>991002182579702656</t>
        </is>
      </c>
      <c r="AX427" t="inlineStr">
        <is>
          <t>991002182579702656</t>
        </is>
      </c>
      <c r="AY427" t="inlineStr">
        <is>
          <t>2257121490002656</t>
        </is>
      </c>
      <c r="AZ427" t="inlineStr">
        <is>
          <t>BOOK</t>
        </is>
      </c>
      <c r="BB427" t="inlineStr">
        <is>
          <t>9780198239192</t>
        </is>
      </c>
      <c r="BC427" t="inlineStr">
        <is>
          <t>32285002608304</t>
        </is>
      </c>
      <c r="BD427" t="inlineStr">
        <is>
          <t>893408787</t>
        </is>
      </c>
    </row>
    <row r="428">
      <c r="A428" t="inlineStr">
        <is>
          <t>No</t>
        </is>
      </c>
      <c r="B428" t="inlineStr">
        <is>
          <t>PE1611 .F7</t>
        </is>
      </c>
      <c r="C428" t="inlineStr">
        <is>
          <t>0                      PE 1611000F  7</t>
        </is>
      </c>
      <c r="D428" t="inlineStr">
        <is>
          <t>The development of American lexicography 1798-1864 / by Joseph H. Friend.</t>
        </is>
      </c>
      <c r="F428" t="inlineStr">
        <is>
          <t>No</t>
        </is>
      </c>
      <c r="G428" t="inlineStr">
        <is>
          <t>1</t>
        </is>
      </c>
      <c r="H428" t="inlineStr">
        <is>
          <t>No</t>
        </is>
      </c>
      <c r="I428" t="inlineStr">
        <is>
          <t>No</t>
        </is>
      </c>
      <c r="J428" t="inlineStr">
        <is>
          <t>0</t>
        </is>
      </c>
      <c r="K428" t="inlineStr">
        <is>
          <t>Friend, Joseph H. (Joseph Harold), 1909-</t>
        </is>
      </c>
      <c r="L428" t="inlineStr">
        <is>
          <t>The Hague ; Paris : Mouton, 1967.</t>
        </is>
      </c>
      <c r="M428" t="inlineStr">
        <is>
          <t>1967</t>
        </is>
      </c>
      <c r="O428" t="inlineStr">
        <is>
          <t>eng</t>
        </is>
      </c>
      <c r="P428" t="inlineStr">
        <is>
          <t xml:space="preserve">ne </t>
        </is>
      </c>
      <c r="Q428" t="inlineStr">
        <is>
          <t>Janua linguarum. Series practica ; 37</t>
        </is>
      </c>
      <c r="R428" t="inlineStr">
        <is>
          <t xml:space="preserve">PE </t>
        </is>
      </c>
      <c r="S428" t="n">
        <v>1</v>
      </c>
      <c r="T428" t="n">
        <v>1</v>
      </c>
      <c r="U428" t="inlineStr">
        <is>
          <t>2000-11-28</t>
        </is>
      </c>
      <c r="V428" t="inlineStr">
        <is>
          <t>2000-11-28</t>
        </is>
      </c>
      <c r="W428" t="inlineStr">
        <is>
          <t>1993-04-13</t>
        </is>
      </c>
      <c r="X428" t="inlineStr">
        <is>
          <t>1993-04-13</t>
        </is>
      </c>
      <c r="Y428" t="n">
        <v>399</v>
      </c>
      <c r="Z428" t="n">
        <v>300</v>
      </c>
      <c r="AA428" t="n">
        <v>302</v>
      </c>
      <c r="AB428" t="n">
        <v>5</v>
      </c>
      <c r="AC428" t="n">
        <v>5</v>
      </c>
      <c r="AD428" t="n">
        <v>15</v>
      </c>
      <c r="AE428" t="n">
        <v>15</v>
      </c>
      <c r="AF428" t="n">
        <v>2</v>
      </c>
      <c r="AG428" t="n">
        <v>2</v>
      </c>
      <c r="AH428" t="n">
        <v>4</v>
      </c>
      <c r="AI428" t="n">
        <v>4</v>
      </c>
      <c r="AJ428" t="n">
        <v>8</v>
      </c>
      <c r="AK428" t="n">
        <v>8</v>
      </c>
      <c r="AL428" t="n">
        <v>4</v>
      </c>
      <c r="AM428" t="n">
        <v>4</v>
      </c>
      <c r="AN428" t="n">
        <v>0</v>
      </c>
      <c r="AO428" t="n">
        <v>0</v>
      </c>
      <c r="AP428" t="inlineStr">
        <is>
          <t>No</t>
        </is>
      </c>
      <c r="AQ428" t="inlineStr">
        <is>
          <t>Yes</t>
        </is>
      </c>
      <c r="AR428">
        <f>HYPERLINK("http://catalog.hathitrust.org/Record/001441020","HathiTrust Record")</f>
        <v/>
      </c>
      <c r="AS428">
        <f>HYPERLINK("https://creighton-primo.hosted.exlibrisgroup.com/primo-explore/search?tab=default_tab&amp;search_scope=EVERYTHING&amp;vid=01CRU&amp;lang=en_US&amp;offset=0&amp;query=any,contains,991002307749702656","Catalog Record")</f>
        <v/>
      </c>
      <c r="AT428">
        <f>HYPERLINK("http://www.worldcat.org/oclc/318938","WorldCat Record")</f>
        <v/>
      </c>
      <c r="AU428" t="inlineStr">
        <is>
          <t>111979287:eng</t>
        </is>
      </c>
      <c r="AV428" t="inlineStr">
        <is>
          <t>318938</t>
        </is>
      </c>
      <c r="AW428" t="inlineStr">
        <is>
          <t>991002307749702656</t>
        </is>
      </c>
      <c r="AX428" t="inlineStr">
        <is>
          <t>991002307749702656</t>
        </is>
      </c>
      <c r="AY428" t="inlineStr">
        <is>
          <t>2270388910002656</t>
        </is>
      </c>
      <c r="AZ428" t="inlineStr">
        <is>
          <t>BOOK</t>
        </is>
      </c>
      <c r="BC428" t="inlineStr">
        <is>
          <t>32285001616951</t>
        </is>
      </c>
      <c r="BD428" t="inlineStr">
        <is>
          <t>893779662</t>
        </is>
      </c>
    </row>
    <row r="429">
      <c r="A429" t="inlineStr">
        <is>
          <t>No</t>
        </is>
      </c>
      <c r="B429" t="inlineStr">
        <is>
          <t>PE1611 .G7</t>
        </is>
      </c>
      <c r="C429" t="inlineStr">
        <is>
          <t>0                      PE 1611000G  7</t>
        </is>
      </c>
      <c r="D429" t="inlineStr">
        <is>
          <t>Words, words, and words about dictionaries.</t>
        </is>
      </c>
      <c r="F429" t="inlineStr">
        <is>
          <t>No</t>
        </is>
      </c>
      <c r="G429" t="inlineStr">
        <is>
          <t>1</t>
        </is>
      </c>
      <c r="H429" t="inlineStr">
        <is>
          <t>No</t>
        </is>
      </c>
      <c r="I429" t="inlineStr">
        <is>
          <t>No</t>
        </is>
      </c>
      <c r="J429" t="inlineStr">
        <is>
          <t>0</t>
        </is>
      </c>
      <c r="K429" t="inlineStr">
        <is>
          <t>Gray, Jack C., editor.</t>
        </is>
      </c>
      <c r="L429" t="inlineStr">
        <is>
          <t>San Franciso : Chandler Pub. Co., [1963]</t>
        </is>
      </c>
      <c r="M429" t="inlineStr">
        <is>
          <t>1963</t>
        </is>
      </c>
      <c r="O429" t="inlineStr">
        <is>
          <t>eng</t>
        </is>
      </c>
      <c r="P429" t="inlineStr">
        <is>
          <t xml:space="preserve">xx </t>
        </is>
      </c>
      <c r="R429" t="inlineStr">
        <is>
          <t xml:space="preserve">PE </t>
        </is>
      </c>
      <c r="S429" t="n">
        <v>1</v>
      </c>
      <c r="T429" t="n">
        <v>1</v>
      </c>
      <c r="U429" t="inlineStr">
        <is>
          <t>2000-11-28</t>
        </is>
      </c>
      <c r="V429" t="inlineStr">
        <is>
          <t>2000-11-28</t>
        </is>
      </c>
      <c r="W429" t="inlineStr">
        <is>
          <t>1993-04-13</t>
        </is>
      </c>
      <c r="X429" t="inlineStr">
        <is>
          <t>1993-04-13</t>
        </is>
      </c>
      <c r="Y429" t="n">
        <v>247</v>
      </c>
      <c r="Z429" t="n">
        <v>212</v>
      </c>
      <c r="AA429" t="n">
        <v>213</v>
      </c>
      <c r="AB429" t="n">
        <v>4</v>
      </c>
      <c r="AC429" t="n">
        <v>4</v>
      </c>
      <c r="AD429" t="n">
        <v>12</v>
      </c>
      <c r="AE429" t="n">
        <v>12</v>
      </c>
      <c r="AF429" t="n">
        <v>3</v>
      </c>
      <c r="AG429" t="n">
        <v>3</v>
      </c>
      <c r="AH429" t="n">
        <v>3</v>
      </c>
      <c r="AI429" t="n">
        <v>3</v>
      </c>
      <c r="AJ429" t="n">
        <v>5</v>
      </c>
      <c r="AK429" t="n">
        <v>5</v>
      </c>
      <c r="AL429" t="n">
        <v>3</v>
      </c>
      <c r="AM429" t="n">
        <v>3</v>
      </c>
      <c r="AN429" t="n">
        <v>0</v>
      </c>
      <c r="AO429" t="n">
        <v>0</v>
      </c>
      <c r="AP429" t="inlineStr">
        <is>
          <t>No</t>
        </is>
      </c>
      <c r="AQ429" t="inlineStr">
        <is>
          <t>No</t>
        </is>
      </c>
      <c r="AR429">
        <f>HYPERLINK("http://catalog.hathitrust.org/Record/001183261","HathiTrust Record")</f>
        <v/>
      </c>
      <c r="AS429">
        <f>HYPERLINK("https://creighton-primo.hosted.exlibrisgroup.com/primo-explore/search?tab=default_tab&amp;search_scope=EVERYTHING&amp;vid=01CRU&amp;lang=en_US&amp;offset=0&amp;query=any,contains,991002242559702656","Catalog Record")</f>
        <v/>
      </c>
      <c r="AT429">
        <f>HYPERLINK("http://www.worldcat.org/oclc/297291","WorldCat Record")</f>
        <v/>
      </c>
      <c r="AU429" t="inlineStr">
        <is>
          <t>1498208:eng</t>
        </is>
      </c>
      <c r="AV429" t="inlineStr">
        <is>
          <t>297291</t>
        </is>
      </c>
      <c r="AW429" t="inlineStr">
        <is>
          <t>991002242559702656</t>
        </is>
      </c>
      <c r="AX429" t="inlineStr">
        <is>
          <t>991002242559702656</t>
        </is>
      </c>
      <c r="AY429" t="inlineStr">
        <is>
          <t>2262932490002656</t>
        </is>
      </c>
      <c r="AZ429" t="inlineStr">
        <is>
          <t>BOOK</t>
        </is>
      </c>
      <c r="BC429" t="inlineStr">
        <is>
          <t>32285001616944</t>
        </is>
      </c>
      <c r="BD429" t="inlineStr">
        <is>
          <t>893792211</t>
        </is>
      </c>
    </row>
    <row r="430">
      <c r="A430" t="inlineStr">
        <is>
          <t>No</t>
        </is>
      </c>
      <c r="B430" t="inlineStr">
        <is>
          <t>PE1611 .L6</t>
        </is>
      </c>
      <c r="C430" t="inlineStr">
        <is>
          <t>0                      PE 1611000L  6</t>
        </is>
      </c>
      <c r="D430" t="inlineStr">
        <is>
          <t>The dictionary and the language / [by] Richard R. Lodwig [and] Eugene F. Barrett.</t>
        </is>
      </c>
      <c r="F430" t="inlineStr">
        <is>
          <t>No</t>
        </is>
      </c>
      <c r="G430" t="inlineStr">
        <is>
          <t>1</t>
        </is>
      </c>
      <c r="H430" t="inlineStr">
        <is>
          <t>No</t>
        </is>
      </c>
      <c r="I430" t="inlineStr">
        <is>
          <t>No</t>
        </is>
      </c>
      <c r="J430" t="inlineStr">
        <is>
          <t>0</t>
        </is>
      </c>
      <c r="K430" t="inlineStr">
        <is>
          <t>Lodwig, Richard R.</t>
        </is>
      </c>
      <c r="L430" t="inlineStr">
        <is>
          <t>New York : Hayden Book Co., [1967]</t>
        </is>
      </c>
      <c r="M430" t="inlineStr">
        <is>
          <t>1967</t>
        </is>
      </c>
      <c r="O430" t="inlineStr">
        <is>
          <t>eng</t>
        </is>
      </c>
      <c r="P430" t="inlineStr">
        <is>
          <t>nyu</t>
        </is>
      </c>
      <c r="Q430" t="inlineStr">
        <is>
          <t>Hayden English language series</t>
        </is>
      </c>
      <c r="R430" t="inlineStr">
        <is>
          <t xml:space="preserve">PE </t>
        </is>
      </c>
      <c r="S430" t="n">
        <v>1</v>
      </c>
      <c r="T430" t="n">
        <v>1</v>
      </c>
      <c r="U430" t="inlineStr">
        <is>
          <t>2000-11-28</t>
        </is>
      </c>
      <c r="V430" t="inlineStr">
        <is>
          <t>2000-11-28</t>
        </is>
      </c>
      <c r="W430" t="inlineStr">
        <is>
          <t>1993-04-26</t>
        </is>
      </c>
      <c r="X430" t="inlineStr">
        <is>
          <t>1993-04-26</t>
        </is>
      </c>
      <c r="Y430" t="n">
        <v>196</v>
      </c>
      <c r="Z430" t="n">
        <v>181</v>
      </c>
      <c r="AA430" t="n">
        <v>181</v>
      </c>
      <c r="AB430" t="n">
        <v>1</v>
      </c>
      <c r="AC430" t="n">
        <v>1</v>
      </c>
      <c r="AD430" t="n">
        <v>7</v>
      </c>
      <c r="AE430" t="n">
        <v>7</v>
      </c>
      <c r="AF430" t="n">
        <v>1</v>
      </c>
      <c r="AG430" t="n">
        <v>1</v>
      </c>
      <c r="AH430" t="n">
        <v>3</v>
      </c>
      <c r="AI430" t="n">
        <v>3</v>
      </c>
      <c r="AJ430" t="n">
        <v>5</v>
      </c>
      <c r="AK430" t="n">
        <v>5</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HYPERLINK("https://creighton-primo.hosted.exlibrisgroup.com/primo-explore/search?tab=default_tab&amp;search_scope=EVERYTHING&amp;vid=01CRU&amp;lang=en_US&amp;offset=0&amp;query=any,contains,991003254379702656","Catalog Record")</f>
        <v/>
      </c>
      <c r="AT430">
        <f>HYPERLINK("http://www.worldcat.org/oclc/779369","WorldCat Record")</f>
        <v/>
      </c>
      <c r="AU430" t="inlineStr">
        <is>
          <t>1700700:eng</t>
        </is>
      </c>
      <c r="AV430" t="inlineStr">
        <is>
          <t>779369</t>
        </is>
      </c>
      <c r="AW430" t="inlineStr">
        <is>
          <t>991003254379702656</t>
        </is>
      </c>
      <c r="AX430" t="inlineStr">
        <is>
          <t>991003254379702656</t>
        </is>
      </c>
      <c r="AY430" t="inlineStr">
        <is>
          <t>2265458740002656</t>
        </is>
      </c>
      <c r="AZ430" t="inlineStr">
        <is>
          <t>BOOK</t>
        </is>
      </c>
      <c r="BC430" t="inlineStr">
        <is>
          <t>32285001625473</t>
        </is>
      </c>
      <c r="BD430" t="inlineStr">
        <is>
          <t>893721856</t>
        </is>
      </c>
    </row>
    <row r="431">
      <c r="A431" t="inlineStr">
        <is>
          <t>No</t>
        </is>
      </c>
      <c r="B431" t="inlineStr">
        <is>
          <t>PE1617.J7 H58 2005</t>
        </is>
      </c>
      <c r="C431" t="inlineStr">
        <is>
          <t>0                      PE 1617000J  7                  H  58          2005</t>
        </is>
      </c>
      <c r="D431" t="inlineStr">
        <is>
          <t>Defining the world : the extraordinary story of Dr. Johnson's Dictionary / Henry Hitchings.</t>
        </is>
      </c>
      <c r="F431" t="inlineStr">
        <is>
          <t>No</t>
        </is>
      </c>
      <c r="G431" t="inlineStr">
        <is>
          <t>1</t>
        </is>
      </c>
      <c r="H431" t="inlineStr">
        <is>
          <t>No</t>
        </is>
      </c>
      <c r="I431" t="inlineStr">
        <is>
          <t>No</t>
        </is>
      </c>
      <c r="J431" t="inlineStr">
        <is>
          <t>0</t>
        </is>
      </c>
      <c r="K431" t="inlineStr">
        <is>
          <t>Hitchings, Henry, 1974-</t>
        </is>
      </c>
      <c r="L431" t="inlineStr">
        <is>
          <t>New York : Farrar, Straus and Giroux, 2005.</t>
        </is>
      </c>
      <c r="M431" t="inlineStr">
        <is>
          <t>2005</t>
        </is>
      </c>
      <c r="N431" t="inlineStr">
        <is>
          <t>1st American ed.</t>
        </is>
      </c>
      <c r="O431" t="inlineStr">
        <is>
          <t>eng</t>
        </is>
      </c>
      <c r="P431" t="inlineStr">
        <is>
          <t>nyu</t>
        </is>
      </c>
      <c r="R431" t="inlineStr">
        <is>
          <t xml:space="preserve">PE </t>
        </is>
      </c>
      <c r="S431" t="n">
        <v>3</v>
      </c>
      <c r="T431" t="n">
        <v>3</v>
      </c>
      <c r="U431" t="inlineStr">
        <is>
          <t>2009-09-22</t>
        </is>
      </c>
      <c r="V431" t="inlineStr">
        <is>
          <t>2009-09-22</t>
        </is>
      </c>
      <c r="W431" t="inlineStr">
        <is>
          <t>2005-12-05</t>
        </is>
      </c>
      <c r="X431" t="inlineStr">
        <is>
          <t>2005-12-05</t>
        </is>
      </c>
      <c r="Y431" t="n">
        <v>928</v>
      </c>
      <c r="Z431" t="n">
        <v>864</v>
      </c>
      <c r="AA431" t="n">
        <v>929</v>
      </c>
      <c r="AB431" t="n">
        <v>4</v>
      </c>
      <c r="AC431" t="n">
        <v>4</v>
      </c>
      <c r="AD431" t="n">
        <v>29</v>
      </c>
      <c r="AE431" t="n">
        <v>31</v>
      </c>
      <c r="AF431" t="n">
        <v>12</v>
      </c>
      <c r="AG431" t="n">
        <v>14</v>
      </c>
      <c r="AH431" t="n">
        <v>8</v>
      </c>
      <c r="AI431" t="n">
        <v>8</v>
      </c>
      <c r="AJ431" t="n">
        <v>14</v>
      </c>
      <c r="AK431" t="n">
        <v>14</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HYPERLINK("https://creighton-primo.hosted.exlibrisgroup.com/primo-explore/search?tab=default_tab&amp;search_scope=EVERYTHING&amp;vid=01CRU&amp;lang=en_US&amp;offset=0&amp;query=any,contains,991004693409702656","Catalog Record")</f>
        <v/>
      </c>
      <c r="AT431">
        <f>HYPERLINK("http://www.worldcat.org/oclc/59401223","WorldCat Record")</f>
        <v/>
      </c>
      <c r="AU431" t="inlineStr">
        <is>
          <t>375216452:eng</t>
        </is>
      </c>
      <c r="AV431" t="inlineStr">
        <is>
          <t>59401223</t>
        </is>
      </c>
      <c r="AW431" t="inlineStr">
        <is>
          <t>991004693409702656</t>
        </is>
      </c>
      <c r="AX431" t="inlineStr">
        <is>
          <t>991004693409702656</t>
        </is>
      </c>
      <c r="AY431" t="inlineStr">
        <is>
          <t>2264203820002656</t>
        </is>
      </c>
      <c r="AZ431" t="inlineStr">
        <is>
          <t>BOOK</t>
        </is>
      </c>
      <c r="BB431" t="inlineStr">
        <is>
          <t>9780374113025</t>
        </is>
      </c>
      <c r="BC431" t="inlineStr">
        <is>
          <t>32285005150866</t>
        </is>
      </c>
      <c r="BD431" t="inlineStr">
        <is>
          <t>893789005</t>
        </is>
      </c>
    </row>
    <row r="432">
      <c r="A432" t="inlineStr">
        <is>
          <t>No</t>
        </is>
      </c>
      <c r="B432" t="inlineStr">
        <is>
          <t>PE1617.J7 R4 1990</t>
        </is>
      </c>
      <c r="C432" t="inlineStr">
        <is>
          <t>0                      PE 1617000J  7                  R  4           1990</t>
        </is>
      </c>
      <c r="D432" t="inlineStr">
        <is>
          <t>The making of Johnson's dictionary, 1746-1773 / Allen Reddick.</t>
        </is>
      </c>
      <c r="F432" t="inlineStr">
        <is>
          <t>No</t>
        </is>
      </c>
      <c r="G432" t="inlineStr">
        <is>
          <t>1</t>
        </is>
      </c>
      <c r="H432" t="inlineStr">
        <is>
          <t>No</t>
        </is>
      </c>
      <c r="I432" t="inlineStr">
        <is>
          <t>Yes</t>
        </is>
      </c>
      <c r="J432" t="inlineStr">
        <is>
          <t>0</t>
        </is>
      </c>
      <c r="K432" t="inlineStr">
        <is>
          <t>Reddick, Allen Hilliard.</t>
        </is>
      </c>
      <c r="L432" t="inlineStr">
        <is>
          <t>Cambridge [England] ; New York : Cambridge University Press, 1990.</t>
        </is>
      </c>
      <c r="M432" t="inlineStr">
        <is>
          <t>1990</t>
        </is>
      </c>
      <c r="O432" t="inlineStr">
        <is>
          <t>eng</t>
        </is>
      </c>
      <c r="P432" t="inlineStr">
        <is>
          <t>enk</t>
        </is>
      </c>
      <c r="Q432" t="inlineStr">
        <is>
          <t>Cambridge studies in publishing and printing history</t>
        </is>
      </c>
      <c r="R432" t="inlineStr">
        <is>
          <t xml:space="preserve">PE </t>
        </is>
      </c>
      <c r="S432" t="n">
        <v>5</v>
      </c>
      <c r="T432" t="n">
        <v>5</v>
      </c>
      <c r="U432" t="inlineStr">
        <is>
          <t>2004-11-07</t>
        </is>
      </c>
      <c r="V432" t="inlineStr">
        <is>
          <t>2004-11-07</t>
        </is>
      </c>
      <c r="W432" t="inlineStr">
        <is>
          <t>1991-05-14</t>
        </is>
      </c>
      <c r="X432" t="inlineStr">
        <is>
          <t>1991-05-14</t>
        </is>
      </c>
      <c r="Y432" t="n">
        <v>571</v>
      </c>
      <c r="Z432" t="n">
        <v>423</v>
      </c>
      <c r="AA432" t="n">
        <v>507</v>
      </c>
      <c r="AB432" t="n">
        <v>4</v>
      </c>
      <c r="AC432" t="n">
        <v>4</v>
      </c>
      <c r="AD432" t="n">
        <v>26</v>
      </c>
      <c r="AE432" t="n">
        <v>32</v>
      </c>
      <c r="AF432" t="n">
        <v>9</v>
      </c>
      <c r="AG432" t="n">
        <v>13</v>
      </c>
      <c r="AH432" t="n">
        <v>7</v>
      </c>
      <c r="AI432" t="n">
        <v>7</v>
      </c>
      <c r="AJ432" t="n">
        <v>14</v>
      </c>
      <c r="AK432" t="n">
        <v>17</v>
      </c>
      <c r="AL432" t="n">
        <v>3</v>
      </c>
      <c r="AM432" t="n">
        <v>3</v>
      </c>
      <c r="AN432" t="n">
        <v>0</v>
      </c>
      <c r="AO432" t="n">
        <v>0</v>
      </c>
      <c r="AP432" t="inlineStr">
        <is>
          <t>No</t>
        </is>
      </c>
      <c r="AQ432" t="inlineStr">
        <is>
          <t>Yes</t>
        </is>
      </c>
      <c r="AR432">
        <f>HYPERLINK("http://catalog.hathitrust.org/Record/002424081","HathiTrust Record")</f>
        <v/>
      </c>
      <c r="AS432">
        <f>HYPERLINK("https://creighton-primo.hosted.exlibrisgroup.com/primo-explore/search?tab=default_tab&amp;search_scope=EVERYTHING&amp;vid=01CRU&amp;lang=en_US&amp;offset=0&amp;query=any,contains,991001653069702656","Catalog Record")</f>
        <v/>
      </c>
      <c r="AT432">
        <f>HYPERLINK("http://www.worldcat.org/oclc/21116713","WorldCat Record")</f>
        <v/>
      </c>
      <c r="AU432" t="inlineStr">
        <is>
          <t>40909395:eng</t>
        </is>
      </c>
      <c r="AV432" t="inlineStr">
        <is>
          <t>21116713</t>
        </is>
      </c>
      <c r="AW432" t="inlineStr">
        <is>
          <t>991001653069702656</t>
        </is>
      </c>
      <c r="AX432" t="inlineStr">
        <is>
          <t>991001653069702656</t>
        </is>
      </c>
      <c r="AY432" t="inlineStr">
        <is>
          <t>2264241420002656</t>
        </is>
      </c>
      <c r="AZ432" t="inlineStr">
        <is>
          <t>BOOK</t>
        </is>
      </c>
      <c r="BB432" t="inlineStr">
        <is>
          <t>9780521361606</t>
        </is>
      </c>
      <c r="BC432" t="inlineStr">
        <is>
          <t>32285000573245</t>
        </is>
      </c>
      <c r="BD432" t="inlineStr">
        <is>
          <t>893715588</t>
        </is>
      </c>
    </row>
    <row r="433">
      <c r="A433" t="inlineStr">
        <is>
          <t>No</t>
        </is>
      </c>
      <c r="B433" t="inlineStr">
        <is>
          <t>PE1617.J7 R4 1996</t>
        </is>
      </c>
      <c r="C433" t="inlineStr">
        <is>
          <t>0                      PE 1617000J  7                  R  4           1996</t>
        </is>
      </c>
      <c r="D433" t="inlineStr">
        <is>
          <t>The making of Johnson's dictionary, 1746-1773 / Allen Reddick.</t>
        </is>
      </c>
      <c r="F433" t="inlineStr">
        <is>
          <t>No</t>
        </is>
      </c>
      <c r="G433" t="inlineStr">
        <is>
          <t>1</t>
        </is>
      </c>
      <c r="H433" t="inlineStr">
        <is>
          <t>No</t>
        </is>
      </c>
      <c r="I433" t="inlineStr">
        <is>
          <t>Yes</t>
        </is>
      </c>
      <c r="J433" t="inlineStr">
        <is>
          <t>0</t>
        </is>
      </c>
      <c r="K433" t="inlineStr">
        <is>
          <t>Reddick, Allen Hilliard.</t>
        </is>
      </c>
      <c r="L433" t="inlineStr">
        <is>
          <t>Cambridge [England] ; New York : Cambridge University Press, 1996.</t>
        </is>
      </c>
      <c r="M433" t="inlineStr">
        <is>
          <t>1996</t>
        </is>
      </c>
      <c r="N433" t="inlineStr">
        <is>
          <t>Rev. ed.</t>
        </is>
      </c>
      <c r="O433" t="inlineStr">
        <is>
          <t>eng</t>
        </is>
      </c>
      <c r="P433" t="inlineStr">
        <is>
          <t>enk</t>
        </is>
      </c>
      <c r="Q433" t="inlineStr">
        <is>
          <t>Cambridge studies in publishing and printing history</t>
        </is>
      </c>
      <c r="R433" t="inlineStr">
        <is>
          <t xml:space="preserve">PE </t>
        </is>
      </c>
      <c r="S433" t="n">
        <v>4</v>
      </c>
      <c r="T433" t="n">
        <v>4</v>
      </c>
      <c r="U433" t="inlineStr">
        <is>
          <t>2005-09-29</t>
        </is>
      </c>
      <c r="V433" t="inlineStr">
        <is>
          <t>2005-09-29</t>
        </is>
      </c>
      <c r="W433" t="inlineStr">
        <is>
          <t>2003-09-23</t>
        </is>
      </c>
      <c r="X433" t="inlineStr">
        <is>
          <t>2003-09-23</t>
        </is>
      </c>
      <c r="Y433" t="n">
        <v>241</v>
      </c>
      <c r="Z433" t="n">
        <v>179</v>
      </c>
      <c r="AA433" t="n">
        <v>507</v>
      </c>
      <c r="AB433" t="n">
        <v>1</v>
      </c>
      <c r="AC433" t="n">
        <v>4</v>
      </c>
      <c r="AD433" t="n">
        <v>11</v>
      </c>
      <c r="AE433" t="n">
        <v>32</v>
      </c>
      <c r="AF433" t="n">
        <v>5</v>
      </c>
      <c r="AG433" t="n">
        <v>13</v>
      </c>
      <c r="AH433" t="n">
        <v>1</v>
      </c>
      <c r="AI433" t="n">
        <v>7</v>
      </c>
      <c r="AJ433" t="n">
        <v>7</v>
      </c>
      <c r="AK433" t="n">
        <v>17</v>
      </c>
      <c r="AL433" t="n">
        <v>0</v>
      </c>
      <c r="AM433" t="n">
        <v>3</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HYPERLINK("https://creighton-primo.hosted.exlibrisgroup.com/primo-explore/search?tab=default_tab&amp;search_scope=EVERYTHING&amp;vid=01CRU&amp;lang=en_US&amp;offset=0&amp;query=any,contains,991004130299702656","Catalog Record")</f>
        <v/>
      </c>
      <c r="AT433">
        <f>HYPERLINK("http://www.worldcat.org/oclc/34392204","WorldCat Record")</f>
        <v/>
      </c>
      <c r="AU433" t="inlineStr">
        <is>
          <t>40909395:eng</t>
        </is>
      </c>
      <c r="AV433" t="inlineStr">
        <is>
          <t>34392204</t>
        </is>
      </c>
      <c r="AW433" t="inlineStr">
        <is>
          <t>991004130299702656</t>
        </is>
      </c>
      <c r="AX433" t="inlineStr">
        <is>
          <t>991004130299702656</t>
        </is>
      </c>
      <c r="AY433" t="inlineStr">
        <is>
          <t>2269027630002656</t>
        </is>
      </c>
      <c r="AZ433" t="inlineStr">
        <is>
          <t>BOOK</t>
        </is>
      </c>
      <c r="BB433" t="inlineStr">
        <is>
          <t>9780521361606</t>
        </is>
      </c>
      <c r="BC433" t="inlineStr">
        <is>
          <t>32285004784327</t>
        </is>
      </c>
      <c r="BD433" t="inlineStr">
        <is>
          <t>893247187</t>
        </is>
      </c>
    </row>
    <row r="434">
      <c r="A434" t="inlineStr">
        <is>
          <t>No</t>
        </is>
      </c>
      <c r="B434" t="inlineStr">
        <is>
          <t>PE1617.J7 S7</t>
        </is>
      </c>
      <c r="C434" t="inlineStr">
        <is>
          <t>0                      PE 1617000J  7                  S  7</t>
        </is>
      </c>
      <c r="D434" t="inlineStr">
        <is>
          <t>Dr. Johnson's Dictionary; essays in the biography of a book, by James H. Sledd and Gwin J. Kolb.</t>
        </is>
      </c>
      <c r="F434" t="inlineStr">
        <is>
          <t>No</t>
        </is>
      </c>
      <c r="G434" t="inlineStr">
        <is>
          <t>1</t>
        </is>
      </c>
      <c r="H434" t="inlineStr">
        <is>
          <t>No</t>
        </is>
      </c>
      <c r="I434" t="inlineStr">
        <is>
          <t>No</t>
        </is>
      </c>
      <c r="J434" t="inlineStr">
        <is>
          <t>0</t>
        </is>
      </c>
      <c r="K434" t="inlineStr">
        <is>
          <t>Sledd, James Hinton, 1914-</t>
        </is>
      </c>
      <c r="L434" t="inlineStr">
        <is>
          <t>[Chicago] University of Chicago Press [1955]</t>
        </is>
      </c>
      <c r="M434" t="inlineStr">
        <is>
          <t>1955</t>
        </is>
      </c>
      <c r="O434" t="inlineStr">
        <is>
          <t>eng</t>
        </is>
      </c>
      <c r="P434" t="inlineStr">
        <is>
          <t>ilu</t>
        </is>
      </c>
      <c r="R434" t="inlineStr">
        <is>
          <t xml:space="preserve">PE </t>
        </is>
      </c>
      <c r="S434" t="n">
        <v>2</v>
      </c>
      <c r="T434" t="n">
        <v>2</v>
      </c>
      <c r="U434" t="inlineStr">
        <is>
          <t>2003-12-04</t>
        </is>
      </c>
      <c r="V434" t="inlineStr">
        <is>
          <t>2003-12-04</t>
        </is>
      </c>
      <c r="W434" t="inlineStr">
        <is>
          <t>1997-09-26</t>
        </is>
      </c>
      <c r="X434" t="inlineStr">
        <is>
          <t>1997-09-26</t>
        </is>
      </c>
      <c r="Y434" t="n">
        <v>705</v>
      </c>
      <c r="Z434" t="n">
        <v>608</v>
      </c>
      <c r="AA434" t="n">
        <v>623</v>
      </c>
      <c r="AB434" t="n">
        <v>5</v>
      </c>
      <c r="AC434" t="n">
        <v>5</v>
      </c>
      <c r="AD434" t="n">
        <v>38</v>
      </c>
      <c r="AE434" t="n">
        <v>39</v>
      </c>
      <c r="AF434" t="n">
        <v>17</v>
      </c>
      <c r="AG434" t="n">
        <v>17</v>
      </c>
      <c r="AH434" t="n">
        <v>7</v>
      </c>
      <c r="AI434" t="n">
        <v>8</v>
      </c>
      <c r="AJ434" t="n">
        <v>21</v>
      </c>
      <c r="AK434" t="n">
        <v>22</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HYPERLINK("https://creighton-primo.hosted.exlibrisgroup.com/primo-explore/search?tab=default_tab&amp;search_scope=EVERYTHING&amp;vid=01CRU&amp;lang=en_US&amp;offset=0&amp;query=any,contains,991003674459702656","Catalog Record")</f>
        <v/>
      </c>
      <c r="AT434">
        <f>HYPERLINK("http://www.worldcat.org/oclc/1293709","WorldCat Record")</f>
        <v/>
      </c>
      <c r="AU434" t="inlineStr">
        <is>
          <t>2231819:eng</t>
        </is>
      </c>
      <c r="AV434" t="inlineStr">
        <is>
          <t>1293709</t>
        </is>
      </c>
      <c r="AW434" t="inlineStr">
        <is>
          <t>991003674459702656</t>
        </is>
      </c>
      <c r="AX434" t="inlineStr">
        <is>
          <t>991003674459702656</t>
        </is>
      </c>
      <c r="AY434" t="inlineStr">
        <is>
          <t>2255751370002656</t>
        </is>
      </c>
      <c r="AZ434" t="inlineStr">
        <is>
          <t>BOOK</t>
        </is>
      </c>
      <c r="BC434" t="inlineStr">
        <is>
          <t>32285003248712</t>
        </is>
      </c>
      <c r="BD434" t="inlineStr">
        <is>
          <t>893435276</t>
        </is>
      </c>
    </row>
    <row r="435">
      <c r="A435" t="inlineStr">
        <is>
          <t>No</t>
        </is>
      </c>
      <c r="B435" t="inlineStr">
        <is>
          <t>PE1617.O94 W56 2003</t>
        </is>
      </c>
      <c r="C435" t="inlineStr">
        <is>
          <t>0                      PE 1617000O  94                 W  56          2003</t>
        </is>
      </c>
      <c r="D435" t="inlineStr">
        <is>
          <t>The meaning of everything : the story of the Oxford English dictionary / Simon Winchester.</t>
        </is>
      </c>
      <c r="F435" t="inlineStr">
        <is>
          <t>No</t>
        </is>
      </c>
      <c r="G435" t="inlineStr">
        <is>
          <t>1</t>
        </is>
      </c>
      <c r="H435" t="inlineStr">
        <is>
          <t>No</t>
        </is>
      </c>
      <c r="I435" t="inlineStr">
        <is>
          <t>No</t>
        </is>
      </c>
      <c r="J435" t="inlineStr">
        <is>
          <t>0</t>
        </is>
      </c>
      <c r="K435" t="inlineStr">
        <is>
          <t>Winchester, Simon.</t>
        </is>
      </c>
      <c r="L435" t="inlineStr">
        <is>
          <t>Oxford ; New York : Oxford University Press, 2003.</t>
        </is>
      </c>
      <c r="M435" t="inlineStr">
        <is>
          <t>2003</t>
        </is>
      </c>
      <c r="O435" t="inlineStr">
        <is>
          <t>eng</t>
        </is>
      </c>
      <c r="P435" t="inlineStr">
        <is>
          <t>enk</t>
        </is>
      </c>
      <c r="R435" t="inlineStr">
        <is>
          <t xml:space="preserve">PE </t>
        </is>
      </c>
      <c r="S435" t="n">
        <v>2</v>
      </c>
      <c r="T435" t="n">
        <v>2</v>
      </c>
      <c r="U435" t="inlineStr">
        <is>
          <t>2008-07-09</t>
        </is>
      </c>
      <c r="V435" t="inlineStr">
        <is>
          <t>2008-07-09</t>
        </is>
      </c>
      <c r="W435" t="inlineStr">
        <is>
          <t>2003-09-15</t>
        </is>
      </c>
      <c r="X435" t="inlineStr">
        <is>
          <t>2003-09-15</t>
        </is>
      </c>
      <c r="Y435" t="n">
        <v>2132</v>
      </c>
      <c r="Z435" t="n">
        <v>1800</v>
      </c>
      <c r="AA435" t="n">
        <v>2158</v>
      </c>
      <c r="AB435" t="n">
        <v>18</v>
      </c>
      <c r="AC435" t="n">
        <v>21</v>
      </c>
      <c r="AD435" t="n">
        <v>51</v>
      </c>
      <c r="AE435" t="n">
        <v>55</v>
      </c>
      <c r="AF435" t="n">
        <v>22</v>
      </c>
      <c r="AG435" t="n">
        <v>24</v>
      </c>
      <c r="AH435" t="n">
        <v>9</v>
      </c>
      <c r="AI435" t="n">
        <v>9</v>
      </c>
      <c r="AJ435" t="n">
        <v>18</v>
      </c>
      <c r="AK435" t="n">
        <v>20</v>
      </c>
      <c r="AL435" t="n">
        <v>13</v>
      </c>
      <c r="AM435" t="n">
        <v>13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HYPERLINK("https://creighton-primo.hosted.exlibrisgroup.com/primo-explore/search?tab=default_tab&amp;search_scope=EVERYTHING&amp;vid=01CRU&amp;lang=en_US&amp;offset=0&amp;query=any,contains,991004124599702656","Catalog Record")</f>
        <v/>
      </c>
      <c r="AT435">
        <f>HYPERLINK("http://www.worldcat.org/oclc/52830480","WorldCat Record")</f>
        <v/>
      </c>
      <c r="AU435" t="inlineStr">
        <is>
          <t>51471427:eng</t>
        </is>
      </c>
      <c r="AV435" t="inlineStr">
        <is>
          <t>52830480</t>
        </is>
      </c>
      <c r="AW435" t="inlineStr">
        <is>
          <t>991004124599702656</t>
        </is>
      </c>
      <c r="AX435" t="inlineStr">
        <is>
          <t>991004124599702656</t>
        </is>
      </c>
      <c r="AY435" t="inlineStr">
        <is>
          <t>2254984180002656</t>
        </is>
      </c>
      <c r="AZ435" t="inlineStr">
        <is>
          <t>BOOK</t>
        </is>
      </c>
      <c r="BB435" t="inlineStr">
        <is>
          <t>9780198607021</t>
        </is>
      </c>
      <c r="BC435" t="inlineStr">
        <is>
          <t>32285004785829</t>
        </is>
      </c>
      <c r="BD435" t="inlineStr">
        <is>
          <t>893435914</t>
        </is>
      </c>
    </row>
    <row r="436">
      <c r="A436" t="inlineStr">
        <is>
          <t>No</t>
        </is>
      </c>
      <c r="B436" t="inlineStr">
        <is>
          <t>PE1625 .W3 1828ab</t>
        </is>
      </c>
      <c r="C436" t="inlineStr">
        <is>
          <t>0                      PE 1625000W  3           1828ab</t>
        </is>
      </c>
      <c r="D436" t="inlineStr">
        <is>
          <t>An American dictionary of the English language / with an introd. by Mario Pei.</t>
        </is>
      </c>
      <c r="E436" t="inlineStr">
        <is>
          <t>V. 1</t>
        </is>
      </c>
      <c r="F436" t="inlineStr">
        <is>
          <t>Yes</t>
        </is>
      </c>
      <c r="G436" t="inlineStr">
        <is>
          <t>1</t>
        </is>
      </c>
      <c r="H436" t="inlineStr">
        <is>
          <t>No</t>
        </is>
      </c>
      <c r="I436" t="inlineStr">
        <is>
          <t>No</t>
        </is>
      </c>
      <c r="J436" t="inlineStr">
        <is>
          <t>0</t>
        </is>
      </c>
      <c r="K436" t="inlineStr">
        <is>
          <t>Webster, Noah, 1758-1843.</t>
        </is>
      </c>
      <c r="L436" t="inlineStr">
        <is>
          <t>New York : Johnson Reprint Corp., 1970.</t>
        </is>
      </c>
      <c r="M436" t="inlineStr">
        <is>
          <t>1970</t>
        </is>
      </c>
      <c r="O436" t="inlineStr">
        <is>
          <t>eng</t>
        </is>
      </c>
      <c r="P436" t="inlineStr">
        <is>
          <t>nyu</t>
        </is>
      </c>
      <c r="Q436" t="inlineStr">
        <is>
          <t>Belles lettres in English</t>
        </is>
      </c>
      <c r="R436" t="inlineStr">
        <is>
          <t xml:space="preserve">PE </t>
        </is>
      </c>
      <c r="S436" t="n">
        <v>23</v>
      </c>
      <c r="T436" t="n">
        <v>47</v>
      </c>
      <c r="U436" t="inlineStr">
        <is>
          <t>2006-02-24</t>
        </is>
      </c>
      <c r="V436" t="inlineStr">
        <is>
          <t>2006-02-24</t>
        </is>
      </c>
      <c r="W436" t="inlineStr">
        <is>
          <t>1998-01-27</t>
        </is>
      </c>
      <c r="X436" t="inlineStr">
        <is>
          <t>1998-01-27</t>
        </is>
      </c>
      <c r="Y436" t="n">
        <v>386</v>
      </c>
      <c r="Z436" t="n">
        <v>349</v>
      </c>
      <c r="AA436" t="n">
        <v>350</v>
      </c>
      <c r="AB436" t="n">
        <v>2</v>
      </c>
      <c r="AC436" t="n">
        <v>2</v>
      </c>
      <c r="AD436" t="n">
        <v>11</v>
      </c>
      <c r="AE436" t="n">
        <v>11</v>
      </c>
      <c r="AF436" t="n">
        <v>3</v>
      </c>
      <c r="AG436" t="n">
        <v>3</v>
      </c>
      <c r="AH436" t="n">
        <v>2</v>
      </c>
      <c r="AI436" t="n">
        <v>2</v>
      </c>
      <c r="AJ436" t="n">
        <v>6</v>
      </c>
      <c r="AK436" t="n">
        <v>6</v>
      </c>
      <c r="AL436" t="n">
        <v>1</v>
      </c>
      <c r="AM436" t="n">
        <v>1</v>
      </c>
      <c r="AN436" t="n">
        <v>0</v>
      </c>
      <c r="AO436" t="n">
        <v>0</v>
      </c>
      <c r="AP436" t="inlineStr">
        <is>
          <t>No</t>
        </is>
      </c>
      <c r="AQ436" t="inlineStr">
        <is>
          <t>Yes</t>
        </is>
      </c>
      <c r="AR436">
        <f>HYPERLINK("http://catalog.hathitrust.org/Record/001193643","HathiTrust Record")</f>
        <v/>
      </c>
      <c r="AS436">
        <f>HYPERLINK("https://creighton-primo.hosted.exlibrisgroup.com/primo-explore/search?tab=default_tab&amp;search_scope=EVERYTHING&amp;vid=01CRU&amp;lang=en_US&amp;offset=0&amp;query=any,contains,991001095279702656","Catalog Record")</f>
        <v/>
      </c>
      <c r="AT436">
        <f>HYPERLINK("http://www.worldcat.org/oclc/197954","WorldCat Record")</f>
        <v/>
      </c>
      <c r="AU436" t="inlineStr">
        <is>
          <t>969851:eng</t>
        </is>
      </c>
      <c r="AV436" t="inlineStr">
        <is>
          <t>197954</t>
        </is>
      </c>
      <c r="AW436" t="inlineStr">
        <is>
          <t>991001095279702656</t>
        </is>
      </c>
      <c r="AX436" t="inlineStr">
        <is>
          <t>991001095279702656</t>
        </is>
      </c>
      <c r="AY436" t="inlineStr">
        <is>
          <t>2272489190002656</t>
        </is>
      </c>
      <c r="AZ436" t="inlineStr">
        <is>
          <t>BOOK</t>
        </is>
      </c>
      <c r="BC436" t="inlineStr">
        <is>
          <t>32285003328647</t>
        </is>
      </c>
      <c r="BD436" t="inlineStr">
        <is>
          <t>893878616</t>
        </is>
      </c>
    </row>
    <row r="437">
      <c r="A437" t="inlineStr">
        <is>
          <t>No</t>
        </is>
      </c>
      <c r="B437" t="inlineStr">
        <is>
          <t>PE1625 .W3 1828ab</t>
        </is>
      </c>
      <c r="C437" t="inlineStr">
        <is>
          <t>0                      PE 1625000W  3           1828ab</t>
        </is>
      </c>
      <c r="D437" t="inlineStr">
        <is>
          <t>An American dictionary of the English language / with an introd. by Mario Pei.</t>
        </is>
      </c>
      <c r="E437" t="inlineStr">
        <is>
          <t>V. 2</t>
        </is>
      </c>
      <c r="F437" t="inlineStr">
        <is>
          <t>Yes</t>
        </is>
      </c>
      <c r="G437" t="inlineStr">
        <is>
          <t>1</t>
        </is>
      </c>
      <c r="H437" t="inlineStr">
        <is>
          <t>No</t>
        </is>
      </c>
      <c r="I437" t="inlineStr">
        <is>
          <t>No</t>
        </is>
      </c>
      <c r="J437" t="inlineStr">
        <is>
          <t>0</t>
        </is>
      </c>
      <c r="K437" t="inlineStr">
        <is>
          <t>Webster, Noah, 1758-1843.</t>
        </is>
      </c>
      <c r="L437" t="inlineStr">
        <is>
          <t>New York : Johnson Reprint Corp., 1970.</t>
        </is>
      </c>
      <c r="M437" t="inlineStr">
        <is>
          <t>1970</t>
        </is>
      </c>
      <c r="O437" t="inlineStr">
        <is>
          <t>eng</t>
        </is>
      </c>
      <c r="P437" t="inlineStr">
        <is>
          <t>nyu</t>
        </is>
      </c>
      <c r="Q437" t="inlineStr">
        <is>
          <t>Belles lettres in English</t>
        </is>
      </c>
      <c r="R437" t="inlineStr">
        <is>
          <t xml:space="preserve">PE </t>
        </is>
      </c>
      <c r="S437" t="n">
        <v>24</v>
      </c>
      <c r="T437" t="n">
        <v>47</v>
      </c>
      <c r="U437" t="inlineStr">
        <is>
          <t>2006-02-24</t>
        </is>
      </c>
      <c r="V437" t="inlineStr">
        <is>
          <t>2006-02-24</t>
        </is>
      </c>
      <c r="W437" t="inlineStr">
        <is>
          <t>1998-01-27</t>
        </is>
      </c>
      <c r="X437" t="inlineStr">
        <is>
          <t>1998-01-27</t>
        </is>
      </c>
      <c r="Y437" t="n">
        <v>386</v>
      </c>
      <c r="Z437" t="n">
        <v>349</v>
      </c>
      <c r="AA437" t="n">
        <v>350</v>
      </c>
      <c r="AB437" t="n">
        <v>2</v>
      </c>
      <c r="AC437" t="n">
        <v>2</v>
      </c>
      <c r="AD437" t="n">
        <v>11</v>
      </c>
      <c r="AE437" t="n">
        <v>11</v>
      </c>
      <c r="AF437" t="n">
        <v>3</v>
      </c>
      <c r="AG437" t="n">
        <v>3</v>
      </c>
      <c r="AH437" t="n">
        <v>2</v>
      </c>
      <c r="AI437" t="n">
        <v>2</v>
      </c>
      <c r="AJ437" t="n">
        <v>6</v>
      </c>
      <c r="AK437" t="n">
        <v>6</v>
      </c>
      <c r="AL437" t="n">
        <v>1</v>
      </c>
      <c r="AM437" t="n">
        <v>1</v>
      </c>
      <c r="AN437" t="n">
        <v>0</v>
      </c>
      <c r="AO437" t="n">
        <v>0</v>
      </c>
      <c r="AP437" t="inlineStr">
        <is>
          <t>No</t>
        </is>
      </c>
      <c r="AQ437" t="inlineStr">
        <is>
          <t>Yes</t>
        </is>
      </c>
      <c r="AR437">
        <f>HYPERLINK("http://catalog.hathitrust.org/Record/001193643","HathiTrust Record")</f>
        <v/>
      </c>
      <c r="AS437">
        <f>HYPERLINK("https://creighton-primo.hosted.exlibrisgroup.com/primo-explore/search?tab=default_tab&amp;search_scope=EVERYTHING&amp;vid=01CRU&amp;lang=en_US&amp;offset=0&amp;query=any,contains,991001095279702656","Catalog Record")</f>
        <v/>
      </c>
      <c r="AT437">
        <f>HYPERLINK("http://www.worldcat.org/oclc/197954","WorldCat Record")</f>
        <v/>
      </c>
      <c r="AU437" t="inlineStr">
        <is>
          <t>969851:eng</t>
        </is>
      </c>
      <c r="AV437" t="inlineStr">
        <is>
          <t>197954</t>
        </is>
      </c>
      <c r="AW437" t="inlineStr">
        <is>
          <t>991001095279702656</t>
        </is>
      </c>
      <c r="AX437" t="inlineStr">
        <is>
          <t>991001095279702656</t>
        </is>
      </c>
      <c r="AY437" t="inlineStr">
        <is>
          <t>2272489190002656</t>
        </is>
      </c>
      <c r="AZ437" t="inlineStr">
        <is>
          <t>BOOK</t>
        </is>
      </c>
      <c r="BC437" t="inlineStr">
        <is>
          <t>32285003328654</t>
        </is>
      </c>
      <c r="BD437" t="inlineStr">
        <is>
          <t>893865957</t>
        </is>
      </c>
    </row>
    <row r="438">
      <c r="A438" t="inlineStr">
        <is>
          <t>No</t>
        </is>
      </c>
      <c r="B438" t="inlineStr">
        <is>
          <t>PE1628.5 .H68 1986</t>
        </is>
      </c>
      <c r="C438" t="inlineStr">
        <is>
          <t>0                      PE 1628500H  68          1986</t>
        </is>
      </c>
      <c r="D438" t="inlineStr">
        <is>
          <t>Houghton Mifflin intermediate dictionary.</t>
        </is>
      </c>
      <c r="F438" t="inlineStr">
        <is>
          <t>No</t>
        </is>
      </c>
      <c r="G438" t="inlineStr">
        <is>
          <t>1</t>
        </is>
      </c>
      <c r="H438" t="inlineStr">
        <is>
          <t>No</t>
        </is>
      </c>
      <c r="I438" t="inlineStr">
        <is>
          <t>No</t>
        </is>
      </c>
      <c r="J438" t="inlineStr">
        <is>
          <t>0</t>
        </is>
      </c>
      <c r="L438" t="inlineStr">
        <is>
          <t>Boston : Houghton Mifflin, c1986.</t>
        </is>
      </c>
      <c r="M438" t="inlineStr">
        <is>
          <t>1986</t>
        </is>
      </c>
      <c r="O438" t="inlineStr">
        <is>
          <t>eng</t>
        </is>
      </c>
      <c r="P438" t="inlineStr">
        <is>
          <t>mau</t>
        </is>
      </c>
      <c r="R438" t="inlineStr">
        <is>
          <t xml:space="preserve">PE </t>
        </is>
      </c>
      <c r="S438" t="n">
        <v>3</v>
      </c>
      <c r="T438" t="n">
        <v>3</v>
      </c>
      <c r="U438" t="inlineStr">
        <is>
          <t>2001-06-05</t>
        </is>
      </c>
      <c r="V438" t="inlineStr">
        <is>
          <t>2001-06-05</t>
        </is>
      </c>
      <c r="W438" t="inlineStr">
        <is>
          <t>2001-06-04</t>
        </is>
      </c>
      <c r="X438" t="inlineStr">
        <is>
          <t>2001-06-04</t>
        </is>
      </c>
      <c r="Y438" t="n">
        <v>54</v>
      </c>
      <c r="Z438" t="n">
        <v>53</v>
      </c>
      <c r="AA438" t="n">
        <v>71</v>
      </c>
      <c r="AB438" t="n">
        <v>3</v>
      </c>
      <c r="AC438" t="n">
        <v>4</v>
      </c>
      <c r="AD438" t="n">
        <v>2</v>
      </c>
      <c r="AE438" t="n">
        <v>3</v>
      </c>
      <c r="AF438" t="n">
        <v>0</v>
      </c>
      <c r="AG438" t="n">
        <v>1</v>
      </c>
      <c r="AH438" t="n">
        <v>0</v>
      </c>
      <c r="AI438" t="n">
        <v>0</v>
      </c>
      <c r="AJ438" t="n">
        <v>0</v>
      </c>
      <c r="AK438" t="n">
        <v>1</v>
      </c>
      <c r="AL438" t="n">
        <v>2</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HYPERLINK("https://creighton-primo.hosted.exlibrisgroup.com/primo-explore/search?tab=default_tab&amp;search_scope=EVERYTHING&amp;vid=01CRU&amp;lang=en_US&amp;offset=0&amp;query=any,contains,991003552529702656","Catalog Record")</f>
        <v/>
      </c>
      <c r="AT438">
        <f>HYPERLINK("http://www.worldcat.org/oclc/12809828","WorldCat Record")</f>
        <v/>
      </c>
      <c r="AU438" t="inlineStr">
        <is>
          <t>54764162:eng</t>
        </is>
      </c>
      <c r="AV438" t="inlineStr">
        <is>
          <t>12809828</t>
        </is>
      </c>
      <c r="AW438" t="inlineStr">
        <is>
          <t>991003552529702656</t>
        </is>
      </c>
      <c r="AX438" t="inlineStr">
        <is>
          <t>991003552529702656</t>
        </is>
      </c>
      <c r="AY438" t="inlineStr">
        <is>
          <t>2257916700002656</t>
        </is>
      </c>
      <c r="AZ438" t="inlineStr">
        <is>
          <t>BOOK</t>
        </is>
      </c>
      <c r="BB438" t="inlineStr">
        <is>
          <t>9780395383926</t>
        </is>
      </c>
      <c r="BC438" t="inlineStr">
        <is>
          <t>32285004319876</t>
        </is>
      </c>
      <c r="BD438" t="inlineStr">
        <is>
          <t>893676855</t>
        </is>
      </c>
    </row>
    <row r="439">
      <c r="A439" t="inlineStr">
        <is>
          <t>No</t>
        </is>
      </c>
      <c r="B439" t="inlineStr">
        <is>
          <t>PE1628.5 .K735 1986</t>
        </is>
      </c>
      <c r="C439" t="inlineStr">
        <is>
          <t>0                      PE 1628500K  735         1986</t>
        </is>
      </c>
      <c r="D439" t="inlineStr">
        <is>
          <t>Houghton Mifflin primary dictionary.</t>
        </is>
      </c>
      <c r="F439" t="inlineStr">
        <is>
          <t>No</t>
        </is>
      </c>
      <c r="G439" t="inlineStr">
        <is>
          <t>1</t>
        </is>
      </c>
      <c r="H439" t="inlineStr">
        <is>
          <t>No</t>
        </is>
      </c>
      <c r="I439" t="inlineStr">
        <is>
          <t>No</t>
        </is>
      </c>
      <c r="J439" t="inlineStr">
        <is>
          <t>0</t>
        </is>
      </c>
      <c r="K439" t="inlineStr">
        <is>
          <t>Krensky, Stephen.</t>
        </is>
      </c>
      <c r="L439" t="inlineStr">
        <is>
          <t>Boston : Houghton Mifflin, c1986.</t>
        </is>
      </c>
      <c r="M439" t="inlineStr">
        <is>
          <t>1986</t>
        </is>
      </c>
      <c r="O439" t="inlineStr">
        <is>
          <t>eng</t>
        </is>
      </c>
      <c r="P439" t="inlineStr">
        <is>
          <t>mau</t>
        </is>
      </c>
      <c r="R439" t="inlineStr">
        <is>
          <t xml:space="preserve">PE </t>
        </is>
      </c>
      <c r="S439" t="n">
        <v>1</v>
      </c>
      <c r="T439" t="n">
        <v>1</v>
      </c>
      <c r="U439" t="inlineStr">
        <is>
          <t>2001-06-05</t>
        </is>
      </c>
      <c r="V439" t="inlineStr">
        <is>
          <t>2001-06-05</t>
        </is>
      </c>
      <c r="W439" t="inlineStr">
        <is>
          <t>2001-06-04</t>
        </is>
      </c>
      <c r="X439" t="inlineStr">
        <is>
          <t>2001-06-04</t>
        </is>
      </c>
      <c r="Y439" t="n">
        <v>91</v>
      </c>
      <c r="Z439" t="n">
        <v>90</v>
      </c>
      <c r="AA439" t="n">
        <v>100</v>
      </c>
      <c r="AB439" t="n">
        <v>2</v>
      </c>
      <c r="AC439" t="n">
        <v>4</v>
      </c>
      <c r="AD439" t="n">
        <v>1</v>
      </c>
      <c r="AE439" t="n">
        <v>2</v>
      </c>
      <c r="AF439" t="n">
        <v>1</v>
      </c>
      <c r="AG439" t="n">
        <v>1</v>
      </c>
      <c r="AH439" t="n">
        <v>0</v>
      </c>
      <c r="AI439" t="n">
        <v>0</v>
      </c>
      <c r="AJ439" t="n">
        <v>1</v>
      </c>
      <c r="AK439" t="n">
        <v>1</v>
      </c>
      <c r="AL439" t="n">
        <v>0</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HYPERLINK("https://creighton-primo.hosted.exlibrisgroup.com/primo-explore/search?tab=default_tab&amp;search_scope=EVERYTHING&amp;vid=01CRU&amp;lang=en_US&amp;offset=0&amp;query=any,contains,991003552509702656","Catalog Record")</f>
        <v/>
      </c>
      <c r="AT439">
        <f>HYPERLINK("http://www.worldcat.org/oclc/12809880","WorldCat Record")</f>
        <v/>
      </c>
      <c r="AU439" t="inlineStr">
        <is>
          <t>5447710:eng</t>
        </is>
      </c>
      <c r="AV439" t="inlineStr">
        <is>
          <t>12809880</t>
        </is>
      </c>
      <c r="AW439" t="inlineStr">
        <is>
          <t>991003552509702656</t>
        </is>
      </c>
      <c r="AX439" t="inlineStr">
        <is>
          <t>991003552509702656</t>
        </is>
      </c>
      <c r="AY439" t="inlineStr">
        <is>
          <t>2257803360002656</t>
        </is>
      </c>
      <c r="AZ439" t="inlineStr">
        <is>
          <t>BOOK</t>
        </is>
      </c>
      <c r="BB439" t="inlineStr">
        <is>
          <t>9780395383933</t>
        </is>
      </c>
      <c r="BC439" t="inlineStr">
        <is>
          <t>32285004319892</t>
        </is>
      </c>
      <c r="BD439" t="inlineStr">
        <is>
          <t>893308620</t>
        </is>
      </c>
    </row>
    <row r="440">
      <c r="A440" t="inlineStr">
        <is>
          <t>No</t>
        </is>
      </c>
      <c r="B440" t="inlineStr">
        <is>
          <t>PE1629 .H55 1986</t>
        </is>
      </c>
      <c r="C440" t="inlineStr">
        <is>
          <t>0                      PE 1629000H  55          1986</t>
        </is>
      </c>
      <c r="D440" t="inlineStr">
        <is>
          <t>Houghton Mifflin picture dictionary / Robert L. Hillerich ; illiustrations by Maggie Swanson.</t>
        </is>
      </c>
      <c r="F440" t="inlineStr">
        <is>
          <t>No</t>
        </is>
      </c>
      <c r="G440" t="inlineStr">
        <is>
          <t>1</t>
        </is>
      </c>
      <c r="H440" t="inlineStr">
        <is>
          <t>No</t>
        </is>
      </c>
      <c r="I440" t="inlineStr">
        <is>
          <t>No</t>
        </is>
      </c>
      <c r="J440" t="inlineStr">
        <is>
          <t>0</t>
        </is>
      </c>
      <c r="K440" t="inlineStr">
        <is>
          <t>Hillerich, Robert L., 1927-</t>
        </is>
      </c>
      <c r="L440" t="inlineStr">
        <is>
          <t>Boston : Houghton Mifflin, c1986.</t>
        </is>
      </c>
      <c r="M440" t="inlineStr">
        <is>
          <t>1986</t>
        </is>
      </c>
      <c r="O440" t="inlineStr">
        <is>
          <t>eng</t>
        </is>
      </c>
      <c r="P440" t="inlineStr">
        <is>
          <t>mau</t>
        </is>
      </c>
      <c r="R440" t="inlineStr">
        <is>
          <t xml:space="preserve">PE </t>
        </is>
      </c>
      <c r="S440" t="n">
        <v>5</v>
      </c>
      <c r="T440" t="n">
        <v>5</v>
      </c>
      <c r="U440" t="inlineStr">
        <is>
          <t>2009-03-15</t>
        </is>
      </c>
      <c r="V440" t="inlineStr">
        <is>
          <t>2009-03-15</t>
        </is>
      </c>
      <c r="W440" t="inlineStr">
        <is>
          <t>2001-06-04</t>
        </is>
      </c>
      <c r="X440" t="inlineStr">
        <is>
          <t>2001-06-04</t>
        </is>
      </c>
      <c r="Y440" t="n">
        <v>62</v>
      </c>
      <c r="Z440" t="n">
        <v>60</v>
      </c>
      <c r="AA440" t="n">
        <v>75</v>
      </c>
      <c r="AB440" t="n">
        <v>3</v>
      </c>
      <c r="AC440" t="n">
        <v>3</v>
      </c>
      <c r="AD440" t="n">
        <v>3</v>
      </c>
      <c r="AE440" t="n">
        <v>3</v>
      </c>
      <c r="AF440" t="n">
        <v>1</v>
      </c>
      <c r="AG440" t="n">
        <v>1</v>
      </c>
      <c r="AH440" t="n">
        <v>0</v>
      </c>
      <c r="AI440" t="n">
        <v>0</v>
      </c>
      <c r="AJ440" t="n">
        <v>1</v>
      </c>
      <c r="AK440" t="n">
        <v>1</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HYPERLINK("https://creighton-primo.hosted.exlibrisgroup.com/primo-explore/search?tab=default_tab&amp;search_scope=EVERYTHING&amp;vid=01CRU&amp;lang=en_US&amp;offset=0&amp;query=any,contains,991003552479702656","Catalog Record")</f>
        <v/>
      </c>
      <c r="AT440">
        <f>HYPERLINK("http://www.worldcat.org/oclc/13822369","WorldCat Record")</f>
        <v/>
      </c>
      <c r="AU440" t="inlineStr">
        <is>
          <t>7317805:eng</t>
        </is>
      </c>
      <c r="AV440" t="inlineStr">
        <is>
          <t>13822369</t>
        </is>
      </c>
      <c r="AW440" t="inlineStr">
        <is>
          <t>991003552479702656</t>
        </is>
      </c>
      <c r="AX440" t="inlineStr">
        <is>
          <t>991003552479702656</t>
        </is>
      </c>
      <c r="AY440" t="inlineStr">
        <is>
          <t>2265487440002656</t>
        </is>
      </c>
      <c r="AZ440" t="inlineStr">
        <is>
          <t>BOOK</t>
        </is>
      </c>
      <c r="BB440" t="inlineStr">
        <is>
          <t>9780395413975</t>
        </is>
      </c>
      <c r="BC440" t="inlineStr">
        <is>
          <t>32285004319884</t>
        </is>
      </c>
      <c r="BD440" t="inlineStr">
        <is>
          <t>893587089</t>
        </is>
      </c>
    </row>
    <row r="441">
      <c r="A441" t="inlineStr">
        <is>
          <t>No</t>
        </is>
      </c>
      <c r="B441" t="inlineStr">
        <is>
          <t>PE1670 .G8 1972</t>
        </is>
      </c>
      <c r="C441" t="inlineStr">
        <is>
          <t>0                      PE 1670000G  8           1972</t>
        </is>
      </c>
      <c r="D441" t="inlineStr">
        <is>
          <t>Dictionary of foreign phrases and abbreviations / translated and compiled by Kevin Guinagh.</t>
        </is>
      </c>
      <c r="F441" t="inlineStr">
        <is>
          <t>No</t>
        </is>
      </c>
      <c r="G441" t="inlineStr">
        <is>
          <t>1</t>
        </is>
      </c>
      <c r="H441" t="inlineStr">
        <is>
          <t>Yes</t>
        </is>
      </c>
      <c r="I441" t="inlineStr">
        <is>
          <t>Yes</t>
        </is>
      </c>
      <c r="J441" t="inlineStr">
        <is>
          <t>0</t>
        </is>
      </c>
      <c r="K441" t="inlineStr">
        <is>
          <t>Guinagh, Kevin, 1897-1995, compiler.</t>
        </is>
      </c>
      <c r="L441" t="inlineStr">
        <is>
          <t>New York : H. W. Wilson Co., 1972.</t>
        </is>
      </c>
      <c r="M441" t="inlineStr">
        <is>
          <t>1972</t>
        </is>
      </c>
      <c r="N441" t="inlineStr">
        <is>
          <t>[2d ed.]</t>
        </is>
      </c>
      <c r="O441" t="inlineStr">
        <is>
          <t>eng</t>
        </is>
      </c>
      <c r="P441" t="inlineStr">
        <is>
          <t>nyu</t>
        </is>
      </c>
      <c r="R441" t="inlineStr">
        <is>
          <t xml:space="preserve">PE </t>
        </is>
      </c>
      <c r="S441" t="n">
        <v>0</v>
      </c>
      <c r="T441" t="n">
        <v>1</v>
      </c>
      <c r="V441" t="inlineStr">
        <is>
          <t>1993-05-28</t>
        </is>
      </c>
      <c r="W441" t="inlineStr">
        <is>
          <t>1993-04-27</t>
        </is>
      </c>
      <c r="X441" t="inlineStr">
        <is>
          <t>1993-05-27</t>
        </is>
      </c>
      <c r="Y441" t="n">
        <v>944</v>
      </c>
      <c r="Z441" t="n">
        <v>851</v>
      </c>
      <c r="AA441" t="n">
        <v>2385</v>
      </c>
      <c r="AB441" t="n">
        <v>5</v>
      </c>
      <c r="AC441" t="n">
        <v>13</v>
      </c>
      <c r="AD441" t="n">
        <v>12</v>
      </c>
      <c r="AE441" t="n">
        <v>43</v>
      </c>
      <c r="AF441" t="n">
        <v>2</v>
      </c>
      <c r="AG441" t="n">
        <v>12</v>
      </c>
      <c r="AH441" t="n">
        <v>1</v>
      </c>
      <c r="AI441" t="n">
        <v>8</v>
      </c>
      <c r="AJ441" t="n">
        <v>9</v>
      </c>
      <c r="AK441" t="n">
        <v>18</v>
      </c>
      <c r="AL441" t="n">
        <v>2</v>
      </c>
      <c r="AM441" t="n">
        <v>7</v>
      </c>
      <c r="AN441" t="n">
        <v>0</v>
      </c>
      <c r="AO441" t="n">
        <v>4</v>
      </c>
      <c r="AP441" t="inlineStr">
        <is>
          <t>No</t>
        </is>
      </c>
      <c r="AQ441" t="inlineStr">
        <is>
          <t>Yes</t>
        </is>
      </c>
      <c r="AR441">
        <f>HYPERLINK("http://catalog.hathitrust.org/Record/001193659","HathiTrust Record")</f>
        <v/>
      </c>
      <c r="AS441">
        <f>HYPERLINK("https://creighton-primo.hosted.exlibrisgroup.com/primo-explore/search?tab=default_tab&amp;search_scope=EVERYTHING&amp;vid=01CRU&amp;lang=en_US&amp;offset=0&amp;query=any,contains,991001626819702656","Catalog Record")</f>
        <v/>
      </c>
      <c r="AT441">
        <f>HYPERLINK("http://www.worldcat.org/oclc/314474","WorldCat Record")</f>
        <v/>
      </c>
      <c r="AU441" t="inlineStr">
        <is>
          <t>137950930:eng</t>
        </is>
      </c>
      <c r="AV441" t="inlineStr">
        <is>
          <t>314474</t>
        </is>
      </c>
      <c r="AW441" t="inlineStr">
        <is>
          <t>991001626819702656</t>
        </is>
      </c>
      <c r="AX441" t="inlineStr">
        <is>
          <t>991001626819702656</t>
        </is>
      </c>
      <c r="AY441" t="inlineStr">
        <is>
          <t>2272282110002656</t>
        </is>
      </c>
      <c r="AZ441" t="inlineStr">
        <is>
          <t>BOOK</t>
        </is>
      </c>
      <c r="BB441" t="inlineStr">
        <is>
          <t>9780824204600</t>
        </is>
      </c>
      <c r="BC441" t="inlineStr">
        <is>
          <t>32285001647535</t>
        </is>
      </c>
      <c r="BD441" t="inlineStr">
        <is>
          <t>893432959</t>
        </is>
      </c>
    </row>
    <row r="442">
      <c r="A442" t="inlineStr">
        <is>
          <t>No</t>
        </is>
      </c>
      <c r="B442" t="inlineStr">
        <is>
          <t>PE1670 .M67 1981</t>
        </is>
      </c>
      <c r="C442" t="inlineStr">
        <is>
          <t>0                      PE 1670000M  67          1981</t>
        </is>
      </c>
      <c r="D442" t="inlineStr">
        <is>
          <t>Le Mot juste : a dictionary of classical &amp; foreign words &amp; phrases / editorial panel, John Buchanan-Brown ... [et al.].</t>
        </is>
      </c>
      <c r="F442" t="inlineStr">
        <is>
          <t>No</t>
        </is>
      </c>
      <c r="G442" t="inlineStr">
        <is>
          <t>1</t>
        </is>
      </c>
      <c r="H442" t="inlineStr">
        <is>
          <t>No</t>
        </is>
      </c>
      <c r="I442" t="inlineStr">
        <is>
          <t>No</t>
        </is>
      </c>
      <c r="J442" t="inlineStr">
        <is>
          <t>0</t>
        </is>
      </c>
      <c r="L442" t="inlineStr">
        <is>
          <t>New York : Vintage Books, 1981, c1980.</t>
        </is>
      </c>
      <c r="M442" t="inlineStr">
        <is>
          <t>1981</t>
        </is>
      </c>
      <c r="N442" t="inlineStr">
        <is>
          <t>1st Vintage Books ed.</t>
        </is>
      </c>
      <c r="O442" t="inlineStr">
        <is>
          <t>eng</t>
        </is>
      </c>
      <c r="P442" t="inlineStr">
        <is>
          <t>nyu</t>
        </is>
      </c>
      <c r="R442" t="inlineStr">
        <is>
          <t xml:space="preserve">PE </t>
        </is>
      </c>
      <c r="S442" t="n">
        <v>1</v>
      </c>
      <c r="T442" t="n">
        <v>1</v>
      </c>
      <c r="U442" t="inlineStr">
        <is>
          <t>2008-06-25</t>
        </is>
      </c>
      <c r="V442" t="inlineStr">
        <is>
          <t>2008-06-25</t>
        </is>
      </c>
      <c r="W442" t="inlineStr">
        <is>
          <t>1993-04-27</t>
        </is>
      </c>
      <c r="X442" t="inlineStr">
        <is>
          <t>1993-04-27</t>
        </is>
      </c>
      <c r="Y442" t="n">
        <v>169</v>
      </c>
      <c r="Z442" t="n">
        <v>159</v>
      </c>
      <c r="AA442" t="n">
        <v>314</v>
      </c>
      <c r="AB442" t="n">
        <v>1</v>
      </c>
      <c r="AC442" t="n">
        <v>2</v>
      </c>
      <c r="AD442" t="n">
        <v>3</v>
      </c>
      <c r="AE442" t="n">
        <v>12</v>
      </c>
      <c r="AF442" t="n">
        <v>1</v>
      </c>
      <c r="AG442" t="n">
        <v>1</v>
      </c>
      <c r="AH442" t="n">
        <v>0</v>
      </c>
      <c r="AI442" t="n">
        <v>2</v>
      </c>
      <c r="AJ442" t="n">
        <v>1</v>
      </c>
      <c r="AK442" t="n">
        <v>2</v>
      </c>
      <c r="AL442" t="n">
        <v>0</v>
      </c>
      <c r="AM442" t="n">
        <v>1</v>
      </c>
      <c r="AN442" t="n">
        <v>1</v>
      </c>
      <c r="AO442" t="n">
        <v>7</v>
      </c>
      <c r="AP442" t="inlineStr">
        <is>
          <t>No</t>
        </is>
      </c>
      <c r="AQ442" t="inlineStr">
        <is>
          <t>Yes</t>
        </is>
      </c>
      <c r="AR442">
        <f>HYPERLINK("http://catalog.hathitrust.org/Record/000103520","HathiTrust Record")</f>
        <v/>
      </c>
      <c r="AS442">
        <f>HYPERLINK("https://creighton-primo.hosted.exlibrisgroup.com/primo-explore/search?tab=default_tab&amp;search_scope=EVERYTHING&amp;vid=01CRU&amp;lang=en_US&amp;offset=0&amp;query=any,contains,991005083219702656","Catalog Record")</f>
        <v/>
      </c>
      <c r="AT442">
        <f>HYPERLINK("http://www.worldcat.org/oclc/7175918","WorldCat Record")</f>
        <v/>
      </c>
      <c r="AU442" t="inlineStr">
        <is>
          <t>865289727:eng</t>
        </is>
      </c>
      <c r="AV442" t="inlineStr">
        <is>
          <t>7175918</t>
        </is>
      </c>
      <c r="AW442" t="inlineStr">
        <is>
          <t>991005083219702656</t>
        </is>
      </c>
      <c r="AX442" t="inlineStr">
        <is>
          <t>991005083219702656</t>
        </is>
      </c>
      <c r="AY442" t="inlineStr">
        <is>
          <t>2272307080002656</t>
        </is>
      </c>
      <c r="AZ442" t="inlineStr">
        <is>
          <t>BOOK</t>
        </is>
      </c>
      <c r="BB442" t="inlineStr">
        <is>
          <t>9780394746906</t>
        </is>
      </c>
      <c r="BC442" t="inlineStr">
        <is>
          <t>32285001647543</t>
        </is>
      </c>
      <c r="BD442" t="inlineStr">
        <is>
          <t>893619418</t>
        </is>
      </c>
    </row>
    <row r="443">
      <c r="A443" t="inlineStr">
        <is>
          <t>No</t>
        </is>
      </c>
      <c r="B443" t="inlineStr">
        <is>
          <t>PE1689 .A495 1993</t>
        </is>
      </c>
      <c r="C443" t="inlineStr">
        <is>
          <t>0                      PE 1689000A  495         1993</t>
        </is>
      </c>
      <c r="D443" t="inlineStr">
        <is>
          <t>Southpaws &amp; Sunday punches : and other sporting expressions / Christine Ammer.</t>
        </is>
      </c>
      <c r="F443" t="inlineStr">
        <is>
          <t>No</t>
        </is>
      </c>
      <c r="G443" t="inlineStr">
        <is>
          <t>1</t>
        </is>
      </c>
      <c r="H443" t="inlineStr">
        <is>
          <t>No</t>
        </is>
      </c>
      <c r="I443" t="inlineStr">
        <is>
          <t>No</t>
        </is>
      </c>
      <c r="J443" t="inlineStr">
        <is>
          <t>0</t>
        </is>
      </c>
      <c r="K443" t="inlineStr">
        <is>
          <t>Ammer, Christine.</t>
        </is>
      </c>
      <c r="L443" t="inlineStr">
        <is>
          <t>New York : Dutton, c1993.</t>
        </is>
      </c>
      <c r="M443" t="inlineStr">
        <is>
          <t>1993</t>
        </is>
      </c>
      <c r="O443" t="inlineStr">
        <is>
          <t>eng</t>
        </is>
      </c>
      <c r="P443" t="inlineStr">
        <is>
          <t>nyu</t>
        </is>
      </c>
      <c r="R443" t="inlineStr">
        <is>
          <t xml:space="preserve">PE </t>
        </is>
      </c>
      <c r="S443" t="n">
        <v>1</v>
      </c>
      <c r="T443" t="n">
        <v>1</v>
      </c>
      <c r="U443" t="inlineStr">
        <is>
          <t>2009-04-28</t>
        </is>
      </c>
      <c r="V443" t="inlineStr">
        <is>
          <t>2009-04-28</t>
        </is>
      </c>
      <c r="W443" t="inlineStr">
        <is>
          <t>2009-04-28</t>
        </is>
      </c>
      <c r="X443" t="inlineStr">
        <is>
          <t>2009-04-28</t>
        </is>
      </c>
      <c r="Y443" t="n">
        <v>153</v>
      </c>
      <c r="Z443" t="n">
        <v>145</v>
      </c>
      <c r="AA443" t="n">
        <v>168</v>
      </c>
      <c r="AB443" t="n">
        <v>2</v>
      </c>
      <c r="AC443" t="n">
        <v>2</v>
      </c>
      <c r="AD443" t="n">
        <v>3</v>
      </c>
      <c r="AE443" t="n">
        <v>3</v>
      </c>
      <c r="AF443" t="n">
        <v>0</v>
      </c>
      <c r="AG443" t="n">
        <v>0</v>
      </c>
      <c r="AH443" t="n">
        <v>1</v>
      </c>
      <c r="AI443" t="n">
        <v>1</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HYPERLINK("https://creighton-primo.hosted.exlibrisgroup.com/primo-explore/search?tab=default_tab&amp;search_scope=EVERYTHING&amp;vid=01CRU&amp;lang=en_US&amp;offset=0&amp;query=any,contains,991005314019702656","Catalog Record")</f>
        <v/>
      </c>
      <c r="AT443">
        <f>HYPERLINK("http://www.worldcat.org/oclc/28631169","WorldCat Record")</f>
        <v/>
      </c>
      <c r="AU443" t="inlineStr">
        <is>
          <t>30789376:eng</t>
        </is>
      </c>
      <c r="AV443" t="inlineStr">
        <is>
          <t>28631169</t>
        </is>
      </c>
      <c r="AW443" t="inlineStr">
        <is>
          <t>991005314019702656</t>
        </is>
      </c>
      <c r="AX443" t="inlineStr">
        <is>
          <t>991005314019702656</t>
        </is>
      </c>
      <c r="AY443" t="inlineStr">
        <is>
          <t>2268963450002656</t>
        </is>
      </c>
      <c r="AZ443" t="inlineStr">
        <is>
          <t>BOOK</t>
        </is>
      </c>
      <c r="BB443" t="inlineStr">
        <is>
          <t>9780525936473</t>
        </is>
      </c>
      <c r="BC443" t="inlineStr">
        <is>
          <t>32285005519243</t>
        </is>
      </c>
      <c r="BD443" t="inlineStr">
        <is>
          <t>893248710</t>
        </is>
      </c>
    </row>
    <row r="444">
      <c r="A444" t="inlineStr">
        <is>
          <t>No</t>
        </is>
      </c>
      <c r="B444" t="inlineStr">
        <is>
          <t>PE1689 .M234 2006</t>
        </is>
      </c>
      <c r="C444" t="inlineStr">
        <is>
          <t>0                      PE 1689000M  234         2006</t>
        </is>
      </c>
      <c r="D444" t="inlineStr">
        <is>
          <t>Green-eyed monsters &amp; good samaritans : literary allusions in everyday language / Leonard Mann.</t>
        </is>
      </c>
      <c r="F444" t="inlineStr">
        <is>
          <t>No</t>
        </is>
      </c>
      <c r="G444" t="inlineStr">
        <is>
          <t>1</t>
        </is>
      </c>
      <c r="H444" t="inlineStr">
        <is>
          <t>No</t>
        </is>
      </c>
      <c r="I444" t="inlineStr">
        <is>
          <t>No</t>
        </is>
      </c>
      <c r="J444" t="inlineStr">
        <is>
          <t>0</t>
        </is>
      </c>
      <c r="K444" t="inlineStr">
        <is>
          <t>Mann, Leonard.</t>
        </is>
      </c>
      <c r="L444" t="inlineStr">
        <is>
          <t>New York : McGraw-Hill, c2006.</t>
        </is>
      </c>
      <c r="M444" t="inlineStr">
        <is>
          <t>2006</t>
        </is>
      </c>
      <c r="O444" t="inlineStr">
        <is>
          <t>eng</t>
        </is>
      </c>
      <c r="P444" t="inlineStr">
        <is>
          <t>nyu</t>
        </is>
      </c>
      <c r="R444" t="inlineStr">
        <is>
          <t xml:space="preserve">PE </t>
        </is>
      </c>
      <c r="S444" t="n">
        <v>3</v>
      </c>
      <c r="T444" t="n">
        <v>3</v>
      </c>
      <c r="U444" t="inlineStr">
        <is>
          <t>2010-03-31</t>
        </is>
      </c>
      <c r="V444" t="inlineStr">
        <is>
          <t>2010-03-31</t>
        </is>
      </c>
      <c r="W444" t="inlineStr">
        <is>
          <t>2006-07-13</t>
        </is>
      </c>
      <c r="X444" t="inlineStr">
        <is>
          <t>2006-07-13</t>
        </is>
      </c>
      <c r="Y444" t="n">
        <v>255</v>
      </c>
      <c r="Z444" t="n">
        <v>219</v>
      </c>
      <c r="AA444" t="n">
        <v>219</v>
      </c>
      <c r="AB444" t="n">
        <v>3</v>
      </c>
      <c r="AC444" t="n">
        <v>3</v>
      </c>
      <c r="AD444" t="n">
        <v>6</v>
      </c>
      <c r="AE444" t="n">
        <v>6</v>
      </c>
      <c r="AF444" t="n">
        <v>1</v>
      </c>
      <c r="AG444" t="n">
        <v>1</v>
      </c>
      <c r="AH444" t="n">
        <v>2</v>
      </c>
      <c r="AI444" t="n">
        <v>2</v>
      </c>
      <c r="AJ444" t="n">
        <v>2</v>
      </c>
      <c r="AK444" t="n">
        <v>2</v>
      </c>
      <c r="AL444" t="n">
        <v>2</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HYPERLINK("https://creighton-primo.hosted.exlibrisgroup.com/primo-explore/search?tab=default_tab&amp;search_scope=EVERYTHING&amp;vid=01CRU&amp;lang=en_US&amp;offset=0&amp;query=any,contains,991004837749702656","Catalog Record")</f>
        <v/>
      </c>
      <c r="AT444">
        <f>HYPERLINK("http://www.worldcat.org/oclc/62085524","WorldCat Record")</f>
        <v/>
      </c>
      <c r="AU444" t="inlineStr">
        <is>
          <t>1219183923:eng</t>
        </is>
      </c>
      <c r="AV444" t="inlineStr">
        <is>
          <t>62085524</t>
        </is>
      </c>
      <c r="AW444" t="inlineStr">
        <is>
          <t>991004837749702656</t>
        </is>
      </c>
      <c r="AX444" t="inlineStr">
        <is>
          <t>991004837749702656</t>
        </is>
      </c>
      <c r="AY444" t="inlineStr">
        <is>
          <t>2270732210002656</t>
        </is>
      </c>
      <c r="AZ444" t="inlineStr">
        <is>
          <t>BOOK</t>
        </is>
      </c>
      <c r="BB444" t="inlineStr">
        <is>
          <t>9780071460835</t>
        </is>
      </c>
      <c r="BC444" t="inlineStr">
        <is>
          <t>32285005193924</t>
        </is>
      </c>
      <c r="BD444" t="inlineStr">
        <is>
          <t>893612832</t>
        </is>
      </c>
    </row>
    <row r="445">
      <c r="A445" t="inlineStr">
        <is>
          <t>No</t>
        </is>
      </c>
      <c r="B445" t="inlineStr">
        <is>
          <t>PE1689 .P73 1984</t>
        </is>
      </c>
      <c r="C445" t="inlineStr">
        <is>
          <t>0                      PE 1689000P  73          1984</t>
        </is>
      </c>
      <c r="D445" t="inlineStr">
        <is>
          <t>The creative writer's phrase-finder / by Edward Prestwood.</t>
        </is>
      </c>
      <c r="F445" t="inlineStr">
        <is>
          <t>No</t>
        </is>
      </c>
      <c r="G445" t="inlineStr">
        <is>
          <t>1</t>
        </is>
      </c>
      <c r="H445" t="inlineStr">
        <is>
          <t>No</t>
        </is>
      </c>
      <c r="I445" t="inlineStr">
        <is>
          <t>No</t>
        </is>
      </c>
      <c r="J445" t="inlineStr">
        <is>
          <t>0</t>
        </is>
      </c>
      <c r="K445" t="inlineStr">
        <is>
          <t>Prestwood, Edward, 1951-</t>
        </is>
      </c>
      <c r="L445" t="inlineStr">
        <is>
          <t>Palm Springs, CA : ETC Publications, c1984.</t>
        </is>
      </c>
      <c r="M445" t="inlineStr">
        <is>
          <t>1984</t>
        </is>
      </c>
      <c r="O445" t="inlineStr">
        <is>
          <t>eng</t>
        </is>
      </c>
      <c r="P445" t="inlineStr">
        <is>
          <t>cau</t>
        </is>
      </c>
      <c r="R445" t="inlineStr">
        <is>
          <t xml:space="preserve">PE </t>
        </is>
      </c>
      <c r="S445" t="n">
        <v>3</v>
      </c>
      <c r="T445" t="n">
        <v>3</v>
      </c>
      <c r="U445" t="inlineStr">
        <is>
          <t>2010-04-14</t>
        </is>
      </c>
      <c r="V445" t="inlineStr">
        <is>
          <t>2010-04-14</t>
        </is>
      </c>
      <c r="W445" t="inlineStr">
        <is>
          <t>1993-04-27</t>
        </is>
      </c>
      <c r="X445" t="inlineStr">
        <is>
          <t>1993-04-27</t>
        </is>
      </c>
      <c r="Y445" t="n">
        <v>102</v>
      </c>
      <c r="Z445" t="n">
        <v>92</v>
      </c>
      <c r="AA445" t="n">
        <v>98</v>
      </c>
      <c r="AB445" t="n">
        <v>3</v>
      </c>
      <c r="AC445" t="n">
        <v>3</v>
      </c>
      <c r="AD445" t="n">
        <v>0</v>
      </c>
      <c r="AE445" t="n">
        <v>0</v>
      </c>
      <c r="AF445" t="n">
        <v>0</v>
      </c>
      <c r="AG445" t="n">
        <v>0</v>
      </c>
      <c r="AH445" t="n">
        <v>0</v>
      </c>
      <c r="AI445" t="n">
        <v>0</v>
      </c>
      <c r="AJ445" t="n">
        <v>0</v>
      </c>
      <c r="AK445" t="n">
        <v>0</v>
      </c>
      <c r="AL445" t="n">
        <v>0</v>
      </c>
      <c r="AM445" t="n">
        <v>0</v>
      </c>
      <c r="AN445" t="n">
        <v>0</v>
      </c>
      <c r="AO445" t="n">
        <v>0</v>
      </c>
      <c r="AP445" t="inlineStr">
        <is>
          <t>No</t>
        </is>
      </c>
      <c r="AQ445" t="inlineStr">
        <is>
          <t>Yes</t>
        </is>
      </c>
      <c r="AR445">
        <f>HYPERLINK("http://catalog.hathitrust.org/Record/007010671","HathiTrust Record")</f>
        <v/>
      </c>
      <c r="AS445">
        <f>HYPERLINK("https://creighton-primo.hosted.exlibrisgroup.com/primo-explore/search?tab=default_tab&amp;search_scope=EVERYTHING&amp;vid=01CRU&amp;lang=en_US&amp;offset=0&amp;query=any,contains,991000182529702656","Catalog Record")</f>
        <v/>
      </c>
      <c r="AT445">
        <f>HYPERLINK("http://www.worldcat.org/oclc/9392426","WorldCat Record")</f>
        <v/>
      </c>
      <c r="AU445" t="inlineStr">
        <is>
          <t>43082007:eng</t>
        </is>
      </c>
      <c r="AV445" t="inlineStr">
        <is>
          <t>9392426</t>
        </is>
      </c>
      <c r="AW445" t="inlineStr">
        <is>
          <t>991000182529702656</t>
        </is>
      </c>
      <c r="AX445" t="inlineStr">
        <is>
          <t>991000182529702656</t>
        </is>
      </c>
      <c r="AY445" t="inlineStr">
        <is>
          <t>2268669090002656</t>
        </is>
      </c>
      <c r="AZ445" t="inlineStr">
        <is>
          <t>BOOK</t>
        </is>
      </c>
      <c r="BB445" t="inlineStr">
        <is>
          <t>9780882801049</t>
        </is>
      </c>
      <c r="BC445" t="inlineStr">
        <is>
          <t>32285001647568</t>
        </is>
      </c>
      <c r="BD445" t="inlineStr">
        <is>
          <t>893890494</t>
        </is>
      </c>
    </row>
    <row r="446">
      <c r="A446" t="inlineStr">
        <is>
          <t>No</t>
        </is>
      </c>
      <c r="B446" t="inlineStr">
        <is>
          <t>PE1711 .E5 1991</t>
        </is>
      </c>
      <c r="C446" t="inlineStr">
        <is>
          <t>0                      PE 1711000E  5           1991</t>
        </is>
      </c>
      <c r="D446" t="inlineStr">
        <is>
          <t>Dialects of English : studies in grammatical variation / edited by Peter Trudgill and J.K. Chambers.</t>
        </is>
      </c>
      <c r="F446" t="inlineStr">
        <is>
          <t>No</t>
        </is>
      </c>
      <c r="G446" t="inlineStr">
        <is>
          <t>1</t>
        </is>
      </c>
      <c r="H446" t="inlineStr">
        <is>
          <t>No</t>
        </is>
      </c>
      <c r="I446" t="inlineStr">
        <is>
          <t>No</t>
        </is>
      </c>
      <c r="J446" t="inlineStr">
        <is>
          <t>0</t>
        </is>
      </c>
      <c r="L446" t="inlineStr">
        <is>
          <t>London ; New York : Longman, 1991.</t>
        </is>
      </c>
      <c r="M446" t="inlineStr">
        <is>
          <t>1991</t>
        </is>
      </c>
      <c r="O446" t="inlineStr">
        <is>
          <t>eng</t>
        </is>
      </c>
      <c r="P446" t="inlineStr">
        <is>
          <t>enk</t>
        </is>
      </c>
      <c r="Q446" t="inlineStr">
        <is>
          <t>Longman linguistics library</t>
        </is>
      </c>
      <c r="R446" t="inlineStr">
        <is>
          <t xml:space="preserve">PE </t>
        </is>
      </c>
      <c r="S446" t="n">
        <v>6</v>
      </c>
      <c r="T446" t="n">
        <v>6</v>
      </c>
      <c r="U446" t="inlineStr">
        <is>
          <t>1994-09-29</t>
        </is>
      </c>
      <c r="V446" t="inlineStr">
        <is>
          <t>1994-09-29</t>
        </is>
      </c>
      <c r="W446" t="inlineStr">
        <is>
          <t>1992-02-13</t>
        </is>
      </c>
      <c r="X446" t="inlineStr">
        <is>
          <t>1992-02-13</t>
        </is>
      </c>
      <c r="Y446" t="n">
        <v>358</v>
      </c>
      <c r="Z446" t="n">
        <v>160</v>
      </c>
      <c r="AA446" t="n">
        <v>179</v>
      </c>
      <c r="AB446" t="n">
        <v>1</v>
      </c>
      <c r="AC446" t="n">
        <v>1</v>
      </c>
      <c r="AD446" t="n">
        <v>4</v>
      </c>
      <c r="AE446" t="n">
        <v>4</v>
      </c>
      <c r="AF446" t="n">
        <v>0</v>
      </c>
      <c r="AG446" t="n">
        <v>0</v>
      </c>
      <c r="AH446" t="n">
        <v>2</v>
      </c>
      <c r="AI446" t="n">
        <v>2</v>
      </c>
      <c r="AJ446" t="n">
        <v>4</v>
      </c>
      <c r="AK446" t="n">
        <v>4</v>
      </c>
      <c r="AL446" t="n">
        <v>0</v>
      </c>
      <c r="AM446" t="n">
        <v>0</v>
      </c>
      <c r="AN446" t="n">
        <v>0</v>
      </c>
      <c r="AO446" t="n">
        <v>0</v>
      </c>
      <c r="AP446" t="inlineStr">
        <is>
          <t>No</t>
        </is>
      </c>
      <c r="AQ446" t="inlineStr">
        <is>
          <t>Yes</t>
        </is>
      </c>
      <c r="AR446">
        <f>HYPERLINK("http://catalog.hathitrust.org/Record/002460680","HathiTrust Record")</f>
        <v/>
      </c>
      <c r="AS446">
        <f>HYPERLINK("https://creighton-primo.hosted.exlibrisgroup.com/primo-explore/search?tab=default_tab&amp;search_scope=EVERYTHING&amp;vid=01CRU&amp;lang=en_US&amp;offset=0&amp;query=any,contains,991001568459702656","Catalog Record")</f>
        <v/>
      </c>
      <c r="AT446">
        <f>HYPERLINK("http://www.worldcat.org/oclc/20357747","WorldCat Record")</f>
        <v/>
      </c>
      <c r="AU446" t="inlineStr">
        <is>
          <t>808110455:eng</t>
        </is>
      </c>
      <c r="AV446" t="inlineStr">
        <is>
          <t>20357747</t>
        </is>
      </c>
      <c r="AW446" t="inlineStr">
        <is>
          <t>991001568459702656</t>
        </is>
      </c>
      <c r="AX446" t="inlineStr">
        <is>
          <t>991001568459702656</t>
        </is>
      </c>
      <c r="AY446" t="inlineStr">
        <is>
          <t>2270504810002656</t>
        </is>
      </c>
      <c r="AZ446" t="inlineStr">
        <is>
          <t>BOOK</t>
        </is>
      </c>
      <c r="BB446" t="inlineStr">
        <is>
          <t>9780582021945</t>
        </is>
      </c>
      <c r="BC446" t="inlineStr">
        <is>
          <t>32285000935162</t>
        </is>
      </c>
      <c r="BD446" t="inlineStr">
        <is>
          <t>893626727</t>
        </is>
      </c>
    </row>
    <row r="447">
      <c r="A447" t="inlineStr">
        <is>
          <t>No</t>
        </is>
      </c>
      <c r="B447" t="inlineStr">
        <is>
          <t>PE1712 .H4</t>
        </is>
      </c>
      <c r="C447" t="inlineStr">
        <is>
          <t>0                      PE 1712000H  4</t>
        </is>
      </c>
      <c r="D447" t="inlineStr">
        <is>
          <t>Manual of foreign dialects for radio, stage and screen, by Lewis Herman and Marguerite Shalett Herman ...</t>
        </is>
      </c>
      <c r="F447" t="inlineStr">
        <is>
          <t>No</t>
        </is>
      </c>
      <c r="G447" t="inlineStr">
        <is>
          <t>1</t>
        </is>
      </c>
      <c r="H447" t="inlineStr">
        <is>
          <t>No</t>
        </is>
      </c>
      <c r="I447" t="inlineStr">
        <is>
          <t>No</t>
        </is>
      </c>
      <c r="J447" t="inlineStr">
        <is>
          <t>0</t>
        </is>
      </c>
      <c r="K447" t="inlineStr">
        <is>
          <t>Herman, Lewis, 1905-1966.</t>
        </is>
      </c>
      <c r="L447" t="inlineStr">
        <is>
          <t>Chicago, New York, Ziff-Davis Publishing Company [1943]</t>
        </is>
      </c>
      <c r="M447" t="inlineStr">
        <is>
          <t>1943</t>
        </is>
      </c>
      <c r="O447" t="inlineStr">
        <is>
          <t>eng</t>
        </is>
      </c>
      <c r="P447" t="inlineStr">
        <is>
          <t>nyu</t>
        </is>
      </c>
      <c r="R447" t="inlineStr">
        <is>
          <t xml:space="preserve">PE </t>
        </is>
      </c>
      <c r="S447" t="n">
        <v>4</v>
      </c>
      <c r="T447" t="n">
        <v>4</v>
      </c>
      <c r="U447" t="inlineStr">
        <is>
          <t>2010-04-16</t>
        </is>
      </c>
      <c r="V447" t="inlineStr">
        <is>
          <t>2010-04-16</t>
        </is>
      </c>
      <c r="W447" t="inlineStr">
        <is>
          <t>1997-09-26</t>
        </is>
      </c>
      <c r="X447" t="inlineStr">
        <is>
          <t>1997-09-26</t>
        </is>
      </c>
      <c r="Y447" t="n">
        <v>299</v>
      </c>
      <c r="Z447" t="n">
        <v>278</v>
      </c>
      <c r="AA447" t="n">
        <v>283</v>
      </c>
      <c r="AB447" t="n">
        <v>4</v>
      </c>
      <c r="AC447" t="n">
        <v>4</v>
      </c>
      <c r="AD447" t="n">
        <v>15</v>
      </c>
      <c r="AE447" t="n">
        <v>15</v>
      </c>
      <c r="AF447" t="n">
        <v>7</v>
      </c>
      <c r="AG447" t="n">
        <v>7</v>
      </c>
      <c r="AH447" t="n">
        <v>3</v>
      </c>
      <c r="AI447" t="n">
        <v>3</v>
      </c>
      <c r="AJ447" t="n">
        <v>6</v>
      </c>
      <c r="AK447" t="n">
        <v>6</v>
      </c>
      <c r="AL447" t="n">
        <v>2</v>
      </c>
      <c r="AM447" t="n">
        <v>2</v>
      </c>
      <c r="AN447" t="n">
        <v>0</v>
      </c>
      <c r="AO447" t="n">
        <v>0</v>
      </c>
      <c r="AP447" t="inlineStr">
        <is>
          <t>No</t>
        </is>
      </c>
      <c r="AQ447" t="inlineStr">
        <is>
          <t>Yes</t>
        </is>
      </c>
      <c r="AR447">
        <f>HYPERLINK("http://catalog.hathitrust.org/Record/001900168","HathiTrust Record")</f>
        <v/>
      </c>
      <c r="AS447">
        <f>HYPERLINK("https://creighton-primo.hosted.exlibrisgroup.com/primo-explore/search?tab=default_tab&amp;search_scope=EVERYTHING&amp;vid=01CRU&amp;lang=en_US&amp;offset=0&amp;query=any,contains,991003834069702656","Catalog Record")</f>
        <v/>
      </c>
      <c r="AT447">
        <f>HYPERLINK("http://www.worldcat.org/oclc/1598152","WorldCat Record")</f>
        <v/>
      </c>
      <c r="AU447" t="inlineStr">
        <is>
          <t>2591061569:eng</t>
        </is>
      </c>
      <c r="AV447" t="inlineStr">
        <is>
          <t>1598152</t>
        </is>
      </c>
      <c r="AW447" t="inlineStr">
        <is>
          <t>991003834069702656</t>
        </is>
      </c>
      <c r="AX447" t="inlineStr">
        <is>
          <t>991003834069702656</t>
        </is>
      </c>
      <c r="AY447" t="inlineStr">
        <is>
          <t>2264616970002656</t>
        </is>
      </c>
      <c r="AZ447" t="inlineStr">
        <is>
          <t>BOOK</t>
        </is>
      </c>
      <c r="BC447" t="inlineStr">
        <is>
          <t>32285003248811</t>
        </is>
      </c>
      <c r="BD447" t="inlineStr">
        <is>
          <t>893705682</t>
        </is>
      </c>
    </row>
    <row r="448">
      <c r="A448" t="inlineStr">
        <is>
          <t>No</t>
        </is>
      </c>
      <c r="B448" t="inlineStr">
        <is>
          <t>PE2274.G57 M33 2005</t>
        </is>
      </c>
      <c r="C448" t="inlineStr">
        <is>
          <t>0                      PE 2274000G  57                 M  33          2005</t>
        </is>
      </c>
      <c r="D448" t="inlineStr">
        <is>
          <t>Talk that counts : age, gender, and social class differences in discourse / Ronald K.S. Macaulay.</t>
        </is>
      </c>
      <c r="F448" t="inlineStr">
        <is>
          <t>No</t>
        </is>
      </c>
      <c r="G448" t="inlineStr">
        <is>
          <t>1</t>
        </is>
      </c>
      <c r="H448" t="inlineStr">
        <is>
          <t>No</t>
        </is>
      </c>
      <c r="I448" t="inlineStr">
        <is>
          <t>No</t>
        </is>
      </c>
      <c r="J448" t="inlineStr">
        <is>
          <t>0</t>
        </is>
      </c>
      <c r="K448" t="inlineStr">
        <is>
          <t>Macaulay, Ronald K. S.</t>
        </is>
      </c>
      <c r="L448" t="inlineStr">
        <is>
          <t>Oxford ; New York : Oxford University Press, 2005.</t>
        </is>
      </c>
      <c r="M448" t="inlineStr">
        <is>
          <t>2005</t>
        </is>
      </c>
      <c r="O448" t="inlineStr">
        <is>
          <t>eng</t>
        </is>
      </c>
      <c r="P448" t="inlineStr">
        <is>
          <t>enk</t>
        </is>
      </c>
      <c r="R448" t="inlineStr">
        <is>
          <t xml:space="preserve">PE </t>
        </is>
      </c>
      <c r="S448" t="n">
        <v>4</v>
      </c>
      <c r="T448" t="n">
        <v>4</v>
      </c>
      <c r="U448" t="inlineStr">
        <is>
          <t>2010-03-31</t>
        </is>
      </c>
      <c r="V448" t="inlineStr">
        <is>
          <t>2010-03-31</t>
        </is>
      </c>
      <c r="W448" t="inlineStr">
        <is>
          <t>2005-09-06</t>
        </is>
      </c>
      <c r="X448" t="inlineStr">
        <is>
          <t>2005-09-06</t>
        </is>
      </c>
      <c r="Y448" t="n">
        <v>291</v>
      </c>
      <c r="Z448" t="n">
        <v>220</v>
      </c>
      <c r="AA448" t="n">
        <v>512</v>
      </c>
      <c r="AB448" t="n">
        <v>1</v>
      </c>
      <c r="AC448" t="n">
        <v>16</v>
      </c>
      <c r="AD448" t="n">
        <v>8</v>
      </c>
      <c r="AE448" t="n">
        <v>23</v>
      </c>
      <c r="AF448" t="n">
        <v>5</v>
      </c>
      <c r="AG448" t="n">
        <v>7</v>
      </c>
      <c r="AH448" t="n">
        <v>2</v>
      </c>
      <c r="AI448" t="n">
        <v>6</v>
      </c>
      <c r="AJ448" t="n">
        <v>5</v>
      </c>
      <c r="AK448" t="n">
        <v>7</v>
      </c>
      <c r="AL448" t="n">
        <v>0</v>
      </c>
      <c r="AM448" t="n">
        <v>8</v>
      </c>
      <c r="AN448" t="n">
        <v>0</v>
      </c>
      <c r="AO448" t="n">
        <v>0</v>
      </c>
      <c r="AP448" t="inlineStr">
        <is>
          <t>No</t>
        </is>
      </c>
      <c r="AQ448" t="inlineStr">
        <is>
          <t>Yes</t>
        </is>
      </c>
      <c r="AR448">
        <f>HYPERLINK("http://catalog.hathitrust.org/Record/004936931","HathiTrust Record")</f>
        <v/>
      </c>
      <c r="AS448">
        <f>HYPERLINK("https://creighton-primo.hosted.exlibrisgroup.com/primo-explore/search?tab=default_tab&amp;search_scope=EVERYTHING&amp;vid=01CRU&amp;lang=en_US&amp;offset=0&amp;query=any,contains,991004611409702656","Catalog Record")</f>
        <v/>
      </c>
      <c r="AT448">
        <f>HYPERLINK("http://www.worldcat.org/oclc/53252787","WorldCat Record")</f>
        <v/>
      </c>
      <c r="AU448" t="inlineStr">
        <is>
          <t>801616443:eng</t>
        </is>
      </c>
      <c r="AV448" t="inlineStr">
        <is>
          <t>53252787</t>
        </is>
      </c>
      <c r="AW448" t="inlineStr">
        <is>
          <t>991004611409702656</t>
        </is>
      </c>
      <c r="AX448" t="inlineStr">
        <is>
          <t>991004611409702656</t>
        </is>
      </c>
      <c r="AY448" t="inlineStr">
        <is>
          <t>2266660100002656</t>
        </is>
      </c>
      <c r="AZ448" t="inlineStr">
        <is>
          <t>BOOK</t>
        </is>
      </c>
      <c r="BB448" t="inlineStr">
        <is>
          <t>9780195173819</t>
        </is>
      </c>
      <c r="BC448" t="inlineStr">
        <is>
          <t>32285005083109</t>
        </is>
      </c>
      <c r="BD448" t="inlineStr">
        <is>
          <t>893350199</t>
        </is>
      </c>
    </row>
    <row r="449">
      <c r="A449" t="inlineStr">
        <is>
          <t>No</t>
        </is>
      </c>
      <c r="B449" t="inlineStr">
        <is>
          <t>PE2402 .J7 1979</t>
        </is>
      </c>
      <c r="C449" t="inlineStr">
        <is>
          <t>0                      PE 2402000J  7           1979</t>
        </is>
      </c>
      <c r="D449" t="inlineStr">
        <is>
          <t>English as we speak it in Ireland / P. W. Joyce ; with an introd. by Terence Dolan.</t>
        </is>
      </c>
      <c r="F449" t="inlineStr">
        <is>
          <t>No</t>
        </is>
      </c>
      <c r="G449" t="inlineStr">
        <is>
          <t>1</t>
        </is>
      </c>
      <c r="H449" t="inlineStr">
        <is>
          <t>No</t>
        </is>
      </c>
      <c r="I449" t="inlineStr">
        <is>
          <t>No</t>
        </is>
      </c>
      <c r="J449" t="inlineStr">
        <is>
          <t>0</t>
        </is>
      </c>
      <c r="K449" t="inlineStr">
        <is>
          <t>Joyce, P. W. (Patrick Weston), 1827-1914.</t>
        </is>
      </c>
      <c r="L449" t="inlineStr">
        <is>
          <t>Dublin : Wolfhound Press, c1979.</t>
        </is>
      </c>
      <c r="M449" t="inlineStr">
        <is>
          <t>1979</t>
        </is>
      </c>
      <c r="O449" t="inlineStr">
        <is>
          <t>eng</t>
        </is>
      </c>
      <c r="P449" t="inlineStr">
        <is>
          <t xml:space="preserve">ie </t>
        </is>
      </c>
      <c r="R449" t="inlineStr">
        <is>
          <t xml:space="preserve">PE </t>
        </is>
      </c>
      <c r="S449" t="n">
        <v>1</v>
      </c>
      <c r="T449" t="n">
        <v>1</v>
      </c>
      <c r="U449" t="inlineStr">
        <is>
          <t>2003-04-07</t>
        </is>
      </c>
      <c r="V449" t="inlineStr">
        <is>
          <t>2003-04-07</t>
        </is>
      </c>
      <c r="W449" t="inlineStr">
        <is>
          <t>1993-04-27</t>
        </is>
      </c>
      <c r="X449" t="inlineStr">
        <is>
          <t>1993-04-27</t>
        </is>
      </c>
      <c r="Y449" t="n">
        <v>75</v>
      </c>
      <c r="Z449" t="n">
        <v>51</v>
      </c>
      <c r="AA449" t="n">
        <v>57</v>
      </c>
      <c r="AB449" t="n">
        <v>2</v>
      </c>
      <c r="AC449" t="n">
        <v>2</v>
      </c>
      <c r="AD449" t="n">
        <v>6</v>
      </c>
      <c r="AE449" t="n">
        <v>6</v>
      </c>
      <c r="AF449" t="n">
        <v>2</v>
      </c>
      <c r="AG449" t="n">
        <v>2</v>
      </c>
      <c r="AH449" t="n">
        <v>3</v>
      </c>
      <c r="AI449" t="n">
        <v>3</v>
      </c>
      <c r="AJ449" t="n">
        <v>4</v>
      </c>
      <c r="AK449" t="n">
        <v>4</v>
      </c>
      <c r="AL449" t="n">
        <v>1</v>
      </c>
      <c r="AM449" t="n">
        <v>1</v>
      </c>
      <c r="AN449" t="n">
        <v>0</v>
      </c>
      <c r="AO449" t="n">
        <v>0</v>
      </c>
      <c r="AP449" t="inlineStr">
        <is>
          <t>No</t>
        </is>
      </c>
      <c r="AQ449" t="inlineStr">
        <is>
          <t>Yes</t>
        </is>
      </c>
      <c r="AR449">
        <f>HYPERLINK("http://catalog.hathitrust.org/Record/010076003","HathiTrust Record")</f>
        <v/>
      </c>
      <c r="AS449">
        <f>HYPERLINK("https://creighton-primo.hosted.exlibrisgroup.com/primo-explore/search?tab=default_tab&amp;search_scope=EVERYTHING&amp;vid=01CRU&amp;lang=en_US&amp;offset=0&amp;query=any,contains,991004930839702656","Catalog Record")</f>
        <v/>
      </c>
      <c r="AT449">
        <f>HYPERLINK("http://www.worldcat.org/oclc/12107591","WorldCat Record")</f>
        <v/>
      </c>
      <c r="AU449" t="inlineStr">
        <is>
          <t>2070139743:eng</t>
        </is>
      </c>
      <c r="AV449" t="inlineStr">
        <is>
          <t>12107591</t>
        </is>
      </c>
      <c r="AW449" t="inlineStr">
        <is>
          <t>991004930839702656</t>
        </is>
      </c>
      <c r="AX449" t="inlineStr">
        <is>
          <t>991004930839702656</t>
        </is>
      </c>
      <c r="AY449" t="inlineStr">
        <is>
          <t>2260726250002656</t>
        </is>
      </c>
      <c r="AZ449" t="inlineStr">
        <is>
          <t>BOOK</t>
        </is>
      </c>
      <c r="BB449" t="inlineStr">
        <is>
          <t>9780905473277</t>
        </is>
      </c>
      <c r="BC449" t="inlineStr">
        <is>
          <t>32285001647592</t>
        </is>
      </c>
      <c r="BD449" t="inlineStr">
        <is>
          <t>893876717</t>
        </is>
      </c>
    </row>
    <row r="450">
      <c r="A450" t="inlineStr">
        <is>
          <t>No</t>
        </is>
      </c>
      <c r="B450" t="inlineStr">
        <is>
          <t>PE26.B65 M36 2000</t>
        </is>
      </c>
      <c r="C450" t="inlineStr">
        <is>
          <t>0                      PE 0026000B  65                 M  36          2000</t>
        </is>
      </c>
      <c r="D450" t="inlineStr">
        <is>
          <t>Manuscript, narrative, lexicon : essays on literary and cultural transmission in honor of Whitney F. Bolton / edited by Robert Boenig and Kathleen Davis.</t>
        </is>
      </c>
      <c r="F450" t="inlineStr">
        <is>
          <t>No</t>
        </is>
      </c>
      <c r="G450" t="inlineStr">
        <is>
          <t>1</t>
        </is>
      </c>
      <c r="H450" t="inlineStr">
        <is>
          <t>No</t>
        </is>
      </c>
      <c r="I450" t="inlineStr">
        <is>
          <t>No</t>
        </is>
      </c>
      <c r="J450" t="inlineStr">
        <is>
          <t>0</t>
        </is>
      </c>
      <c r="L450" t="inlineStr">
        <is>
          <t>Lewisburg, PA : Bucknell University Press ; London : Associated University Presses, c2000.</t>
        </is>
      </c>
      <c r="M450" t="inlineStr">
        <is>
          <t>2000</t>
        </is>
      </c>
      <c r="O450" t="inlineStr">
        <is>
          <t>eng</t>
        </is>
      </c>
      <c r="P450" t="inlineStr">
        <is>
          <t>pau</t>
        </is>
      </c>
      <c r="R450" t="inlineStr">
        <is>
          <t xml:space="preserve">PE </t>
        </is>
      </c>
      <c r="S450" t="n">
        <v>2</v>
      </c>
      <c r="T450" t="n">
        <v>2</v>
      </c>
      <c r="U450" t="inlineStr">
        <is>
          <t>2001-05-02</t>
        </is>
      </c>
      <c r="V450" t="inlineStr">
        <is>
          <t>2001-05-02</t>
        </is>
      </c>
      <c r="W450" t="inlineStr">
        <is>
          <t>2001-05-02</t>
        </is>
      </c>
      <c r="X450" t="inlineStr">
        <is>
          <t>2001-05-02</t>
        </is>
      </c>
      <c r="Y450" t="n">
        <v>219</v>
      </c>
      <c r="Z450" t="n">
        <v>173</v>
      </c>
      <c r="AA450" t="n">
        <v>175</v>
      </c>
      <c r="AB450" t="n">
        <v>2</v>
      </c>
      <c r="AC450" t="n">
        <v>2</v>
      </c>
      <c r="AD450" t="n">
        <v>8</v>
      </c>
      <c r="AE450" t="n">
        <v>8</v>
      </c>
      <c r="AF450" t="n">
        <v>1</v>
      </c>
      <c r="AG450" t="n">
        <v>1</v>
      </c>
      <c r="AH450" t="n">
        <v>4</v>
      </c>
      <c r="AI450" t="n">
        <v>4</v>
      </c>
      <c r="AJ450" t="n">
        <v>5</v>
      </c>
      <c r="AK450" t="n">
        <v>5</v>
      </c>
      <c r="AL450" t="n">
        <v>1</v>
      </c>
      <c r="AM450" t="n">
        <v>1</v>
      </c>
      <c r="AN450" t="n">
        <v>0</v>
      </c>
      <c r="AO450" t="n">
        <v>0</v>
      </c>
      <c r="AP450" t="inlineStr">
        <is>
          <t>No</t>
        </is>
      </c>
      <c r="AQ450" t="inlineStr">
        <is>
          <t>Yes</t>
        </is>
      </c>
      <c r="AR450">
        <f>HYPERLINK("http://catalog.hathitrust.org/Record/004117435","HathiTrust Record")</f>
        <v/>
      </c>
      <c r="AS450">
        <f>HYPERLINK("https://creighton-primo.hosted.exlibrisgroup.com/primo-explore/search?tab=default_tab&amp;search_scope=EVERYTHING&amp;vid=01CRU&amp;lang=en_US&amp;offset=0&amp;query=any,contains,991003514379702656","Catalog Record")</f>
        <v/>
      </c>
      <c r="AT450">
        <f>HYPERLINK("http://www.worldcat.org/oclc/42765308","WorldCat Record")</f>
        <v/>
      </c>
      <c r="AU450" t="inlineStr">
        <is>
          <t>366318724:eng</t>
        </is>
      </c>
      <c r="AV450" t="inlineStr">
        <is>
          <t>42765308</t>
        </is>
      </c>
      <c r="AW450" t="inlineStr">
        <is>
          <t>991003514379702656</t>
        </is>
      </c>
      <c r="AX450" t="inlineStr">
        <is>
          <t>991003514379702656</t>
        </is>
      </c>
      <c r="AY450" t="inlineStr">
        <is>
          <t>2268228620002656</t>
        </is>
      </c>
      <c r="AZ450" t="inlineStr">
        <is>
          <t>BOOK</t>
        </is>
      </c>
      <c r="BB450" t="inlineStr">
        <is>
          <t>9780838754405</t>
        </is>
      </c>
      <c r="BC450" t="inlineStr">
        <is>
          <t>32285004315809</t>
        </is>
      </c>
      <c r="BD450" t="inlineStr">
        <is>
          <t>893711431</t>
        </is>
      </c>
    </row>
    <row r="451">
      <c r="A451" t="inlineStr">
        <is>
          <t>No</t>
        </is>
      </c>
      <c r="B451" t="inlineStr">
        <is>
          <t>PE26.C37 O43 1992</t>
        </is>
      </c>
      <c r="C451" t="inlineStr">
        <is>
          <t>0                      PE 0026000C  37                 O  43          1992</t>
        </is>
      </c>
      <c r="D451" t="inlineStr">
        <is>
          <t>Old English and new : studies in language and linguistics in honor of Frederic G. Cassidy / edited by Joan H. Hall, Nick Doane, Dick Ringler.</t>
        </is>
      </c>
      <c r="F451" t="inlineStr">
        <is>
          <t>No</t>
        </is>
      </c>
      <c r="G451" t="inlineStr">
        <is>
          <t>1</t>
        </is>
      </c>
      <c r="H451" t="inlineStr">
        <is>
          <t>No</t>
        </is>
      </c>
      <c r="I451" t="inlineStr">
        <is>
          <t>No</t>
        </is>
      </c>
      <c r="J451" t="inlineStr">
        <is>
          <t>0</t>
        </is>
      </c>
      <c r="L451" t="inlineStr">
        <is>
          <t>New York : Garland Pub., 1992.</t>
        </is>
      </c>
      <c r="M451" t="inlineStr">
        <is>
          <t>1992</t>
        </is>
      </c>
      <c r="O451" t="inlineStr">
        <is>
          <t>eng</t>
        </is>
      </c>
      <c r="P451" t="inlineStr">
        <is>
          <t>nyu</t>
        </is>
      </c>
      <c r="Q451" t="inlineStr">
        <is>
          <t>Garland reference library of the humanities ; vol. 1652</t>
        </is>
      </c>
      <c r="R451" t="inlineStr">
        <is>
          <t xml:space="preserve">PE </t>
        </is>
      </c>
      <c r="S451" t="n">
        <v>2</v>
      </c>
      <c r="T451" t="n">
        <v>2</v>
      </c>
      <c r="U451" t="inlineStr">
        <is>
          <t>1997-12-01</t>
        </is>
      </c>
      <c r="V451" t="inlineStr">
        <is>
          <t>1997-12-01</t>
        </is>
      </c>
      <c r="W451" t="inlineStr">
        <is>
          <t>1994-03-11</t>
        </is>
      </c>
      <c r="X451" t="inlineStr">
        <is>
          <t>1994-03-11</t>
        </is>
      </c>
      <c r="Y451" t="n">
        <v>177</v>
      </c>
      <c r="Z451" t="n">
        <v>118</v>
      </c>
      <c r="AA451" t="n">
        <v>118</v>
      </c>
      <c r="AB451" t="n">
        <v>2</v>
      </c>
      <c r="AC451" t="n">
        <v>2</v>
      </c>
      <c r="AD451" t="n">
        <v>5</v>
      </c>
      <c r="AE451" t="n">
        <v>5</v>
      </c>
      <c r="AF451" t="n">
        <v>0</v>
      </c>
      <c r="AG451" t="n">
        <v>0</v>
      </c>
      <c r="AH451" t="n">
        <v>3</v>
      </c>
      <c r="AI451" t="n">
        <v>3</v>
      </c>
      <c r="AJ451" t="n">
        <v>2</v>
      </c>
      <c r="AK451" t="n">
        <v>2</v>
      </c>
      <c r="AL451" t="n">
        <v>1</v>
      </c>
      <c r="AM451" t="n">
        <v>1</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HYPERLINK("https://creighton-primo.hosted.exlibrisgroup.com/primo-explore/search?tab=default_tab&amp;search_scope=EVERYTHING&amp;vid=01CRU&amp;lang=en_US&amp;offset=0&amp;query=any,contains,991002043889702656","Catalog Record")</f>
        <v/>
      </c>
      <c r="AT451">
        <f>HYPERLINK("http://www.worldcat.org/oclc/26094590","WorldCat Record")</f>
        <v/>
      </c>
      <c r="AU451" t="inlineStr">
        <is>
          <t>836912274:eng</t>
        </is>
      </c>
      <c r="AV451" t="inlineStr">
        <is>
          <t>26094590</t>
        </is>
      </c>
      <c r="AW451" t="inlineStr">
        <is>
          <t>991002043889702656</t>
        </is>
      </c>
      <c r="AX451" t="inlineStr">
        <is>
          <t>991002043889702656</t>
        </is>
      </c>
      <c r="AY451" t="inlineStr">
        <is>
          <t>2269190220002656</t>
        </is>
      </c>
      <c r="AZ451" t="inlineStr">
        <is>
          <t>BOOK</t>
        </is>
      </c>
      <c r="BB451" t="inlineStr">
        <is>
          <t>9780815310860</t>
        </is>
      </c>
      <c r="BC451" t="inlineStr">
        <is>
          <t>32285001855088</t>
        </is>
      </c>
      <c r="BD451" t="inlineStr">
        <is>
          <t>893516828</t>
        </is>
      </c>
    </row>
    <row r="452">
      <c r="A452" t="inlineStr">
        <is>
          <t>No</t>
        </is>
      </c>
      <c r="B452" t="inlineStr">
        <is>
          <t>PE274 .B3 1985</t>
        </is>
      </c>
      <c r="C452" t="inlineStr">
        <is>
          <t>0                      PE 0274000B  3           1985</t>
        </is>
      </c>
      <c r="D452" t="inlineStr">
        <is>
          <t>Word-hoard : an introduction to Old English vocabulary / Stephen A. Barney.</t>
        </is>
      </c>
      <c r="F452" t="inlineStr">
        <is>
          <t>No</t>
        </is>
      </c>
      <c r="G452" t="inlineStr">
        <is>
          <t>1</t>
        </is>
      </c>
      <c r="H452" t="inlineStr">
        <is>
          <t>No</t>
        </is>
      </c>
      <c r="I452" t="inlineStr">
        <is>
          <t>No</t>
        </is>
      </c>
      <c r="J452" t="inlineStr">
        <is>
          <t>0</t>
        </is>
      </c>
      <c r="K452" t="inlineStr">
        <is>
          <t>Barney, Stephen A.</t>
        </is>
      </c>
      <c r="L452" t="inlineStr">
        <is>
          <t>New Haven : Yale University Press, c1985.</t>
        </is>
      </c>
      <c r="M452" t="inlineStr">
        <is>
          <t>1985</t>
        </is>
      </c>
      <c r="N452" t="inlineStr">
        <is>
          <t>2nd ed.</t>
        </is>
      </c>
      <c r="O452" t="inlineStr">
        <is>
          <t>eng</t>
        </is>
      </c>
      <c r="P452" t="inlineStr">
        <is>
          <t>ctu</t>
        </is>
      </c>
      <c r="Q452" t="inlineStr">
        <is>
          <t>Yale language series</t>
        </is>
      </c>
      <c r="R452" t="inlineStr">
        <is>
          <t xml:space="preserve">PE </t>
        </is>
      </c>
      <c r="S452" t="n">
        <v>1</v>
      </c>
      <c r="T452" t="n">
        <v>1</v>
      </c>
      <c r="U452" t="inlineStr">
        <is>
          <t>2006-09-14</t>
        </is>
      </c>
      <c r="V452" t="inlineStr">
        <is>
          <t>2006-09-14</t>
        </is>
      </c>
      <c r="W452" t="inlineStr">
        <is>
          <t>2006-09-14</t>
        </is>
      </c>
      <c r="X452" t="inlineStr">
        <is>
          <t>2006-09-14</t>
        </is>
      </c>
      <c r="Y452" t="n">
        <v>320</v>
      </c>
      <c r="Z452" t="n">
        <v>250</v>
      </c>
      <c r="AA452" t="n">
        <v>721</v>
      </c>
      <c r="AB452" t="n">
        <v>2</v>
      </c>
      <c r="AC452" t="n">
        <v>6</v>
      </c>
      <c r="AD452" t="n">
        <v>13</v>
      </c>
      <c r="AE452" t="n">
        <v>44</v>
      </c>
      <c r="AF452" t="n">
        <v>3</v>
      </c>
      <c r="AG452" t="n">
        <v>20</v>
      </c>
      <c r="AH452" t="n">
        <v>3</v>
      </c>
      <c r="AI452" t="n">
        <v>8</v>
      </c>
      <c r="AJ452" t="n">
        <v>11</v>
      </c>
      <c r="AK452" t="n">
        <v>21</v>
      </c>
      <c r="AL452" t="n">
        <v>1</v>
      </c>
      <c r="AM452" t="n">
        <v>5</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HYPERLINK("https://creighton-primo.hosted.exlibrisgroup.com/primo-explore/search?tab=default_tab&amp;search_scope=EVERYTHING&amp;vid=01CRU&amp;lang=en_US&amp;offset=0&amp;query=any,contains,991004920089702656","Catalog Record")</f>
        <v/>
      </c>
      <c r="AT452">
        <f>HYPERLINK("http://www.worldcat.org/oclc/12677383","WorldCat Record")</f>
        <v/>
      </c>
      <c r="AU452" t="inlineStr">
        <is>
          <t>836674836:eng</t>
        </is>
      </c>
      <c r="AV452" t="inlineStr">
        <is>
          <t>12677383</t>
        </is>
      </c>
      <c r="AW452" t="inlineStr">
        <is>
          <t>991004920089702656</t>
        </is>
      </c>
      <c r="AX452" t="inlineStr">
        <is>
          <t>991004920089702656</t>
        </is>
      </c>
      <c r="AY452" t="inlineStr">
        <is>
          <t>2270491110002656</t>
        </is>
      </c>
      <c r="AZ452" t="inlineStr">
        <is>
          <t>BOOK</t>
        </is>
      </c>
      <c r="BB452" t="inlineStr">
        <is>
          <t>9780300035063</t>
        </is>
      </c>
      <c r="BC452" t="inlineStr">
        <is>
          <t>32285005223788</t>
        </is>
      </c>
      <c r="BD452" t="inlineStr">
        <is>
          <t>893707000</t>
        </is>
      </c>
    </row>
    <row r="453">
      <c r="A453" t="inlineStr">
        <is>
          <t>No</t>
        </is>
      </c>
      <c r="B453" t="inlineStr">
        <is>
          <t>PE2751 .E56 1999</t>
        </is>
      </c>
      <c r="C453" t="inlineStr">
        <is>
          <t>0                      PE 2751000E  56          1999</t>
        </is>
      </c>
      <c r="D453" t="inlineStr">
        <is>
          <t>English : one language, different cultures / edited by Eddie Ronowicz and Colin Yallop.</t>
        </is>
      </c>
      <c r="F453" t="inlineStr">
        <is>
          <t>No</t>
        </is>
      </c>
      <c r="G453" t="inlineStr">
        <is>
          <t>1</t>
        </is>
      </c>
      <c r="H453" t="inlineStr">
        <is>
          <t>No</t>
        </is>
      </c>
      <c r="I453" t="inlineStr">
        <is>
          <t>No</t>
        </is>
      </c>
      <c r="J453" t="inlineStr">
        <is>
          <t>0</t>
        </is>
      </c>
      <c r="L453" t="inlineStr">
        <is>
          <t>London ; New York : Cassell, 1999.</t>
        </is>
      </c>
      <c r="M453" t="inlineStr">
        <is>
          <t>1999</t>
        </is>
      </c>
      <c r="O453" t="inlineStr">
        <is>
          <t>eng</t>
        </is>
      </c>
      <c r="P453" t="inlineStr">
        <is>
          <t>enk</t>
        </is>
      </c>
      <c r="R453" t="inlineStr">
        <is>
          <t xml:space="preserve">PE </t>
        </is>
      </c>
      <c r="S453" t="n">
        <v>4</v>
      </c>
      <c r="T453" t="n">
        <v>4</v>
      </c>
      <c r="U453" t="inlineStr">
        <is>
          <t>2001-04-08</t>
        </is>
      </c>
      <c r="V453" t="inlineStr">
        <is>
          <t>2001-04-08</t>
        </is>
      </c>
      <c r="W453" t="inlineStr">
        <is>
          <t>1999-12-15</t>
        </is>
      </c>
      <c r="X453" t="inlineStr">
        <is>
          <t>1999-12-15</t>
        </is>
      </c>
      <c r="Y453" t="n">
        <v>260</v>
      </c>
      <c r="Z453" t="n">
        <v>146</v>
      </c>
      <c r="AA453" t="n">
        <v>198</v>
      </c>
      <c r="AB453" t="n">
        <v>3</v>
      </c>
      <c r="AC453" t="n">
        <v>3</v>
      </c>
      <c r="AD453" t="n">
        <v>5</v>
      </c>
      <c r="AE453" t="n">
        <v>9</v>
      </c>
      <c r="AF453" t="n">
        <v>0</v>
      </c>
      <c r="AG453" t="n">
        <v>3</v>
      </c>
      <c r="AH453" t="n">
        <v>2</v>
      </c>
      <c r="AI453" t="n">
        <v>3</v>
      </c>
      <c r="AJ453" t="n">
        <v>3</v>
      </c>
      <c r="AK453" t="n">
        <v>4</v>
      </c>
      <c r="AL453" t="n">
        <v>2</v>
      </c>
      <c r="AM453" t="n">
        <v>2</v>
      </c>
      <c r="AN453" t="n">
        <v>0</v>
      </c>
      <c r="AO453" t="n">
        <v>0</v>
      </c>
      <c r="AP453" t="inlineStr">
        <is>
          <t>No</t>
        </is>
      </c>
      <c r="AQ453" t="inlineStr">
        <is>
          <t>Yes</t>
        </is>
      </c>
      <c r="AR453">
        <f>HYPERLINK("http://catalog.hathitrust.org/Record/004042776","HathiTrust Record")</f>
        <v/>
      </c>
      <c r="AS453">
        <f>HYPERLINK("https://creighton-primo.hosted.exlibrisgroup.com/primo-explore/search?tab=default_tab&amp;search_scope=EVERYTHING&amp;vid=01CRU&amp;lang=en_US&amp;offset=0&amp;query=any,contains,991003001129702656","Catalog Record")</f>
        <v/>
      </c>
      <c r="AT453">
        <f>HYPERLINK("http://www.worldcat.org/oclc/40660161","WorldCat Record")</f>
        <v/>
      </c>
      <c r="AU453" t="inlineStr">
        <is>
          <t>138879496:eng</t>
        </is>
      </c>
      <c r="AV453" t="inlineStr">
        <is>
          <t>40660161</t>
        </is>
      </c>
      <c r="AW453" t="inlineStr">
        <is>
          <t>991003001129702656</t>
        </is>
      </c>
      <c r="AX453" t="inlineStr">
        <is>
          <t>991003001129702656</t>
        </is>
      </c>
      <c r="AY453" t="inlineStr">
        <is>
          <t>2261774930002656</t>
        </is>
      </c>
      <c r="AZ453" t="inlineStr">
        <is>
          <t>BOOK</t>
        </is>
      </c>
      <c r="BB453" t="inlineStr">
        <is>
          <t>9780304701186</t>
        </is>
      </c>
      <c r="BC453" t="inlineStr">
        <is>
          <t>32285003633376</t>
        </is>
      </c>
      <c r="BD453" t="inlineStr">
        <is>
          <t>893899516</t>
        </is>
      </c>
    </row>
    <row r="454">
      <c r="A454" t="inlineStr">
        <is>
          <t>No</t>
        </is>
      </c>
      <c r="B454" t="inlineStr">
        <is>
          <t>PE2751 .M38 1998</t>
        </is>
      </c>
      <c r="C454" t="inlineStr">
        <is>
          <t>0                      PE 2751000M  38          1998</t>
        </is>
      </c>
      <c r="D454" t="inlineStr">
        <is>
          <t>The English languages / Tom McArthur.</t>
        </is>
      </c>
      <c r="F454" t="inlineStr">
        <is>
          <t>No</t>
        </is>
      </c>
      <c r="G454" t="inlineStr">
        <is>
          <t>1</t>
        </is>
      </c>
      <c r="H454" t="inlineStr">
        <is>
          <t>No</t>
        </is>
      </c>
      <c r="I454" t="inlineStr">
        <is>
          <t>No</t>
        </is>
      </c>
      <c r="J454" t="inlineStr">
        <is>
          <t>0</t>
        </is>
      </c>
      <c r="K454" t="inlineStr">
        <is>
          <t>McArthur, Tom (Thomas Burns)</t>
        </is>
      </c>
      <c r="L454" t="inlineStr">
        <is>
          <t>Cambridge, U.K. ; New York : Cambridge University Press, 1998.</t>
        </is>
      </c>
      <c r="M454" t="inlineStr">
        <is>
          <t>1998</t>
        </is>
      </c>
      <c r="O454" t="inlineStr">
        <is>
          <t>eng</t>
        </is>
      </c>
      <c r="P454" t="inlineStr">
        <is>
          <t>enk</t>
        </is>
      </c>
      <c r="R454" t="inlineStr">
        <is>
          <t xml:space="preserve">PE </t>
        </is>
      </c>
      <c r="S454" t="n">
        <v>1</v>
      </c>
      <c r="T454" t="n">
        <v>1</v>
      </c>
      <c r="U454" t="inlineStr">
        <is>
          <t>2000-12-06</t>
        </is>
      </c>
      <c r="V454" t="inlineStr">
        <is>
          <t>2000-12-06</t>
        </is>
      </c>
      <c r="W454" t="inlineStr">
        <is>
          <t>1998-06-24</t>
        </is>
      </c>
      <c r="X454" t="inlineStr">
        <is>
          <t>1998-06-24</t>
        </is>
      </c>
      <c r="Y454" t="n">
        <v>493</v>
      </c>
      <c r="Z454" t="n">
        <v>284</v>
      </c>
      <c r="AA454" t="n">
        <v>286</v>
      </c>
      <c r="AB454" t="n">
        <v>5</v>
      </c>
      <c r="AC454" t="n">
        <v>5</v>
      </c>
      <c r="AD454" t="n">
        <v>14</v>
      </c>
      <c r="AE454" t="n">
        <v>14</v>
      </c>
      <c r="AF454" t="n">
        <v>2</v>
      </c>
      <c r="AG454" t="n">
        <v>2</v>
      </c>
      <c r="AH454" t="n">
        <v>4</v>
      </c>
      <c r="AI454" t="n">
        <v>4</v>
      </c>
      <c r="AJ454" t="n">
        <v>7</v>
      </c>
      <c r="AK454" t="n">
        <v>7</v>
      </c>
      <c r="AL454" t="n">
        <v>4</v>
      </c>
      <c r="AM454" t="n">
        <v>4</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HYPERLINK("https://creighton-primo.hosted.exlibrisgroup.com/primo-explore/search?tab=default_tab&amp;search_scope=EVERYTHING&amp;vid=01CRU&amp;lang=en_US&amp;offset=0&amp;query=any,contains,991002864639702656","Catalog Record")</f>
        <v/>
      </c>
      <c r="AT454">
        <f>HYPERLINK("http://www.worldcat.org/oclc/37755224","WorldCat Record")</f>
        <v/>
      </c>
      <c r="AU454" t="inlineStr">
        <is>
          <t>138813905:eng</t>
        </is>
      </c>
      <c r="AV454" t="inlineStr">
        <is>
          <t>37755224</t>
        </is>
      </c>
      <c r="AW454" t="inlineStr">
        <is>
          <t>991002864639702656</t>
        </is>
      </c>
      <c r="AX454" t="inlineStr">
        <is>
          <t>991002864639702656</t>
        </is>
      </c>
      <c r="AY454" t="inlineStr">
        <is>
          <t>2262952730002656</t>
        </is>
      </c>
      <c r="AZ454" t="inlineStr">
        <is>
          <t>BOOK</t>
        </is>
      </c>
      <c r="BB454" t="inlineStr">
        <is>
          <t>9780521481304</t>
        </is>
      </c>
      <c r="BC454" t="inlineStr">
        <is>
          <t>32285003423422</t>
        </is>
      </c>
      <c r="BD454" t="inlineStr">
        <is>
          <t>893786657</t>
        </is>
      </c>
    </row>
    <row r="455">
      <c r="A455" t="inlineStr">
        <is>
          <t>No</t>
        </is>
      </c>
      <c r="B455" t="inlineStr">
        <is>
          <t>PE2751 .P46 1994</t>
        </is>
      </c>
      <c r="C455" t="inlineStr">
        <is>
          <t>0                      PE 2751000P  46          1994</t>
        </is>
      </c>
      <c r="D455" t="inlineStr">
        <is>
          <t>The cultural politics of English as an international language / Alastair Pennycook.</t>
        </is>
      </c>
      <c r="F455" t="inlineStr">
        <is>
          <t>No</t>
        </is>
      </c>
      <c r="G455" t="inlineStr">
        <is>
          <t>1</t>
        </is>
      </c>
      <c r="H455" t="inlineStr">
        <is>
          <t>No</t>
        </is>
      </c>
      <c r="I455" t="inlineStr">
        <is>
          <t>No</t>
        </is>
      </c>
      <c r="J455" t="inlineStr">
        <is>
          <t>0</t>
        </is>
      </c>
      <c r="K455" t="inlineStr">
        <is>
          <t>Pennycook, Alastair, 1957-</t>
        </is>
      </c>
      <c r="L455" t="inlineStr">
        <is>
          <t>London ; New York : Longman, 1994.</t>
        </is>
      </c>
      <c r="M455" t="inlineStr">
        <is>
          <t>1994</t>
        </is>
      </c>
      <c r="O455" t="inlineStr">
        <is>
          <t>eng</t>
        </is>
      </c>
      <c r="P455" t="inlineStr">
        <is>
          <t>enk</t>
        </is>
      </c>
      <c r="Q455" t="inlineStr">
        <is>
          <t>Language in social life series</t>
        </is>
      </c>
      <c r="R455" t="inlineStr">
        <is>
          <t xml:space="preserve">PE </t>
        </is>
      </c>
      <c r="S455" t="n">
        <v>4</v>
      </c>
      <c r="T455" t="n">
        <v>4</v>
      </c>
      <c r="U455" t="inlineStr">
        <is>
          <t>2001-04-08</t>
        </is>
      </c>
      <c r="V455" t="inlineStr">
        <is>
          <t>2001-04-08</t>
        </is>
      </c>
      <c r="W455" t="inlineStr">
        <is>
          <t>1998-03-24</t>
        </is>
      </c>
      <c r="X455" t="inlineStr">
        <is>
          <t>1998-03-24</t>
        </is>
      </c>
      <c r="Y455" t="n">
        <v>434</v>
      </c>
      <c r="Z455" t="n">
        <v>216</v>
      </c>
      <c r="AA455" t="n">
        <v>272</v>
      </c>
      <c r="AB455" t="n">
        <v>2</v>
      </c>
      <c r="AC455" t="n">
        <v>4</v>
      </c>
      <c r="AD455" t="n">
        <v>6</v>
      </c>
      <c r="AE455" t="n">
        <v>9</v>
      </c>
      <c r="AF455" t="n">
        <v>0</v>
      </c>
      <c r="AG455" t="n">
        <v>1</v>
      </c>
      <c r="AH455" t="n">
        <v>3</v>
      </c>
      <c r="AI455" t="n">
        <v>3</v>
      </c>
      <c r="AJ455" t="n">
        <v>4</v>
      </c>
      <c r="AK455" t="n">
        <v>4</v>
      </c>
      <c r="AL455" t="n">
        <v>1</v>
      </c>
      <c r="AM455" t="n">
        <v>3</v>
      </c>
      <c r="AN455" t="n">
        <v>0</v>
      </c>
      <c r="AO455" t="n">
        <v>0</v>
      </c>
      <c r="AP455" t="inlineStr">
        <is>
          <t>No</t>
        </is>
      </c>
      <c r="AQ455" t="inlineStr">
        <is>
          <t>Yes</t>
        </is>
      </c>
      <c r="AR455">
        <f>HYPERLINK("http://catalog.hathitrust.org/Record/002952290","HathiTrust Record")</f>
        <v/>
      </c>
      <c r="AS455">
        <f>HYPERLINK("https://creighton-primo.hosted.exlibrisgroup.com/primo-explore/search?tab=default_tab&amp;search_scope=EVERYTHING&amp;vid=01CRU&amp;lang=en_US&amp;offset=0&amp;query=any,contains,991002278339702656","Catalog Record")</f>
        <v/>
      </c>
      <c r="AT455">
        <f>HYPERLINK("http://www.worldcat.org/oclc/29549410","WorldCat Record")</f>
        <v/>
      </c>
      <c r="AU455" t="inlineStr">
        <is>
          <t>21008762:eng</t>
        </is>
      </c>
      <c r="AV455" t="inlineStr">
        <is>
          <t>29549410</t>
        </is>
      </c>
      <c r="AW455" t="inlineStr">
        <is>
          <t>991002278339702656</t>
        </is>
      </c>
      <c r="AX455" t="inlineStr">
        <is>
          <t>991002278339702656</t>
        </is>
      </c>
      <c r="AY455" t="inlineStr">
        <is>
          <t>2270337110002656</t>
        </is>
      </c>
      <c r="AZ455" t="inlineStr">
        <is>
          <t>BOOK</t>
        </is>
      </c>
      <c r="BB455" t="inlineStr">
        <is>
          <t>9780582234727</t>
        </is>
      </c>
      <c r="BC455" t="inlineStr">
        <is>
          <t>32285003359949</t>
        </is>
      </c>
      <c r="BD455" t="inlineStr">
        <is>
          <t>893703899</t>
        </is>
      </c>
    </row>
    <row r="456">
      <c r="A456" t="inlineStr">
        <is>
          <t>No</t>
        </is>
      </c>
      <c r="B456" t="inlineStr">
        <is>
          <t>PE2751 .P5 1992</t>
        </is>
      </c>
      <c r="C456" t="inlineStr">
        <is>
          <t>0                      PE 2751000P  5           1992</t>
        </is>
      </c>
      <c r="D456" t="inlineStr">
        <is>
          <t>Linguistic imperialism / Robert Phillipson.</t>
        </is>
      </c>
      <c r="F456" t="inlineStr">
        <is>
          <t>No</t>
        </is>
      </c>
      <c r="G456" t="inlineStr">
        <is>
          <t>1</t>
        </is>
      </c>
      <c r="H456" t="inlineStr">
        <is>
          <t>No</t>
        </is>
      </c>
      <c r="I456" t="inlineStr">
        <is>
          <t>No</t>
        </is>
      </c>
      <c r="J456" t="inlineStr">
        <is>
          <t>0</t>
        </is>
      </c>
      <c r="K456" t="inlineStr">
        <is>
          <t>Phillipson, Robert.</t>
        </is>
      </c>
      <c r="L456" t="inlineStr">
        <is>
          <t>Oxford [England] ; New York : Oxford University Press, 1992.</t>
        </is>
      </c>
      <c r="M456" t="inlineStr">
        <is>
          <t>1992</t>
        </is>
      </c>
      <c r="O456" t="inlineStr">
        <is>
          <t>eng</t>
        </is>
      </c>
      <c r="P456" t="inlineStr">
        <is>
          <t>enk</t>
        </is>
      </c>
      <c r="R456" t="inlineStr">
        <is>
          <t xml:space="preserve">PE </t>
        </is>
      </c>
      <c r="S456" t="n">
        <v>1</v>
      </c>
      <c r="T456" t="n">
        <v>1</v>
      </c>
      <c r="U456" t="inlineStr">
        <is>
          <t>2006-10-20</t>
        </is>
      </c>
      <c r="V456" t="inlineStr">
        <is>
          <t>2006-10-20</t>
        </is>
      </c>
      <c r="W456" t="inlineStr">
        <is>
          <t>2006-03-08</t>
        </is>
      </c>
      <c r="X456" t="inlineStr">
        <is>
          <t>2006-03-08</t>
        </is>
      </c>
      <c r="Y456" t="n">
        <v>513</v>
      </c>
      <c r="Z456" t="n">
        <v>247</v>
      </c>
      <c r="AA456" t="n">
        <v>252</v>
      </c>
      <c r="AB456" t="n">
        <v>4</v>
      </c>
      <c r="AC456" t="n">
        <v>4</v>
      </c>
      <c r="AD456" t="n">
        <v>17</v>
      </c>
      <c r="AE456" t="n">
        <v>17</v>
      </c>
      <c r="AF456" t="n">
        <v>3</v>
      </c>
      <c r="AG456" t="n">
        <v>3</v>
      </c>
      <c r="AH456" t="n">
        <v>4</v>
      </c>
      <c r="AI456" t="n">
        <v>4</v>
      </c>
      <c r="AJ456" t="n">
        <v>10</v>
      </c>
      <c r="AK456" t="n">
        <v>10</v>
      </c>
      <c r="AL456" t="n">
        <v>3</v>
      </c>
      <c r="AM456" t="n">
        <v>3</v>
      </c>
      <c r="AN456" t="n">
        <v>0</v>
      </c>
      <c r="AO456" t="n">
        <v>0</v>
      </c>
      <c r="AP456" t="inlineStr">
        <is>
          <t>No</t>
        </is>
      </c>
      <c r="AQ456" t="inlineStr">
        <is>
          <t>Yes</t>
        </is>
      </c>
      <c r="AR456">
        <f>HYPERLINK("http://catalog.hathitrust.org/Record/002561298","HathiTrust Record")</f>
        <v/>
      </c>
      <c r="AS456">
        <f>HYPERLINK("https://creighton-primo.hosted.exlibrisgroup.com/primo-explore/search?tab=default_tab&amp;search_scope=EVERYTHING&amp;vid=01CRU&amp;lang=en_US&amp;offset=0&amp;query=any,contains,991004762949702656","Catalog Record")</f>
        <v/>
      </c>
      <c r="AT456">
        <f>HYPERLINK("http://www.worldcat.org/oclc/30978070","WorldCat Record")</f>
        <v/>
      </c>
      <c r="AU456" t="inlineStr">
        <is>
          <t>33036907:eng</t>
        </is>
      </c>
      <c r="AV456" t="inlineStr">
        <is>
          <t>30978070</t>
        </is>
      </c>
      <c r="AW456" t="inlineStr">
        <is>
          <t>991004762949702656</t>
        </is>
      </c>
      <c r="AX456" t="inlineStr">
        <is>
          <t>991004762949702656</t>
        </is>
      </c>
      <c r="AY456" t="inlineStr">
        <is>
          <t>2266933000002656</t>
        </is>
      </c>
      <c r="AZ456" t="inlineStr">
        <is>
          <t>BOOK</t>
        </is>
      </c>
      <c r="BB456" t="inlineStr">
        <is>
          <t>9780194371469</t>
        </is>
      </c>
      <c r="BC456" t="inlineStr">
        <is>
          <t>32285005185805</t>
        </is>
      </c>
      <c r="BD456" t="inlineStr">
        <is>
          <t>893526471</t>
        </is>
      </c>
    </row>
    <row r="457">
      <c r="A457" t="inlineStr">
        <is>
          <t>No</t>
        </is>
      </c>
      <c r="B457" t="inlineStr">
        <is>
          <t>PE2808 .B3 1961</t>
        </is>
      </c>
      <c r="C457" t="inlineStr">
        <is>
          <t>0                      PE 2808000B  3           1961</t>
        </is>
      </c>
      <c r="D457" t="inlineStr">
        <is>
          <t>The ordeal of American English / ed. by C. Merton Babcock.</t>
        </is>
      </c>
      <c r="F457" t="inlineStr">
        <is>
          <t>No</t>
        </is>
      </c>
      <c r="G457" t="inlineStr">
        <is>
          <t>1</t>
        </is>
      </c>
      <c r="H457" t="inlineStr">
        <is>
          <t>No</t>
        </is>
      </c>
      <c r="I457" t="inlineStr">
        <is>
          <t>No</t>
        </is>
      </c>
      <c r="J457" t="inlineStr">
        <is>
          <t>0</t>
        </is>
      </c>
      <c r="K457" t="inlineStr">
        <is>
          <t>Babcock, C. Merton, 1908-1988 editor.</t>
        </is>
      </c>
      <c r="L457" t="inlineStr">
        <is>
          <t>Boston : Houghton Mifflin, [1961]</t>
        </is>
      </c>
      <c r="M457" t="inlineStr">
        <is>
          <t>1961</t>
        </is>
      </c>
      <c r="O457" t="inlineStr">
        <is>
          <t>eng</t>
        </is>
      </c>
      <c r="P457" t="inlineStr">
        <is>
          <t>___</t>
        </is>
      </c>
      <c r="Q457" t="inlineStr">
        <is>
          <t>Houghton Mifflin research series ; no. 9</t>
        </is>
      </c>
      <c r="R457" t="inlineStr">
        <is>
          <t xml:space="preserve">PE </t>
        </is>
      </c>
      <c r="S457" t="n">
        <v>2</v>
      </c>
      <c r="T457" t="n">
        <v>2</v>
      </c>
      <c r="U457" t="inlineStr">
        <is>
          <t>1993-12-06</t>
        </is>
      </c>
      <c r="V457" t="inlineStr">
        <is>
          <t>1993-12-06</t>
        </is>
      </c>
      <c r="W457" t="inlineStr">
        <is>
          <t>1993-04-27</t>
        </is>
      </c>
      <c r="X457" t="inlineStr">
        <is>
          <t>1993-04-27</t>
        </is>
      </c>
      <c r="Y457" t="n">
        <v>333</v>
      </c>
      <c r="Z457" t="n">
        <v>303</v>
      </c>
      <c r="AA457" t="n">
        <v>307</v>
      </c>
      <c r="AB457" t="n">
        <v>3</v>
      </c>
      <c r="AC457" t="n">
        <v>3</v>
      </c>
      <c r="AD457" t="n">
        <v>13</v>
      </c>
      <c r="AE457" t="n">
        <v>13</v>
      </c>
      <c r="AF457" t="n">
        <v>3</v>
      </c>
      <c r="AG457" t="n">
        <v>3</v>
      </c>
      <c r="AH457" t="n">
        <v>4</v>
      </c>
      <c r="AI457" t="n">
        <v>4</v>
      </c>
      <c r="AJ457" t="n">
        <v>6</v>
      </c>
      <c r="AK457" t="n">
        <v>6</v>
      </c>
      <c r="AL457" t="n">
        <v>2</v>
      </c>
      <c r="AM457" t="n">
        <v>2</v>
      </c>
      <c r="AN457" t="n">
        <v>0</v>
      </c>
      <c r="AO457" t="n">
        <v>0</v>
      </c>
      <c r="AP457" t="inlineStr">
        <is>
          <t>No</t>
        </is>
      </c>
      <c r="AQ457" t="inlineStr">
        <is>
          <t>No</t>
        </is>
      </c>
      <c r="AR457">
        <f>HYPERLINK("http://catalog.hathitrust.org/Record/001441175","HathiTrust Record")</f>
        <v/>
      </c>
      <c r="AS457">
        <f>HYPERLINK("https://creighton-primo.hosted.exlibrisgroup.com/primo-explore/search?tab=default_tab&amp;search_scope=EVERYTHING&amp;vid=01CRU&amp;lang=en_US&amp;offset=0&amp;query=any,contains,991002310099702656","Catalog Record")</f>
        <v/>
      </c>
      <c r="AT457">
        <f>HYPERLINK("http://www.worldcat.org/oclc/319434","WorldCat Record")</f>
        <v/>
      </c>
      <c r="AU457" t="inlineStr">
        <is>
          <t>1395212:eng</t>
        </is>
      </c>
      <c r="AV457" t="inlineStr">
        <is>
          <t>319434</t>
        </is>
      </c>
      <c r="AW457" t="inlineStr">
        <is>
          <t>991002310099702656</t>
        </is>
      </c>
      <c r="AX457" t="inlineStr">
        <is>
          <t>991002310099702656</t>
        </is>
      </c>
      <c r="AY457" t="inlineStr">
        <is>
          <t>2268352020002656</t>
        </is>
      </c>
      <c r="AZ457" t="inlineStr">
        <is>
          <t>BOOK</t>
        </is>
      </c>
      <c r="BC457" t="inlineStr">
        <is>
          <t>32285001647600</t>
        </is>
      </c>
      <c r="BD457" t="inlineStr">
        <is>
          <t>893341296</t>
        </is>
      </c>
    </row>
    <row r="458">
      <c r="A458" t="inlineStr">
        <is>
          <t>No</t>
        </is>
      </c>
      <c r="B458" t="inlineStr">
        <is>
          <t>PE2808 .M26 2005</t>
        </is>
      </c>
      <c r="C458" t="inlineStr">
        <is>
          <t>0                      PE 2808000M  26          2005</t>
        </is>
      </c>
      <c r="D458" t="inlineStr">
        <is>
          <t>Do you speak American? : a companion to the PBS television series / Robert MacNeil and William Cran.</t>
        </is>
      </c>
      <c r="F458" t="inlineStr">
        <is>
          <t>No</t>
        </is>
      </c>
      <c r="G458" t="inlineStr">
        <is>
          <t>1</t>
        </is>
      </c>
      <c r="H458" t="inlineStr">
        <is>
          <t>No</t>
        </is>
      </c>
      <c r="I458" t="inlineStr">
        <is>
          <t>No</t>
        </is>
      </c>
      <c r="J458" t="inlineStr">
        <is>
          <t>0</t>
        </is>
      </c>
      <c r="K458" t="inlineStr">
        <is>
          <t>MacNeil, Robert, 1931-</t>
        </is>
      </c>
      <c r="L458" t="inlineStr">
        <is>
          <t>New York : Nan A. Talese/Doubleday, 2005.</t>
        </is>
      </c>
      <c r="M458" t="inlineStr">
        <is>
          <t>2005</t>
        </is>
      </c>
      <c r="N458" t="inlineStr">
        <is>
          <t>1st ed.</t>
        </is>
      </c>
      <c r="O458" t="inlineStr">
        <is>
          <t>eng</t>
        </is>
      </c>
      <c r="P458" t="inlineStr">
        <is>
          <t>nyu</t>
        </is>
      </c>
      <c r="R458" t="inlineStr">
        <is>
          <t xml:space="preserve">PE </t>
        </is>
      </c>
      <c r="S458" t="n">
        <v>5</v>
      </c>
      <c r="T458" t="n">
        <v>5</v>
      </c>
      <c r="U458" t="inlineStr">
        <is>
          <t>2008-02-24</t>
        </is>
      </c>
      <c r="V458" t="inlineStr">
        <is>
          <t>2008-02-24</t>
        </is>
      </c>
      <c r="W458" t="inlineStr">
        <is>
          <t>2005-03-16</t>
        </is>
      </c>
      <c r="X458" t="inlineStr">
        <is>
          <t>2005-03-16</t>
        </is>
      </c>
      <c r="Y458" t="n">
        <v>1639</v>
      </c>
      <c r="Z458" t="n">
        <v>1589</v>
      </c>
      <c r="AA458" t="n">
        <v>1620</v>
      </c>
      <c r="AB458" t="n">
        <v>18</v>
      </c>
      <c r="AC458" t="n">
        <v>18</v>
      </c>
      <c r="AD458" t="n">
        <v>35</v>
      </c>
      <c r="AE458" t="n">
        <v>35</v>
      </c>
      <c r="AF458" t="n">
        <v>16</v>
      </c>
      <c r="AG458" t="n">
        <v>16</v>
      </c>
      <c r="AH458" t="n">
        <v>8</v>
      </c>
      <c r="AI458" t="n">
        <v>8</v>
      </c>
      <c r="AJ458" t="n">
        <v>12</v>
      </c>
      <c r="AK458" t="n">
        <v>12</v>
      </c>
      <c r="AL458" t="n">
        <v>7</v>
      </c>
      <c r="AM458" t="n">
        <v>7</v>
      </c>
      <c r="AN458" t="n">
        <v>0</v>
      </c>
      <c r="AO458" t="n">
        <v>0</v>
      </c>
      <c r="AP458" t="inlineStr">
        <is>
          <t>No</t>
        </is>
      </c>
      <c r="AQ458" t="inlineStr">
        <is>
          <t>Yes</t>
        </is>
      </c>
      <c r="AR458">
        <f>HYPERLINK("http://catalog.hathitrust.org/Record/004923751","HathiTrust Record")</f>
        <v/>
      </c>
      <c r="AS458">
        <f>HYPERLINK("https://creighton-primo.hosted.exlibrisgroup.com/primo-explore/search?tab=default_tab&amp;search_scope=EVERYTHING&amp;vid=01CRU&amp;lang=en_US&amp;offset=0&amp;query=any,contains,991004476919702656","Catalog Record")</f>
        <v/>
      </c>
      <c r="AT458">
        <f>HYPERLINK("http://www.worldcat.org/oclc/55877970","WorldCat Record")</f>
        <v/>
      </c>
      <c r="AU458" t="inlineStr">
        <is>
          <t>793977439:eng</t>
        </is>
      </c>
      <c r="AV458" t="inlineStr">
        <is>
          <t>55877970</t>
        </is>
      </c>
      <c r="AW458" t="inlineStr">
        <is>
          <t>991004476919702656</t>
        </is>
      </c>
      <c r="AX458" t="inlineStr">
        <is>
          <t>991004476919702656</t>
        </is>
      </c>
      <c r="AY458" t="inlineStr">
        <is>
          <t>2271409000002656</t>
        </is>
      </c>
      <c r="AZ458" t="inlineStr">
        <is>
          <t>BOOK</t>
        </is>
      </c>
      <c r="BB458" t="inlineStr">
        <is>
          <t>9780385511988</t>
        </is>
      </c>
      <c r="BC458" t="inlineStr">
        <is>
          <t>32285005042030</t>
        </is>
      </c>
      <c r="BD458" t="inlineStr">
        <is>
          <t>893706463</t>
        </is>
      </c>
    </row>
    <row r="459">
      <c r="A459" t="inlineStr">
        <is>
          <t>No</t>
        </is>
      </c>
      <c r="B459" t="inlineStr">
        <is>
          <t>PE2808 .M3 1980</t>
        </is>
      </c>
      <c r="C459" t="inlineStr">
        <is>
          <t>0                      PE 2808000M  3           1980</t>
        </is>
      </c>
      <c r="D459" t="inlineStr">
        <is>
          <t>American English / Albert H. Marckwardt ; revised by J.L. Dillard.</t>
        </is>
      </c>
      <c r="F459" t="inlineStr">
        <is>
          <t>No</t>
        </is>
      </c>
      <c r="G459" t="inlineStr">
        <is>
          <t>1</t>
        </is>
      </c>
      <c r="H459" t="inlineStr">
        <is>
          <t>No</t>
        </is>
      </c>
      <c r="I459" t="inlineStr">
        <is>
          <t>No</t>
        </is>
      </c>
      <c r="J459" t="inlineStr">
        <is>
          <t>0</t>
        </is>
      </c>
      <c r="K459" t="inlineStr">
        <is>
          <t>Marckwardt, Albert H. (Albert Henry), 1903-1975.</t>
        </is>
      </c>
      <c r="L459" t="inlineStr">
        <is>
          <t>New York : Oxford University Press, 1980.</t>
        </is>
      </c>
      <c r="M459" t="inlineStr">
        <is>
          <t>1980</t>
        </is>
      </c>
      <c r="N459" t="inlineStr">
        <is>
          <t>2nd ed.</t>
        </is>
      </c>
      <c r="O459" t="inlineStr">
        <is>
          <t>eng</t>
        </is>
      </c>
      <c r="P459" t="inlineStr">
        <is>
          <t>nyu</t>
        </is>
      </c>
      <c r="R459" t="inlineStr">
        <is>
          <t xml:space="preserve">PE </t>
        </is>
      </c>
      <c r="S459" t="n">
        <v>1</v>
      </c>
      <c r="T459" t="n">
        <v>1</v>
      </c>
      <c r="U459" t="inlineStr">
        <is>
          <t>2008-03-26</t>
        </is>
      </c>
      <c r="V459" t="inlineStr">
        <is>
          <t>2008-03-26</t>
        </is>
      </c>
      <c r="W459" t="inlineStr">
        <is>
          <t>2008-03-26</t>
        </is>
      </c>
      <c r="X459" t="inlineStr">
        <is>
          <t>2008-03-26</t>
        </is>
      </c>
      <c r="Y459" t="n">
        <v>871</v>
      </c>
      <c r="Z459" t="n">
        <v>729</v>
      </c>
      <c r="AA459" t="n">
        <v>1404</v>
      </c>
      <c r="AB459" t="n">
        <v>5</v>
      </c>
      <c r="AC459" t="n">
        <v>13</v>
      </c>
      <c r="AD459" t="n">
        <v>29</v>
      </c>
      <c r="AE459" t="n">
        <v>54</v>
      </c>
      <c r="AF459" t="n">
        <v>11</v>
      </c>
      <c r="AG459" t="n">
        <v>19</v>
      </c>
      <c r="AH459" t="n">
        <v>8</v>
      </c>
      <c r="AI459" t="n">
        <v>10</v>
      </c>
      <c r="AJ459" t="n">
        <v>13</v>
      </c>
      <c r="AK459" t="n">
        <v>25</v>
      </c>
      <c r="AL459" t="n">
        <v>4</v>
      </c>
      <c r="AM459" t="n">
        <v>12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HYPERLINK("https://creighton-primo.hosted.exlibrisgroup.com/primo-explore/search?tab=default_tab&amp;search_scope=EVERYTHING&amp;vid=01CRU&amp;lang=en_US&amp;offset=0&amp;query=any,contains,991005198039702656","Catalog Record")</f>
        <v/>
      </c>
      <c r="AT459">
        <f>HYPERLINK("http://www.worldcat.org/oclc/5894304","WorldCat Record")</f>
        <v/>
      </c>
      <c r="AU459" t="inlineStr">
        <is>
          <t>415056:eng</t>
        </is>
      </c>
      <c r="AV459" t="inlineStr">
        <is>
          <t>5894304</t>
        </is>
      </c>
      <c r="AW459" t="inlineStr">
        <is>
          <t>991005198039702656</t>
        </is>
      </c>
      <c r="AX459" t="inlineStr">
        <is>
          <t>991005198039702656</t>
        </is>
      </c>
      <c r="AY459" t="inlineStr">
        <is>
          <t>2264276000002656</t>
        </is>
      </c>
      <c r="AZ459" t="inlineStr">
        <is>
          <t>BOOK</t>
        </is>
      </c>
      <c r="BB459" t="inlineStr">
        <is>
          <t>9780195026009</t>
        </is>
      </c>
      <c r="BC459" t="inlineStr">
        <is>
          <t>32285005398994</t>
        </is>
      </c>
      <c r="BD459" t="inlineStr">
        <is>
          <t>893527079</t>
        </is>
      </c>
    </row>
    <row r="460">
      <c r="A460" t="inlineStr">
        <is>
          <t>No</t>
        </is>
      </c>
      <c r="B460" t="inlineStr">
        <is>
          <t>PE2808 .M43</t>
        </is>
      </c>
      <c r="C460" t="inlineStr">
        <is>
          <t>0                      PE 2808000M  43</t>
        </is>
      </c>
      <c r="D460" t="inlineStr">
        <is>
          <t>The American language : an inquiry into the development of English in the United States / the 4th ed. and the two supplements, abridged, with annotations and new material, by Raven I. McDavid, Jr. With the assistance of David W. Maurer.</t>
        </is>
      </c>
      <c r="F460" t="inlineStr">
        <is>
          <t>No</t>
        </is>
      </c>
      <c r="G460" t="inlineStr">
        <is>
          <t>1</t>
        </is>
      </c>
      <c r="H460" t="inlineStr">
        <is>
          <t>No</t>
        </is>
      </c>
      <c r="I460" t="inlineStr">
        <is>
          <t>Yes</t>
        </is>
      </c>
      <c r="J460" t="inlineStr">
        <is>
          <t>0</t>
        </is>
      </c>
      <c r="K460" t="inlineStr">
        <is>
          <t>Mencken, H. L. (Henry Louis), 1880-1956.</t>
        </is>
      </c>
      <c r="L460" t="inlineStr">
        <is>
          <t>New York : Knopf, 1963.</t>
        </is>
      </c>
      <c r="M460" t="inlineStr">
        <is>
          <t>1963</t>
        </is>
      </c>
      <c r="N460" t="inlineStr">
        <is>
          <t>[1st abridged ed.]</t>
        </is>
      </c>
      <c r="O460" t="inlineStr">
        <is>
          <t>eng</t>
        </is>
      </c>
      <c r="P460" t="inlineStr">
        <is>
          <t>nyu</t>
        </is>
      </c>
      <c r="R460" t="inlineStr">
        <is>
          <t xml:space="preserve">PE </t>
        </is>
      </c>
      <c r="S460" t="n">
        <v>2</v>
      </c>
      <c r="T460" t="n">
        <v>2</v>
      </c>
      <c r="U460" t="inlineStr">
        <is>
          <t>2005-06-26</t>
        </is>
      </c>
      <c r="V460" t="inlineStr">
        <is>
          <t>2005-06-26</t>
        </is>
      </c>
      <c r="W460" t="inlineStr">
        <is>
          <t>1993-04-12</t>
        </is>
      </c>
      <c r="X460" t="inlineStr">
        <is>
          <t>1993-04-12</t>
        </is>
      </c>
      <c r="Y460" t="n">
        <v>858</v>
      </c>
      <c r="Z460" t="n">
        <v>820</v>
      </c>
      <c r="AA460" t="n">
        <v>2835</v>
      </c>
      <c r="AB460" t="n">
        <v>8</v>
      </c>
      <c r="AC460" t="n">
        <v>30</v>
      </c>
      <c r="AD460" t="n">
        <v>25</v>
      </c>
      <c r="AE460" t="n">
        <v>67</v>
      </c>
      <c r="AF460" t="n">
        <v>11</v>
      </c>
      <c r="AG460" t="n">
        <v>27</v>
      </c>
      <c r="AH460" t="n">
        <v>5</v>
      </c>
      <c r="AI460" t="n">
        <v>10</v>
      </c>
      <c r="AJ460" t="n">
        <v>9</v>
      </c>
      <c r="AK460" t="n">
        <v>27</v>
      </c>
      <c r="AL460" t="n">
        <v>4</v>
      </c>
      <c r="AM460" t="n">
        <v>13</v>
      </c>
      <c r="AN460" t="n">
        <v>0</v>
      </c>
      <c r="AO460" t="n">
        <v>3</v>
      </c>
      <c r="AP460" t="inlineStr">
        <is>
          <t>No</t>
        </is>
      </c>
      <c r="AQ460" t="inlineStr">
        <is>
          <t>Yes</t>
        </is>
      </c>
      <c r="AR460">
        <f>HYPERLINK("http://catalog.hathitrust.org/Record/001183404","HathiTrust Record")</f>
        <v/>
      </c>
      <c r="AS460">
        <f>HYPERLINK("https://creighton-primo.hosted.exlibrisgroup.com/primo-explore/search?tab=default_tab&amp;search_scope=EVERYTHING&amp;vid=01CRU&amp;lang=en_US&amp;offset=0&amp;query=any,contains,991004768959702656","Catalog Record")</f>
        <v/>
      </c>
      <c r="AT460">
        <f>HYPERLINK("http://www.worldcat.org/oclc/5047109","WorldCat Record")</f>
        <v/>
      </c>
      <c r="AU460" t="inlineStr">
        <is>
          <t>4916466173:eng</t>
        </is>
      </c>
      <c r="AV460" t="inlineStr">
        <is>
          <t>5047109</t>
        </is>
      </c>
      <c r="AW460" t="inlineStr">
        <is>
          <t>991004768959702656</t>
        </is>
      </c>
      <c r="AX460" t="inlineStr">
        <is>
          <t>991004768959702656</t>
        </is>
      </c>
      <c r="AY460" t="inlineStr">
        <is>
          <t>2257297210002656</t>
        </is>
      </c>
      <c r="AZ460" t="inlineStr">
        <is>
          <t>BOOK</t>
        </is>
      </c>
      <c r="BC460" t="inlineStr">
        <is>
          <t>32285001615748</t>
        </is>
      </c>
      <c r="BD460" t="inlineStr">
        <is>
          <t>893520031</t>
        </is>
      </c>
    </row>
    <row r="461">
      <c r="A461" t="inlineStr">
        <is>
          <t>No</t>
        </is>
      </c>
      <c r="B461" t="inlineStr">
        <is>
          <t>PE2808 .S5</t>
        </is>
      </c>
      <c r="C461" t="inlineStr">
        <is>
          <t>0                      PE 2808000S  5</t>
        </is>
      </c>
      <c r="D461" t="inlineStr">
        <is>
          <t>Contemporary English; change and variation. Edited by David L. Shores.</t>
        </is>
      </c>
      <c r="F461" t="inlineStr">
        <is>
          <t>No</t>
        </is>
      </c>
      <c r="G461" t="inlineStr">
        <is>
          <t>1</t>
        </is>
      </c>
      <c r="H461" t="inlineStr">
        <is>
          <t>No</t>
        </is>
      </c>
      <c r="I461" t="inlineStr">
        <is>
          <t>No</t>
        </is>
      </c>
      <c r="J461" t="inlineStr">
        <is>
          <t>0</t>
        </is>
      </c>
      <c r="K461" t="inlineStr">
        <is>
          <t>Shores, David L. compiler.</t>
        </is>
      </c>
      <c r="L461" t="inlineStr">
        <is>
          <t>Philadelphia, Lippincott [1972]</t>
        </is>
      </c>
      <c r="M461" t="inlineStr">
        <is>
          <t>1972</t>
        </is>
      </c>
      <c r="O461" t="inlineStr">
        <is>
          <t>eng</t>
        </is>
      </c>
      <c r="P461" t="inlineStr">
        <is>
          <t>pau</t>
        </is>
      </c>
      <c r="R461" t="inlineStr">
        <is>
          <t xml:space="preserve">PE </t>
        </is>
      </c>
      <c r="S461" t="n">
        <v>1</v>
      </c>
      <c r="T461" t="n">
        <v>1</v>
      </c>
      <c r="U461" t="inlineStr">
        <is>
          <t>2005-06-26</t>
        </is>
      </c>
      <c r="V461" t="inlineStr">
        <is>
          <t>2005-06-26</t>
        </is>
      </c>
      <c r="W461" t="inlineStr">
        <is>
          <t>1997-09-26</t>
        </is>
      </c>
      <c r="X461" t="inlineStr">
        <is>
          <t>1997-09-26</t>
        </is>
      </c>
      <c r="Y461" t="n">
        <v>423</v>
      </c>
      <c r="Z461" t="n">
        <v>365</v>
      </c>
      <c r="AA461" t="n">
        <v>372</v>
      </c>
      <c r="AB461" t="n">
        <v>5</v>
      </c>
      <c r="AC461" t="n">
        <v>5</v>
      </c>
      <c r="AD461" t="n">
        <v>16</v>
      </c>
      <c r="AE461" t="n">
        <v>16</v>
      </c>
      <c r="AF461" t="n">
        <v>6</v>
      </c>
      <c r="AG461" t="n">
        <v>6</v>
      </c>
      <c r="AH461" t="n">
        <v>3</v>
      </c>
      <c r="AI461" t="n">
        <v>3</v>
      </c>
      <c r="AJ461" t="n">
        <v>9</v>
      </c>
      <c r="AK461" t="n">
        <v>9</v>
      </c>
      <c r="AL461" t="n">
        <v>4</v>
      </c>
      <c r="AM461" t="n">
        <v>4</v>
      </c>
      <c r="AN461" t="n">
        <v>0</v>
      </c>
      <c r="AO461" t="n">
        <v>0</v>
      </c>
      <c r="AP461" t="inlineStr">
        <is>
          <t>No</t>
        </is>
      </c>
      <c r="AQ461" t="inlineStr">
        <is>
          <t>Yes</t>
        </is>
      </c>
      <c r="AR461">
        <f>HYPERLINK("http://catalog.hathitrust.org/Record/001193672","HathiTrust Record")</f>
        <v/>
      </c>
      <c r="AS461">
        <f>HYPERLINK("https://creighton-primo.hosted.exlibrisgroup.com/primo-explore/search?tab=default_tab&amp;search_scope=EVERYTHING&amp;vid=01CRU&amp;lang=en_US&amp;offset=0&amp;query=any,contains,991004240179702656","Catalog Record")</f>
        <v/>
      </c>
      <c r="AT461">
        <f>HYPERLINK("http://www.worldcat.org/oclc/2780958","WorldCat Record")</f>
        <v/>
      </c>
      <c r="AU461" t="inlineStr">
        <is>
          <t>6102844:eng</t>
        </is>
      </c>
      <c r="AV461" t="inlineStr">
        <is>
          <t>2780958</t>
        </is>
      </c>
      <c r="AW461" t="inlineStr">
        <is>
          <t>991004240179702656</t>
        </is>
      </c>
      <c r="AX461" t="inlineStr">
        <is>
          <t>991004240179702656</t>
        </is>
      </c>
      <c r="AY461" t="inlineStr">
        <is>
          <t>2265559420002656</t>
        </is>
      </c>
      <c r="AZ461" t="inlineStr">
        <is>
          <t>BOOK</t>
        </is>
      </c>
      <c r="BB461" t="inlineStr">
        <is>
          <t>9780397472079</t>
        </is>
      </c>
      <c r="BC461" t="inlineStr">
        <is>
          <t>32285003248928</t>
        </is>
      </c>
      <c r="BD461" t="inlineStr">
        <is>
          <t>893442376</t>
        </is>
      </c>
    </row>
    <row r="462">
      <c r="A462" t="inlineStr">
        <is>
          <t>No</t>
        </is>
      </c>
      <c r="B462" t="inlineStr">
        <is>
          <t>PE2808 .W6</t>
        </is>
      </c>
      <c r="C462" t="inlineStr">
        <is>
          <t>0                      PE 2808000W  6</t>
        </is>
      </c>
      <c r="D462" t="inlineStr">
        <is>
          <t>The study of social dialects in American English / [by] Walt Wolfram [and] Ralph W. Fasold.</t>
        </is>
      </c>
      <c r="F462" t="inlineStr">
        <is>
          <t>No</t>
        </is>
      </c>
      <c r="G462" t="inlineStr">
        <is>
          <t>1</t>
        </is>
      </c>
      <c r="H462" t="inlineStr">
        <is>
          <t>No</t>
        </is>
      </c>
      <c r="I462" t="inlineStr">
        <is>
          <t>No</t>
        </is>
      </c>
      <c r="J462" t="inlineStr">
        <is>
          <t>0</t>
        </is>
      </c>
      <c r="K462" t="inlineStr">
        <is>
          <t>Wolfram, Walt, 1941-</t>
        </is>
      </c>
      <c r="L462" t="inlineStr">
        <is>
          <t>Englewood Cliffs, N.J., Prentice-Hall [1974]</t>
        </is>
      </c>
      <c r="M462" t="inlineStr">
        <is>
          <t>1974</t>
        </is>
      </c>
      <c r="O462" t="inlineStr">
        <is>
          <t>eng</t>
        </is>
      </c>
      <c r="P462" t="inlineStr">
        <is>
          <t>nju</t>
        </is>
      </c>
      <c r="R462" t="inlineStr">
        <is>
          <t xml:space="preserve">PE </t>
        </is>
      </c>
      <c r="S462" t="n">
        <v>7</v>
      </c>
      <c r="T462" t="n">
        <v>7</v>
      </c>
      <c r="U462" t="inlineStr">
        <is>
          <t>2004-04-15</t>
        </is>
      </c>
      <c r="V462" t="inlineStr">
        <is>
          <t>2004-04-15</t>
        </is>
      </c>
      <c r="W462" t="inlineStr">
        <is>
          <t>1997-09-10</t>
        </is>
      </c>
      <c r="X462" t="inlineStr">
        <is>
          <t>1997-09-10</t>
        </is>
      </c>
      <c r="Y462" t="n">
        <v>814</v>
      </c>
      <c r="Z462" t="n">
        <v>680</v>
      </c>
      <c r="AA462" t="n">
        <v>687</v>
      </c>
      <c r="AB462" t="n">
        <v>6</v>
      </c>
      <c r="AC462" t="n">
        <v>6</v>
      </c>
      <c r="AD462" t="n">
        <v>36</v>
      </c>
      <c r="AE462" t="n">
        <v>36</v>
      </c>
      <c r="AF462" t="n">
        <v>14</v>
      </c>
      <c r="AG462" t="n">
        <v>14</v>
      </c>
      <c r="AH462" t="n">
        <v>8</v>
      </c>
      <c r="AI462" t="n">
        <v>8</v>
      </c>
      <c r="AJ462" t="n">
        <v>16</v>
      </c>
      <c r="AK462" t="n">
        <v>16</v>
      </c>
      <c r="AL462" t="n">
        <v>5</v>
      </c>
      <c r="AM462" t="n">
        <v>5</v>
      </c>
      <c r="AN462" t="n">
        <v>0</v>
      </c>
      <c r="AO462" t="n">
        <v>0</v>
      </c>
      <c r="AP462" t="inlineStr">
        <is>
          <t>No</t>
        </is>
      </c>
      <c r="AQ462" t="inlineStr">
        <is>
          <t>Yes</t>
        </is>
      </c>
      <c r="AR462">
        <f>HYPERLINK("http://catalog.hathitrust.org/Record/000011963","HathiTrust Record")</f>
        <v/>
      </c>
      <c r="AS462">
        <f>HYPERLINK("https://creighton-primo.hosted.exlibrisgroup.com/primo-explore/search?tab=default_tab&amp;search_scope=EVERYTHING&amp;vid=01CRU&amp;lang=en_US&amp;offset=0&amp;query=any,contains,991003278719702656","Catalog Record")</f>
        <v/>
      </c>
      <c r="AT462">
        <f>HYPERLINK("http://www.worldcat.org/oclc/801686","WorldCat Record")</f>
        <v/>
      </c>
      <c r="AU462" t="inlineStr">
        <is>
          <t>412405:eng</t>
        </is>
      </c>
      <c r="AV462" t="inlineStr">
        <is>
          <t>801686</t>
        </is>
      </c>
      <c r="AW462" t="inlineStr">
        <is>
          <t>991003278719702656</t>
        </is>
      </c>
      <c r="AX462" t="inlineStr">
        <is>
          <t>991003278719702656</t>
        </is>
      </c>
      <c r="AY462" t="inlineStr">
        <is>
          <t>2270014550002656</t>
        </is>
      </c>
      <c r="AZ462" t="inlineStr">
        <is>
          <t>BOOK</t>
        </is>
      </c>
      <c r="BB462" t="inlineStr">
        <is>
          <t>9780138587871</t>
        </is>
      </c>
      <c r="BC462" t="inlineStr">
        <is>
          <t>32285003170395</t>
        </is>
      </c>
      <c r="BD462" t="inlineStr">
        <is>
          <t>893342415</t>
        </is>
      </c>
    </row>
    <row r="463">
      <c r="A463" t="inlineStr">
        <is>
          <t>No</t>
        </is>
      </c>
      <c r="B463" t="inlineStr">
        <is>
          <t>PE2808.2 .C3</t>
        </is>
      </c>
      <c r="C463" t="inlineStr">
        <is>
          <t>0                      PE 2808200C  3</t>
        </is>
      </c>
      <c r="D463" t="inlineStr">
        <is>
          <t>Dominance and language : a new perspective on sexism / Roberta W. Caldie.</t>
        </is>
      </c>
      <c r="F463" t="inlineStr">
        <is>
          <t>No</t>
        </is>
      </c>
      <c r="G463" t="inlineStr">
        <is>
          <t>1</t>
        </is>
      </c>
      <c r="H463" t="inlineStr">
        <is>
          <t>No</t>
        </is>
      </c>
      <c r="I463" t="inlineStr">
        <is>
          <t>No</t>
        </is>
      </c>
      <c r="J463" t="inlineStr">
        <is>
          <t>0</t>
        </is>
      </c>
      <c r="K463" t="inlineStr">
        <is>
          <t>Caldie, Roberta W.</t>
        </is>
      </c>
      <c r="L463" t="inlineStr">
        <is>
          <t>Washington, D.C. : University Press of America, c1981.</t>
        </is>
      </c>
      <c r="M463" t="inlineStr">
        <is>
          <t>1981</t>
        </is>
      </c>
      <c r="O463" t="inlineStr">
        <is>
          <t>eng</t>
        </is>
      </c>
      <c r="P463" t="inlineStr">
        <is>
          <t>dcu</t>
        </is>
      </c>
      <c r="R463" t="inlineStr">
        <is>
          <t xml:space="preserve">PE </t>
        </is>
      </c>
      <c r="S463" t="n">
        <v>3</v>
      </c>
      <c r="T463" t="n">
        <v>3</v>
      </c>
      <c r="U463" t="inlineStr">
        <is>
          <t>2004-04-05</t>
        </is>
      </c>
      <c r="V463" t="inlineStr">
        <is>
          <t>2004-04-05</t>
        </is>
      </c>
      <c r="W463" t="inlineStr">
        <is>
          <t>1993-04-12</t>
        </is>
      </c>
      <c r="X463" t="inlineStr">
        <is>
          <t>1993-04-12</t>
        </is>
      </c>
      <c r="Y463" t="n">
        <v>362</v>
      </c>
      <c r="Z463" t="n">
        <v>331</v>
      </c>
      <c r="AA463" t="n">
        <v>331</v>
      </c>
      <c r="AB463" t="n">
        <v>5</v>
      </c>
      <c r="AC463" t="n">
        <v>5</v>
      </c>
      <c r="AD463" t="n">
        <v>17</v>
      </c>
      <c r="AE463" t="n">
        <v>17</v>
      </c>
      <c r="AF463" t="n">
        <v>5</v>
      </c>
      <c r="AG463" t="n">
        <v>5</v>
      </c>
      <c r="AH463" t="n">
        <v>5</v>
      </c>
      <c r="AI463" t="n">
        <v>5</v>
      </c>
      <c r="AJ463" t="n">
        <v>7</v>
      </c>
      <c r="AK463" t="n">
        <v>7</v>
      </c>
      <c r="AL463" t="n">
        <v>4</v>
      </c>
      <c r="AM463" t="n">
        <v>4</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HYPERLINK("https://creighton-primo.hosted.exlibrisgroup.com/primo-explore/search?tab=default_tab&amp;search_scope=EVERYTHING&amp;vid=01CRU&amp;lang=en_US&amp;offset=0&amp;query=any,contains,991005177559702656","Catalog Record")</f>
        <v/>
      </c>
      <c r="AT463">
        <f>HYPERLINK("http://www.worldcat.org/oclc/7924948","WorldCat Record")</f>
        <v/>
      </c>
      <c r="AU463" t="inlineStr">
        <is>
          <t>198316551:eng</t>
        </is>
      </c>
      <c r="AV463" t="inlineStr">
        <is>
          <t>7924948</t>
        </is>
      </c>
      <c r="AW463" t="inlineStr">
        <is>
          <t>991005177559702656</t>
        </is>
      </c>
      <c r="AX463" t="inlineStr">
        <is>
          <t>991005177559702656</t>
        </is>
      </c>
      <c r="AY463" t="inlineStr">
        <is>
          <t>2270782220002656</t>
        </is>
      </c>
      <c r="AZ463" t="inlineStr">
        <is>
          <t>BOOK</t>
        </is>
      </c>
      <c r="BB463" t="inlineStr">
        <is>
          <t>9780819119667</t>
        </is>
      </c>
      <c r="BC463" t="inlineStr">
        <is>
          <t>32285004859723</t>
        </is>
      </c>
      <c r="BD463" t="inlineStr">
        <is>
          <t>893430995</t>
        </is>
      </c>
    </row>
    <row r="464">
      <c r="A464" t="inlineStr">
        <is>
          <t>No</t>
        </is>
      </c>
      <c r="B464" t="inlineStr">
        <is>
          <t>PE2808.8 .K68 2000</t>
        </is>
      </c>
      <c r="C464" t="inlineStr">
        <is>
          <t>0                      PE 2808800K  68          2000</t>
        </is>
      </c>
      <c r="D464" t="inlineStr">
        <is>
          <t>American English : an introduction / Zoltan Kovecses.</t>
        </is>
      </c>
      <c r="F464" t="inlineStr">
        <is>
          <t>No</t>
        </is>
      </c>
      <c r="G464" t="inlineStr">
        <is>
          <t>1</t>
        </is>
      </c>
      <c r="H464" t="inlineStr">
        <is>
          <t>No</t>
        </is>
      </c>
      <c r="I464" t="inlineStr">
        <is>
          <t>No</t>
        </is>
      </c>
      <c r="J464" t="inlineStr">
        <is>
          <t>0</t>
        </is>
      </c>
      <c r="K464" t="inlineStr">
        <is>
          <t>Kövecses, Zoltán.</t>
        </is>
      </c>
      <c r="L464" t="inlineStr">
        <is>
          <t>Peterborough, Ont. : Broadview Press, 2000.</t>
        </is>
      </c>
      <c r="M464" t="inlineStr">
        <is>
          <t>2000</t>
        </is>
      </c>
      <c r="O464" t="inlineStr">
        <is>
          <t>eng</t>
        </is>
      </c>
      <c r="P464" t="inlineStr">
        <is>
          <t>onc</t>
        </is>
      </c>
      <c r="R464" t="inlineStr">
        <is>
          <t xml:space="preserve">PE </t>
        </is>
      </c>
      <c r="S464" t="n">
        <v>5</v>
      </c>
      <c r="T464" t="n">
        <v>5</v>
      </c>
      <c r="U464" t="inlineStr">
        <is>
          <t>2008-02-24</t>
        </is>
      </c>
      <c r="V464" t="inlineStr">
        <is>
          <t>2008-02-24</t>
        </is>
      </c>
      <c r="W464" t="inlineStr">
        <is>
          <t>2002-06-04</t>
        </is>
      </c>
      <c r="X464" t="inlineStr">
        <is>
          <t>2002-06-04</t>
        </is>
      </c>
      <c r="Y464" t="n">
        <v>75</v>
      </c>
      <c r="Z464" t="n">
        <v>47</v>
      </c>
      <c r="AA464" t="n">
        <v>47</v>
      </c>
      <c r="AB464" t="n">
        <v>2</v>
      </c>
      <c r="AC464" t="n">
        <v>2</v>
      </c>
      <c r="AD464" t="n">
        <v>4</v>
      </c>
      <c r="AE464" t="n">
        <v>4</v>
      </c>
      <c r="AF464" t="n">
        <v>1</v>
      </c>
      <c r="AG464" t="n">
        <v>1</v>
      </c>
      <c r="AH464" t="n">
        <v>1</v>
      </c>
      <c r="AI464" t="n">
        <v>1</v>
      </c>
      <c r="AJ464" t="n">
        <v>3</v>
      </c>
      <c r="AK464" t="n">
        <v>3</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HYPERLINK("https://creighton-primo.hosted.exlibrisgroup.com/primo-explore/search?tab=default_tab&amp;search_scope=EVERYTHING&amp;vid=01CRU&amp;lang=en_US&amp;offset=0&amp;query=any,contains,991003791619702656","Catalog Record")</f>
        <v/>
      </c>
      <c r="AT464">
        <f>HYPERLINK("http://www.worldcat.org/oclc/46420064","WorldCat Record")</f>
        <v/>
      </c>
      <c r="AU464" t="inlineStr">
        <is>
          <t>368681620:eng</t>
        </is>
      </c>
      <c r="AV464" t="inlineStr">
        <is>
          <t>46420064</t>
        </is>
      </c>
      <c r="AW464" t="inlineStr">
        <is>
          <t>991003791619702656</t>
        </is>
      </c>
      <c r="AX464" t="inlineStr">
        <is>
          <t>991003791619702656</t>
        </is>
      </c>
      <c r="AY464" t="inlineStr">
        <is>
          <t>2260437550002656</t>
        </is>
      </c>
      <c r="AZ464" t="inlineStr">
        <is>
          <t>BOOK</t>
        </is>
      </c>
      <c r="BB464" t="inlineStr">
        <is>
          <t>9781551112299</t>
        </is>
      </c>
      <c r="BC464" t="inlineStr">
        <is>
          <t>32285004490453</t>
        </is>
      </c>
      <c r="BD464" t="inlineStr">
        <is>
          <t>893499712</t>
        </is>
      </c>
    </row>
    <row r="465">
      <c r="A465" t="inlineStr">
        <is>
          <t>No</t>
        </is>
      </c>
      <c r="B465" t="inlineStr">
        <is>
          <t>PE2808.8 .M38 2003</t>
        </is>
      </c>
      <c r="C465" t="inlineStr">
        <is>
          <t>0                      PE 2808800M  38          2003</t>
        </is>
      </c>
      <c r="D465" t="inlineStr">
        <is>
          <t>Doing our own thing : the degradation of language and music and why we should, like, care / John McWhorter.</t>
        </is>
      </c>
      <c r="F465" t="inlineStr">
        <is>
          <t>No</t>
        </is>
      </c>
      <c r="G465" t="inlineStr">
        <is>
          <t>1</t>
        </is>
      </c>
      <c r="H465" t="inlineStr">
        <is>
          <t>No</t>
        </is>
      </c>
      <c r="I465" t="inlineStr">
        <is>
          <t>No</t>
        </is>
      </c>
      <c r="J465" t="inlineStr">
        <is>
          <t>0</t>
        </is>
      </c>
      <c r="K465" t="inlineStr">
        <is>
          <t>McWhorter, John H.</t>
        </is>
      </c>
      <c r="L465" t="inlineStr">
        <is>
          <t>New York : Gotham Books, c2003.</t>
        </is>
      </c>
      <c r="M465" t="inlineStr">
        <is>
          <t>2003</t>
        </is>
      </c>
      <c r="O465" t="inlineStr">
        <is>
          <t>eng</t>
        </is>
      </c>
      <c r="P465" t="inlineStr">
        <is>
          <t>nyu</t>
        </is>
      </c>
      <c r="R465" t="inlineStr">
        <is>
          <t xml:space="preserve">PE </t>
        </is>
      </c>
      <c r="S465" t="n">
        <v>1</v>
      </c>
      <c r="T465" t="n">
        <v>1</v>
      </c>
      <c r="U465" t="inlineStr">
        <is>
          <t>2005-05-19</t>
        </is>
      </c>
      <c r="V465" t="inlineStr">
        <is>
          <t>2005-05-19</t>
        </is>
      </c>
      <c r="W465" t="inlineStr">
        <is>
          <t>2005-05-19</t>
        </is>
      </c>
      <c r="X465" t="inlineStr">
        <is>
          <t>2005-05-19</t>
        </is>
      </c>
      <c r="Y465" t="n">
        <v>1344</v>
      </c>
      <c r="Z465" t="n">
        <v>1267</v>
      </c>
      <c r="AA465" t="n">
        <v>1348</v>
      </c>
      <c r="AB465" t="n">
        <v>7</v>
      </c>
      <c r="AC465" t="n">
        <v>7</v>
      </c>
      <c r="AD465" t="n">
        <v>35</v>
      </c>
      <c r="AE465" t="n">
        <v>38</v>
      </c>
      <c r="AF465" t="n">
        <v>19</v>
      </c>
      <c r="AG465" t="n">
        <v>20</v>
      </c>
      <c r="AH465" t="n">
        <v>8</v>
      </c>
      <c r="AI465" t="n">
        <v>8</v>
      </c>
      <c r="AJ465" t="n">
        <v>14</v>
      </c>
      <c r="AK465" t="n">
        <v>16</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HYPERLINK("https://creighton-primo.hosted.exlibrisgroup.com/primo-explore/search?tab=default_tab&amp;search_scope=EVERYTHING&amp;vid=01CRU&amp;lang=en_US&amp;offset=0&amp;query=any,contains,991004535759702656","Catalog Record")</f>
        <v/>
      </c>
      <c r="AT465">
        <f>HYPERLINK("http://www.worldcat.org/oclc/53241560","WorldCat Record")</f>
        <v/>
      </c>
      <c r="AU465" t="inlineStr">
        <is>
          <t>862891884:eng</t>
        </is>
      </c>
      <c r="AV465" t="inlineStr">
        <is>
          <t>53241560</t>
        </is>
      </c>
      <c r="AW465" t="inlineStr">
        <is>
          <t>991004535759702656</t>
        </is>
      </c>
      <c r="AX465" t="inlineStr">
        <is>
          <t>991004535759702656</t>
        </is>
      </c>
      <c r="AY465" t="inlineStr">
        <is>
          <t>2262727920002656</t>
        </is>
      </c>
      <c r="AZ465" t="inlineStr">
        <is>
          <t>BOOK</t>
        </is>
      </c>
      <c r="BB465" t="inlineStr">
        <is>
          <t>9781592400164</t>
        </is>
      </c>
      <c r="BC465" t="inlineStr">
        <is>
          <t>32285005038657</t>
        </is>
      </c>
      <c r="BD465" t="inlineStr">
        <is>
          <t>893876219</t>
        </is>
      </c>
    </row>
    <row r="466">
      <c r="A466" t="inlineStr">
        <is>
          <t>No</t>
        </is>
      </c>
      <c r="B466" t="inlineStr">
        <is>
          <t>PE2808.8 .M39 1998</t>
        </is>
      </c>
      <c r="C466" t="inlineStr">
        <is>
          <t>0                      PE 2808800M  39          1998</t>
        </is>
      </c>
      <c r="D466" t="inlineStr">
        <is>
          <t>The word on the street : fact and fable about American English / John McWhorter.</t>
        </is>
      </c>
      <c r="F466" t="inlineStr">
        <is>
          <t>No</t>
        </is>
      </c>
      <c r="G466" t="inlineStr">
        <is>
          <t>1</t>
        </is>
      </c>
      <c r="H466" t="inlineStr">
        <is>
          <t>No</t>
        </is>
      </c>
      <c r="I466" t="inlineStr">
        <is>
          <t>No</t>
        </is>
      </c>
      <c r="J466" t="inlineStr">
        <is>
          <t>0</t>
        </is>
      </c>
      <c r="K466" t="inlineStr">
        <is>
          <t>McWhorter, John H.</t>
        </is>
      </c>
      <c r="L466" t="inlineStr">
        <is>
          <t>New York : Plenum Trade, c1998.</t>
        </is>
      </c>
      <c r="M466" t="inlineStr">
        <is>
          <t>1998</t>
        </is>
      </c>
      <c r="O466" t="inlineStr">
        <is>
          <t>eng</t>
        </is>
      </c>
      <c r="P466" t="inlineStr">
        <is>
          <t>nyu</t>
        </is>
      </c>
      <c r="R466" t="inlineStr">
        <is>
          <t xml:space="preserve">PE </t>
        </is>
      </c>
      <c r="S466" t="n">
        <v>7</v>
      </c>
      <c r="T466" t="n">
        <v>7</v>
      </c>
      <c r="U466" t="inlineStr">
        <is>
          <t>2005-09-29</t>
        </is>
      </c>
      <c r="V466" t="inlineStr">
        <is>
          <t>2005-09-29</t>
        </is>
      </c>
      <c r="W466" t="inlineStr">
        <is>
          <t>1999-04-07</t>
        </is>
      </c>
      <c r="X466" t="inlineStr">
        <is>
          <t>1999-04-07</t>
        </is>
      </c>
      <c r="Y466" t="n">
        <v>675</v>
      </c>
      <c r="Z466" t="n">
        <v>630</v>
      </c>
      <c r="AA466" t="n">
        <v>798</v>
      </c>
      <c r="AB466" t="n">
        <v>5</v>
      </c>
      <c r="AC466" t="n">
        <v>6</v>
      </c>
      <c r="AD466" t="n">
        <v>19</v>
      </c>
      <c r="AE466" t="n">
        <v>28</v>
      </c>
      <c r="AF466" t="n">
        <v>5</v>
      </c>
      <c r="AG466" t="n">
        <v>10</v>
      </c>
      <c r="AH466" t="n">
        <v>5</v>
      </c>
      <c r="AI466" t="n">
        <v>5</v>
      </c>
      <c r="AJ466" t="n">
        <v>9</v>
      </c>
      <c r="AK466" t="n">
        <v>13</v>
      </c>
      <c r="AL466" t="n">
        <v>4</v>
      </c>
      <c r="AM466" t="n">
        <v>5</v>
      </c>
      <c r="AN466" t="n">
        <v>0</v>
      </c>
      <c r="AO466" t="n">
        <v>0</v>
      </c>
      <c r="AP466" t="inlineStr">
        <is>
          <t>No</t>
        </is>
      </c>
      <c r="AQ466" t="inlineStr">
        <is>
          <t>Yes</t>
        </is>
      </c>
      <c r="AR466">
        <f>HYPERLINK("http://catalog.hathitrust.org/Record/003993557","HathiTrust Record")</f>
        <v/>
      </c>
      <c r="AS466">
        <f>HYPERLINK("https://creighton-primo.hosted.exlibrisgroup.com/primo-explore/search?tab=default_tab&amp;search_scope=EVERYTHING&amp;vid=01CRU&amp;lang=en_US&amp;offset=0&amp;query=any,contains,991002947869702656","Catalog Record")</f>
        <v/>
      </c>
      <c r="AT466">
        <f>HYPERLINK("http://www.worldcat.org/oclc/39269658","WorldCat Record")</f>
        <v/>
      </c>
      <c r="AU466" t="inlineStr">
        <is>
          <t>20597468:eng</t>
        </is>
      </c>
      <c r="AV466" t="inlineStr">
        <is>
          <t>39269658</t>
        </is>
      </c>
      <c r="AW466" t="inlineStr">
        <is>
          <t>991002947869702656</t>
        </is>
      </c>
      <c r="AX466" t="inlineStr">
        <is>
          <t>991002947869702656</t>
        </is>
      </c>
      <c r="AY466" t="inlineStr">
        <is>
          <t>2260349250002656</t>
        </is>
      </c>
      <c r="AZ466" t="inlineStr">
        <is>
          <t>BOOK</t>
        </is>
      </c>
      <c r="BB466" t="inlineStr">
        <is>
          <t>9780306459948</t>
        </is>
      </c>
      <c r="BC466" t="inlineStr">
        <is>
          <t>32285003549150</t>
        </is>
      </c>
      <c r="BD466" t="inlineStr">
        <is>
          <t>893421988</t>
        </is>
      </c>
    </row>
    <row r="467">
      <c r="A467" t="inlineStr">
        <is>
          <t>No</t>
        </is>
      </c>
      <c r="B467" t="inlineStr">
        <is>
          <t>PE2808.8 .M48 2000</t>
        </is>
      </c>
      <c r="C467" t="inlineStr">
        <is>
          <t>0                      PE 2808800M  48          2000</t>
        </is>
      </c>
      <c r="D467" t="inlineStr">
        <is>
          <t>How we talk : American regional English today / Allan Metcalf.</t>
        </is>
      </c>
      <c r="F467" t="inlineStr">
        <is>
          <t>No</t>
        </is>
      </c>
      <c r="G467" t="inlineStr">
        <is>
          <t>1</t>
        </is>
      </c>
      <c r="H467" t="inlineStr">
        <is>
          <t>No</t>
        </is>
      </c>
      <c r="I467" t="inlineStr">
        <is>
          <t>No</t>
        </is>
      </c>
      <c r="J467" t="inlineStr">
        <is>
          <t>0</t>
        </is>
      </c>
      <c r="K467" t="inlineStr">
        <is>
          <t>Metcalf, Allan A.</t>
        </is>
      </c>
      <c r="L467" t="inlineStr">
        <is>
          <t>Boston : Houghton Mifflin, c2000.</t>
        </is>
      </c>
      <c r="M467" t="inlineStr">
        <is>
          <t>2000</t>
        </is>
      </c>
      <c r="O467" t="inlineStr">
        <is>
          <t>eng</t>
        </is>
      </c>
      <c r="P467" t="inlineStr">
        <is>
          <t>mau</t>
        </is>
      </c>
      <c r="R467" t="inlineStr">
        <is>
          <t xml:space="preserve">PE </t>
        </is>
      </c>
      <c r="S467" t="n">
        <v>12</v>
      </c>
      <c r="T467" t="n">
        <v>12</v>
      </c>
      <c r="U467" t="inlineStr">
        <is>
          <t>2008-02-24</t>
        </is>
      </c>
      <c r="V467" t="inlineStr">
        <is>
          <t>2008-02-24</t>
        </is>
      </c>
      <c r="W467" t="inlineStr">
        <is>
          <t>2000-12-05</t>
        </is>
      </c>
      <c r="X467" t="inlineStr">
        <is>
          <t>2000-12-05</t>
        </is>
      </c>
      <c r="Y467" t="n">
        <v>675</v>
      </c>
      <c r="Z467" t="n">
        <v>641</v>
      </c>
      <c r="AA467" t="n">
        <v>818</v>
      </c>
      <c r="AB467" t="n">
        <v>9</v>
      </c>
      <c r="AC467" t="n">
        <v>9</v>
      </c>
      <c r="AD467" t="n">
        <v>22</v>
      </c>
      <c r="AE467" t="n">
        <v>30</v>
      </c>
      <c r="AF467" t="n">
        <v>7</v>
      </c>
      <c r="AG467" t="n">
        <v>12</v>
      </c>
      <c r="AH467" t="n">
        <v>5</v>
      </c>
      <c r="AI467" t="n">
        <v>6</v>
      </c>
      <c r="AJ467" t="n">
        <v>12</v>
      </c>
      <c r="AK467" t="n">
        <v>14</v>
      </c>
      <c r="AL467" t="n">
        <v>6</v>
      </c>
      <c r="AM467" t="n">
        <v>6</v>
      </c>
      <c r="AN467" t="n">
        <v>0</v>
      </c>
      <c r="AO467" t="n">
        <v>0</v>
      </c>
      <c r="AP467" t="inlineStr">
        <is>
          <t>No</t>
        </is>
      </c>
      <c r="AQ467" t="inlineStr">
        <is>
          <t>Yes</t>
        </is>
      </c>
      <c r="AR467">
        <f>HYPERLINK("http://catalog.hathitrust.org/Record/004131441","HathiTrust Record")</f>
        <v/>
      </c>
      <c r="AS467">
        <f>HYPERLINK("https://creighton-primo.hosted.exlibrisgroup.com/primo-explore/search?tab=default_tab&amp;search_scope=EVERYTHING&amp;vid=01CRU&amp;lang=en_US&amp;offset=0&amp;query=any,contains,991003347699702656","Catalog Record")</f>
        <v/>
      </c>
      <c r="AT467">
        <f>HYPERLINK("http://www.worldcat.org/oclc/44683508","WorldCat Record")</f>
        <v/>
      </c>
      <c r="AU467" t="inlineStr">
        <is>
          <t>792348614:eng</t>
        </is>
      </c>
      <c r="AV467" t="inlineStr">
        <is>
          <t>44683508</t>
        </is>
      </c>
      <c r="AW467" t="inlineStr">
        <is>
          <t>991003347699702656</t>
        </is>
      </c>
      <c r="AX467" t="inlineStr">
        <is>
          <t>991003347699702656</t>
        </is>
      </c>
      <c r="AY467" t="inlineStr">
        <is>
          <t>2257754030002656</t>
        </is>
      </c>
      <c r="AZ467" t="inlineStr">
        <is>
          <t>BOOK</t>
        </is>
      </c>
      <c r="BB467" t="inlineStr">
        <is>
          <t>9780618043620</t>
        </is>
      </c>
      <c r="BC467" t="inlineStr">
        <is>
          <t>32285004275185</t>
        </is>
      </c>
      <c r="BD467" t="inlineStr">
        <is>
          <t>893524720</t>
        </is>
      </c>
    </row>
    <row r="468">
      <c r="A468" t="inlineStr">
        <is>
          <t>No</t>
        </is>
      </c>
      <c r="B468" t="inlineStr">
        <is>
          <t>PE2809 .B28</t>
        </is>
      </c>
      <c r="C468" t="inlineStr">
        <is>
          <t>0                      PE 2809000B  28</t>
        </is>
      </c>
      <c r="D468" t="inlineStr">
        <is>
          <t>Grammar and good taste : reforming the American language / Dennis E. Baron.</t>
        </is>
      </c>
      <c r="F468" t="inlineStr">
        <is>
          <t>No</t>
        </is>
      </c>
      <c r="G468" t="inlineStr">
        <is>
          <t>1</t>
        </is>
      </c>
      <c r="H468" t="inlineStr">
        <is>
          <t>No</t>
        </is>
      </c>
      <c r="I468" t="inlineStr">
        <is>
          <t>No</t>
        </is>
      </c>
      <c r="J468" t="inlineStr">
        <is>
          <t>0</t>
        </is>
      </c>
      <c r="K468" t="inlineStr">
        <is>
          <t>Baron, Dennis E.</t>
        </is>
      </c>
      <c r="L468" t="inlineStr">
        <is>
          <t>New Haven : Yale University Press, c1982.</t>
        </is>
      </c>
      <c r="M468" t="inlineStr">
        <is>
          <t>1982</t>
        </is>
      </c>
      <c r="O468" t="inlineStr">
        <is>
          <t>eng</t>
        </is>
      </c>
      <c r="P468" t="inlineStr">
        <is>
          <t>ctu</t>
        </is>
      </c>
      <c r="R468" t="inlineStr">
        <is>
          <t xml:space="preserve">PE </t>
        </is>
      </c>
      <c r="S468" t="n">
        <v>2</v>
      </c>
      <c r="T468" t="n">
        <v>2</v>
      </c>
      <c r="U468" t="inlineStr">
        <is>
          <t>1997-11-14</t>
        </is>
      </c>
      <c r="V468" t="inlineStr">
        <is>
          <t>1997-11-14</t>
        </is>
      </c>
      <c r="W468" t="inlineStr">
        <is>
          <t>1993-04-27</t>
        </is>
      </c>
      <c r="X468" t="inlineStr">
        <is>
          <t>1993-04-27</t>
        </is>
      </c>
      <c r="Y468" t="n">
        <v>923</v>
      </c>
      <c r="Z468" t="n">
        <v>789</v>
      </c>
      <c r="AA468" t="n">
        <v>791</v>
      </c>
      <c r="AB468" t="n">
        <v>7</v>
      </c>
      <c r="AC468" t="n">
        <v>7</v>
      </c>
      <c r="AD468" t="n">
        <v>34</v>
      </c>
      <c r="AE468" t="n">
        <v>34</v>
      </c>
      <c r="AF468" t="n">
        <v>11</v>
      </c>
      <c r="AG468" t="n">
        <v>11</v>
      </c>
      <c r="AH468" t="n">
        <v>11</v>
      </c>
      <c r="AI468" t="n">
        <v>11</v>
      </c>
      <c r="AJ468" t="n">
        <v>16</v>
      </c>
      <c r="AK468" t="n">
        <v>16</v>
      </c>
      <c r="AL468" t="n">
        <v>5</v>
      </c>
      <c r="AM468" t="n">
        <v>5</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HYPERLINK("https://creighton-primo.hosted.exlibrisgroup.com/primo-explore/search?tab=default_tab&amp;search_scope=EVERYTHING&amp;vid=01CRU&amp;lang=en_US&amp;offset=0&amp;query=any,contains,991005211309702656","Catalog Record")</f>
        <v/>
      </c>
      <c r="AT468">
        <f>HYPERLINK("http://www.worldcat.org/oclc/8169366","WorldCat Record")</f>
        <v/>
      </c>
      <c r="AU468" t="inlineStr">
        <is>
          <t>435906:eng</t>
        </is>
      </c>
      <c r="AV468" t="inlineStr">
        <is>
          <t>8169366</t>
        </is>
      </c>
      <c r="AW468" t="inlineStr">
        <is>
          <t>991005211309702656</t>
        </is>
      </c>
      <c r="AX468" t="inlineStr">
        <is>
          <t>991005211309702656</t>
        </is>
      </c>
      <c r="AY468" t="inlineStr">
        <is>
          <t>2269775340002656</t>
        </is>
      </c>
      <c r="AZ468" t="inlineStr">
        <is>
          <t>BOOK</t>
        </is>
      </c>
      <c r="BB468" t="inlineStr">
        <is>
          <t>9780300027990</t>
        </is>
      </c>
      <c r="BC468" t="inlineStr">
        <is>
          <t>32285001647626</t>
        </is>
      </c>
      <c r="BD468" t="inlineStr">
        <is>
          <t>893326378</t>
        </is>
      </c>
    </row>
    <row r="469">
      <c r="A469" t="inlineStr">
        <is>
          <t>No</t>
        </is>
      </c>
      <c r="B469" t="inlineStr">
        <is>
          <t>PE2809 .L46 2002</t>
        </is>
      </c>
      <c r="C469" t="inlineStr">
        <is>
          <t>0                      PE 2809000L  46          2002</t>
        </is>
      </c>
      <c r="D469" t="inlineStr">
        <is>
          <t>A is for American : letters and other characters in the newly United States / Jill Lepore.</t>
        </is>
      </c>
      <c r="F469" t="inlineStr">
        <is>
          <t>No</t>
        </is>
      </c>
      <c r="G469" t="inlineStr">
        <is>
          <t>1</t>
        </is>
      </c>
      <c r="H469" t="inlineStr">
        <is>
          <t>No</t>
        </is>
      </c>
      <c r="I469" t="inlineStr">
        <is>
          <t>No</t>
        </is>
      </c>
      <c r="J469" t="inlineStr">
        <is>
          <t>0</t>
        </is>
      </c>
      <c r="K469" t="inlineStr">
        <is>
          <t>Lepore, Jill, 1966-</t>
        </is>
      </c>
      <c r="L469" t="inlineStr">
        <is>
          <t>New York : Alfred A. Knopf, 2002.</t>
        </is>
      </c>
      <c r="M469" t="inlineStr">
        <is>
          <t>2002</t>
        </is>
      </c>
      <c r="N469" t="inlineStr">
        <is>
          <t>1st ed.</t>
        </is>
      </c>
      <c r="O469" t="inlineStr">
        <is>
          <t>eng</t>
        </is>
      </c>
      <c r="P469" t="inlineStr">
        <is>
          <t>nyu</t>
        </is>
      </c>
      <c r="R469" t="inlineStr">
        <is>
          <t xml:space="preserve">PE </t>
        </is>
      </c>
      <c r="S469" t="n">
        <v>2</v>
      </c>
      <c r="T469" t="n">
        <v>2</v>
      </c>
      <c r="U469" t="inlineStr">
        <is>
          <t>2003-02-05</t>
        </is>
      </c>
      <c r="V469" t="inlineStr">
        <is>
          <t>2003-02-05</t>
        </is>
      </c>
      <c r="W469" t="inlineStr">
        <is>
          <t>2003-02-05</t>
        </is>
      </c>
      <c r="X469" t="inlineStr">
        <is>
          <t>2003-02-05</t>
        </is>
      </c>
      <c r="Y469" t="n">
        <v>665</v>
      </c>
      <c r="Z469" t="n">
        <v>631</v>
      </c>
      <c r="AA469" t="n">
        <v>721</v>
      </c>
      <c r="AB469" t="n">
        <v>6</v>
      </c>
      <c r="AC469" t="n">
        <v>6</v>
      </c>
      <c r="AD469" t="n">
        <v>28</v>
      </c>
      <c r="AE469" t="n">
        <v>31</v>
      </c>
      <c r="AF469" t="n">
        <v>11</v>
      </c>
      <c r="AG469" t="n">
        <v>14</v>
      </c>
      <c r="AH469" t="n">
        <v>5</v>
      </c>
      <c r="AI469" t="n">
        <v>5</v>
      </c>
      <c r="AJ469" t="n">
        <v>13</v>
      </c>
      <c r="AK469" t="n">
        <v>15</v>
      </c>
      <c r="AL469" t="n">
        <v>5</v>
      </c>
      <c r="AM469" t="n">
        <v>5</v>
      </c>
      <c r="AN469" t="n">
        <v>0</v>
      </c>
      <c r="AO469" t="n">
        <v>0</v>
      </c>
      <c r="AP469" t="inlineStr">
        <is>
          <t>No</t>
        </is>
      </c>
      <c r="AQ469" t="inlineStr">
        <is>
          <t>Yes</t>
        </is>
      </c>
      <c r="AR469">
        <f>HYPERLINK("http://catalog.hathitrust.org/Record/004228418","HathiTrust Record")</f>
        <v/>
      </c>
      <c r="AS469">
        <f>HYPERLINK("https://creighton-primo.hosted.exlibrisgroup.com/primo-explore/search?tab=default_tab&amp;search_scope=EVERYTHING&amp;vid=01CRU&amp;lang=en_US&amp;offset=0&amp;query=any,contains,991003980949702656","Catalog Record")</f>
        <v/>
      </c>
      <c r="AT469">
        <f>HYPERLINK("http://www.worldcat.org/oclc/47049886","WorldCat Record")</f>
        <v/>
      </c>
      <c r="AU469" t="inlineStr">
        <is>
          <t>308420081:eng</t>
        </is>
      </c>
      <c r="AV469" t="inlineStr">
        <is>
          <t>47049886</t>
        </is>
      </c>
      <c r="AW469" t="inlineStr">
        <is>
          <t>991003980949702656</t>
        </is>
      </c>
      <c r="AX469" t="inlineStr">
        <is>
          <t>991003980949702656</t>
        </is>
      </c>
      <c r="AY469" t="inlineStr">
        <is>
          <t>2263782090002656</t>
        </is>
      </c>
      <c r="AZ469" t="inlineStr">
        <is>
          <t>BOOK</t>
        </is>
      </c>
      <c r="BB469" t="inlineStr">
        <is>
          <t>9780375404498</t>
        </is>
      </c>
      <c r="BC469" t="inlineStr">
        <is>
          <t>32285004697479</t>
        </is>
      </c>
      <c r="BD469" t="inlineStr">
        <is>
          <t>893775457</t>
        </is>
      </c>
    </row>
    <row r="470">
      <c r="A470" t="inlineStr">
        <is>
          <t>No</t>
        </is>
      </c>
      <c r="B470" t="inlineStr">
        <is>
          <t>PE2809 .N86 2004</t>
        </is>
      </c>
      <c r="C470" t="inlineStr">
        <is>
          <t>0                      PE 2809000N  86          2004</t>
        </is>
      </c>
      <c r="D470" t="inlineStr">
        <is>
          <t>Going nucular : language, politics, and culture in confrontational times / Geoffrey Nunberg.</t>
        </is>
      </c>
      <c r="F470" t="inlineStr">
        <is>
          <t>No</t>
        </is>
      </c>
      <c r="G470" t="inlineStr">
        <is>
          <t>1</t>
        </is>
      </c>
      <c r="H470" t="inlineStr">
        <is>
          <t>No</t>
        </is>
      </c>
      <c r="I470" t="inlineStr">
        <is>
          <t>No</t>
        </is>
      </c>
      <c r="J470" t="inlineStr">
        <is>
          <t>0</t>
        </is>
      </c>
      <c r="K470" t="inlineStr">
        <is>
          <t>Nunberg, Geoffrey, 1945-2020.</t>
        </is>
      </c>
      <c r="L470" t="inlineStr">
        <is>
          <t>New York : PublicAffairs, c2004.</t>
        </is>
      </c>
      <c r="M470" t="inlineStr">
        <is>
          <t>2004</t>
        </is>
      </c>
      <c r="N470" t="inlineStr">
        <is>
          <t>1st ed.</t>
        </is>
      </c>
      <c r="O470" t="inlineStr">
        <is>
          <t>eng</t>
        </is>
      </c>
      <c r="P470" t="inlineStr">
        <is>
          <t>nyu</t>
        </is>
      </c>
      <c r="R470" t="inlineStr">
        <is>
          <t xml:space="preserve">PE </t>
        </is>
      </c>
      <c r="S470" t="n">
        <v>8</v>
      </c>
      <c r="T470" t="n">
        <v>8</v>
      </c>
      <c r="U470" t="inlineStr">
        <is>
          <t>2009-04-21</t>
        </is>
      </c>
      <c r="V470" t="inlineStr">
        <is>
          <t>2009-04-21</t>
        </is>
      </c>
      <c r="W470" t="inlineStr">
        <is>
          <t>2005-05-04</t>
        </is>
      </c>
      <c r="X470" t="inlineStr">
        <is>
          <t>2005-05-04</t>
        </is>
      </c>
      <c r="Y470" t="n">
        <v>573</v>
      </c>
      <c r="Z470" t="n">
        <v>513</v>
      </c>
      <c r="AA470" t="n">
        <v>543</v>
      </c>
      <c r="AB470" t="n">
        <v>4</v>
      </c>
      <c r="AC470" t="n">
        <v>4</v>
      </c>
      <c r="AD470" t="n">
        <v>14</v>
      </c>
      <c r="AE470" t="n">
        <v>14</v>
      </c>
      <c r="AF470" t="n">
        <v>4</v>
      </c>
      <c r="AG470" t="n">
        <v>4</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HYPERLINK("https://creighton-primo.hosted.exlibrisgroup.com/primo-explore/search?tab=default_tab&amp;search_scope=EVERYTHING&amp;vid=01CRU&amp;lang=en_US&amp;offset=0&amp;query=any,contains,991004481189702656","Catalog Record")</f>
        <v/>
      </c>
      <c r="AT470">
        <f>HYPERLINK("http://www.worldcat.org/oclc/54001475","WorldCat Record")</f>
        <v/>
      </c>
      <c r="AU470" t="inlineStr">
        <is>
          <t>891327442:eng</t>
        </is>
      </c>
      <c r="AV470" t="inlineStr">
        <is>
          <t>54001475</t>
        </is>
      </c>
      <c r="AW470" t="inlineStr">
        <is>
          <t>991004481189702656</t>
        </is>
      </c>
      <c r="AX470" t="inlineStr">
        <is>
          <t>991004481189702656</t>
        </is>
      </c>
      <c r="AY470" t="inlineStr">
        <is>
          <t>2265000270002656</t>
        </is>
      </c>
      <c r="AZ470" t="inlineStr">
        <is>
          <t>BOOK</t>
        </is>
      </c>
      <c r="BB470" t="inlineStr">
        <is>
          <t>9781586482343</t>
        </is>
      </c>
      <c r="BC470" t="inlineStr">
        <is>
          <t>32285005035257</t>
        </is>
      </c>
      <c r="BD470" t="inlineStr">
        <is>
          <t>893536006</t>
        </is>
      </c>
    </row>
    <row r="471">
      <c r="A471" t="inlineStr">
        <is>
          <t>No</t>
        </is>
      </c>
      <c r="B471" t="inlineStr">
        <is>
          <t>PE2809 .R43 2002</t>
        </is>
      </c>
      <c r="C471" t="inlineStr">
        <is>
          <t>0                      PE 2809000R  43          2002</t>
        </is>
      </c>
      <c r="D471" t="inlineStr">
        <is>
          <t>Milestones in the history of English in America / Allen Walker Read ; edited by Richard W. Bailey.</t>
        </is>
      </c>
      <c r="F471" t="inlineStr">
        <is>
          <t>No</t>
        </is>
      </c>
      <c r="G471" t="inlineStr">
        <is>
          <t>1</t>
        </is>
      </c>
      <c r="H471" t="inlineStr">
        <is>
          <t>No</t>
        </is>
      </c>
      <c r="I471" t="inlineStr">
        <is>
          <t>No</t>
        </is>
      </c>
      <c r="J471" t="inlineStr">
        <is>
          <t>0</t>
        </is>
      </c>
      <c r="K471" t="inlineStr">
        <is>
          <t>Read, Allen Walker.</t>
        </is>
      </c>
      <c r="L471" t="inlineStr">
        <is>
          <t>Durham, NC : Published for the American Dialect Society by Duke University Press, 2002.</t>
        </is>
      </c>
      <c r="M471" t="inlineStr">
        <is>
          <t>2002</t>
        </is>
      </c>
      <c r="O471" t="inlineStr">
        <is>
          <t>eng</t>
        </is>
      </c>
      <c r="P471" t="inlineStr">
        <is>
          <t>ncu</t>
        </is>
      </c>
      <c r="Q471" t="inlineStr">
        <is>
          <t>Publication of the American Dialect Society ; no. 86</t>
        </is>
      </c>
      <c r="R471" t="inlineStr">
        <is>
          <t xml:space="preserve">PE </t>
        </is>
      </c>
      <c r="S471" t="n">
        <v>1</v>
      </c>
      <c r="T471" t="n">
        <v>1</v>
      </c>
      <c r="U471" t="inlineStr">
        <is>
          <t>2003-10-16</t>
        </is>
      </c>
      <c r="V471" t="inlineStr">
        <is>
          <t>2003-10-16</t>
        </is>
      </c>
      <c r="W471" t="inlineStr">
        <is>
          <t>2003-10-16</t>
        </is>
      </c>
      <c r="X471" t="inlineStr">
        <is>
          <t>2003-10-16</t>
        </is>
      </c>
      <c r="Y471" t="n">
        <v>465</v>
      </c>
      <c r="Z471" t="n">
        <v>418</v>
      </c>
      <c r="AA471" t="n">
        <v>425</v>
      </c>
      <c r="AB471" t="n">
        <v>6</v>
      </c>
      <c r="AC471" t="n">
        <v>6</v>
      </c>
      <c r="AD471" t="n">
        <v>21</v>
      </c>
      <c r="AE471" t="n">
        <v>21</v>
      </c>
      <c r="AF471" t="n">
        <v>7</v>
      </c>
      <c r="AG471" t="n">
        <v>7</v>
      </c>
      <c r="AH471" t="n">
        <v>6</v>
      </c>
      <c r="AI471" t="n">
        <v>6</v>
      </c>
      <c r="AJ471" t="n">
        <v>9</v>
      </c>
      <c r="AK471" t="n">
        <v>9</v>
      </c>
      <c r="AL471" t="n">
        <v>5</v>
      </c>
      <c r="AM471" t="n">
        <v>5</v>
      </c>
      <c r="AN471" t="n">
        <v>0</v>
      </c>
      <c r="AO471" t="n">
        <v>0</v>
      </c>
      <c r="AP471" t="inlineStr">
        <is>
          <t>No</t>
        </is>
      </c>
      <c r="AQ471" t="inlineStr">
        <is>
          <t>Yes</t>
        </is>
      </c>
      <c r="AR471">
        <f>HYPERLINK("http://catalog.hathitrust.org/Record/004259968","HathiTrust Record")</f>
        <v/>
      </c>
      <c r="AS471">
        <f>HYPERLINK("https://creighton-primo.hosted.exlibrisgroup.com/primo-explore/search?tab=default_tab&amp;search_scope=EVERYTHING&amp;vid=01CRU&amp;lang=en_US&amp;offset=0&amp;query=any,contains,991004153459702656","Catalog Record")</f>
        <v/>
      </c>
      <c r="AT471">
        <f>HYPERLINK("http://www.worldcat.org/oclc/48851585","WorldCat Record")</f>
        <v/>
      </c>
      <c r="AU471" t="inlineStr">
        <is>
          <t>10201057030:eng</t>
        </is>
      </c>
      <c r="AV471" t="inlineStr">
        <is>
          <t>48851585</t>
        </is>
      </c>
      <c r="AW471" t="inlineStr">
        <is>
          <t>991004153459702656</t>
        </is>
      </c>
      <c r="AX471" t="inlineStr">
        <is>
          <t>991004153459702656</t>
        </is>
      </c>
      <c r="AY471" t="inlineStr">
        <is>
          <t>2262037870002656</t>
        </is>
      </c>
      <c r="AZ471" t="inlineStr">
        <is>
          <t>BOOK</t>
        </is>
      </c>
      <c r="BB471" t="inlineStr">
        <is>
          <t>9780822365266</t>
        </is>
      </c>
      <c r="BC471" t="inlineStr">
        <is>
          <t>32285004789144</t>
        </is>
      </c>
      <c r="BD471" t="inlineStr">
        <is>
          <t>893331254</t>
        </is>
      </c>
    </row>
    <row r="472">
      <c r="A472" t="inlineStr">
        <is>
          <t>No</t>
        </is>
      </c>
      <c r="B472" t="inlineStr">
        <is>
          <t>PE2811 .F67</t>
        </is>
      </c>
      <c r="C472" t="inlineStr">
        <is>
          <t>0                      PE 2811000F  67</t>
        </is>
      </c>
      <c r="D472" t="inlineStr">
        <is>
          <t>The structure of American English. With a chapter on American English dialects by Raven I. McDavid, Jr.</t>
        </is>
      </c>
      <c r="F472" t="inlineStr">
        <is>
          <t>No</t>
        </is>
      </c>
      <c r="G472" t="inlineStr">
        <is>
          <t>1</t>
        </is>
      </c>
      <c r="H472" t="inlineStr">
        <is>
          <t>No</t>
        </is>
      </c>
      <c r="I472" t="inlineStr">
        <is>
          <t>No</t>
        </is>
      </c>
      <c r="J472" t="inlineStr">
        <is>
          <t>0</t>
        </is>
      </c>
      <c r="K472" t="inlineStr">
        <is>
          <t>Francis, W. Nelson (Winthrop Nelson), 1910-2002.</t>
        </is>
      </c>
      <c r="L472" t="inlineStr">
        <is>
          <t>New York, Ronald Press Co. [1958]</t>
        </is>
      </c>
      <c r="M472" t="inlineStr">
        <is>
          <t>1958</t>
        </is>
      </c>
      <c r="O472" t="inlineStr">
        <is>
          <t>eng</t>
        </is>
      </c>
      <c r="P472" t="inlineStr">
        <is>
          <t>nyu</t>
        </is>
      </c>
      <c r="R472" t="inlineStr">
        <is>
          <t xml:space="preserve">PE </t>
        </is>
      </c>
      <c r="S472" t="n">
        <v>1</v>
      </c>
      <c r="T472" t="n">
        <v>1</v>
      </c>
      <c r="U472" t="inlineStr">
        <is>
          <t>2001-04-16</t>
        </is>
      </c>
      <c r="V472" t="inlineStr">
        <is>
          <t>2001-04-16</t>
        </is>
      </c>
      <c r="W472" t="inlineStr">
        <is>
          <t>1997-09-26</t>
        </is>
      </c>
      <c r="X472" t="inlineStr">
        <is>
          <t>1997-09-26</t>
        </is>
      </c>
      <c r="Y472" t="n">
        <v>1151</v>
      </c>
      <c r="Z472" t="n">
        <v>974</v>
      </c>
      <c r="AA472" t="n">
        <v>981</v>
      </c>
      <c r="AB472" t="n">
        <v>11</v>
      </c>
      <c r="AC472" t="n">
        <v>11</v>
      </c>
      <c r="AD472" t="n">
        <v>50</v>
      </c>
      <c r="AE472" t="n">
        <v>50</v>
      </c>
      <c r="AF472" t="n">
        <v>22</v>
      </c>
      <c r="AG472" t="n">
        <v>22</v>
      </c>
      <c r="AH472" t="n">
        <v>8</v>
      </c>
      <c r="AI472" t="n">
        <v>8</v>
      </c>
      <c r="AJ472" t="n">
        <v>21</v>
      </c>
      <c r="AK472" t="n">
        <v>21</v>
      </c>
      <c r="AL472" t="n">
        <v>10</v>
      </c>
      <c r="AM472" t="n">
        <v>10</v>
      </c>
      <c r="AN472" t="n">
        <v>0</v>
      </c>
      <c r="AO472" t="n">
        <v>0</v>
      </c>
      <c r="AP472" t="inlineStr">
        <is>
          <t>No</t>
        </is>
      </c>
      <c r="AQ472" t="inlineStr">
        <is>
          <t>Yes</t>
        </is>
      </c>
      <c r="AR472">
        <f>HYPERLINK("http://catalog.hathitrust.org/Record/001183407","HathiTrust Record")</f>
        <v/>
      </c>
      <c r="AS472">
        <f>HYPERLINK("https://creighton-primo.hosted.exlibrisgroup.com/primo-explore/search?tab=default_tab&amp;search_scope=EVERYTHING&amp;vid=01CRU&amp;lang=en_US&amp;offset=0&amp;query=any,contains,991002308209702656","Catalog Record")</f>
        <v/>
      </c>
      <c r="AT472">
        <f>HYPERLINK("http://www.worldcat.org/oclc/319037","WorldCat Record")</f>
        <v/>
      </c>
      <c r="AU472" t="inlineStr">
        <is>
          <t>1394231:eng</t>
        </is>
      </c>
      <c r="AV472" t="inlineStr">
        <is>
          <t>319037</t>
        </is>
      </c>
      <c r="AW472" t="inlineStr">
        <is>
          <t>991002308209702656</t>
        </is>
      </c>
      <c r="AX472" t="inlineStr">
        <is>
          <t>991002308209702656</t>
        </is>
      </c>
      <c r="AY472" t="inlineStr">
        <is>
          <t>2270095890002656</t>
        </is>
      </c>
      <c r="AZ472" t="inlineStr">
        <is>
          <t>BOOK</t>
        </is>
      </c>
      <c r="BC472" t="inlineStr">
        <is>
          <t>32285003248944</t>
        </is>
      </c>
      <c r="BD472" t="inlineStr">
        <is>
          <t>893697617</t>
        </is>
      </c>
    </row>
    <row r="473">
      <c r="A473" t="inlineStr">
        <is>
          <t>No</t>
        </is>
      </c>
      <c r="B473" t="inlineStr">
        <is>
          <t>PE2811 .F7</t>
        </is>
      </c>
      <c r="C473" t="inlineStr">
        <is>
          <t>0                      PE 2811000F  7</t>
        </is>
      </c>
      <c r="D473" t="inlineStr">
        <is>
          <t>American English grammar; the grammatical structure of present-day American English with especial reference to social differences or class dialects, by Charles Carpenter Fries ... The report of an investigation financed by the National council of teachers of English and supported by the Modern language association and the Linguistic society of America.</t>
        </is>
      </c>
      <c r="F473" t="inlineStr">
        <is>
          <t>No</t>
        </is>
      </c>
      <c r="G473" t="inlineStr">
        <is>
          <t>1</t>
        </is>
      </c>
      <c r="H473" t="inlineStr">
        <is>
          <t>No</t>
        </is>
      </c>
      <c r="I473" t="inlineStr">
        <is>
          <t>No</t>
        </is>
      </c>
      <c r="J473" t="inlineStr">
        <is>
          <t>0</t>
        </is>
      </c>
      <c r="K473" t="inlineStr">
        <is>
          <t>Fries, Charles C. (Charles Carpenter), 1887-1967.</t>
        </is>
      </c>
      <c r="L473" t="inlineStr">
        <is>
          <t>New York, London, D. Appleton-Century Company, incorporated [c1940]</t>
        </is>
      </c>
      <c r="M473" t="inlineStr">
        <is>
          <t>1940</t>
        </is>
      </c>
      <c r="O473" t="inlineStr">
        <is>
          <t>eng</t>
        </is>
      </c>
      <c r="P473" t="inlineStr">
        <is>
          <t>nyu</t>
        </is>
      </c>
      <c r="Q473" t="inlineStr">
        <is>
          <t>National council of teachers of English. English monograph. no. 10</t>
        </is>
      </c>
      <c r="R473" t="inlineStr">
        <is>
          <t xml:space="preserve">PE </t>
        </is>
      </c>
      <c r="S473" t="n">
        <v>1</v>
      </c>
      <c r="T473" t="n">
        <v>1</v>
      </c>
      <c r="U473" t="inlineStr">
        <is>
          <t>1997-09-29</t>
        </is>
      </c>
      <c r="V473" t="inlineStr">
        <is>
          <t>1997-09-29</t>
        </is>
      </c>
      <c r="W473" t="inlineStr">
        <is>
          <t>1997-09-26</t>
        </is>
      </c>
      <c r="X473" t="inlineStr">
        <is>
          <t>1997-09-26</t>
        </is>
      </c>
      <c r="Y473" t="n">
        <v>983</v>
      </c>
      <c r="Z473" t="n">
        <v>851</v>
      </c>
      <c r="AA473" t="n">
        <v>865</v>
      </c>
      <c r="AB473" t="n">
        <v>10</v>
      </c>
      <c r="AC473" t="n">
        <v>10</v>
      </c>
      <c r="AD473" t="n">
        <v>42</v>
      </c>
      <c r="AE473" t="n">
        <v>42</v>
      </c>
      <c r="AF473" t="n">
        <v>15</v>
      </c>
      <c r="AG473" t="n">
        <v>15</v>
      </c>
      <c r="AH473" t="n">
        <v>8</v>
      </c>
      <c r="AI473" t="n">
        <v>8</v>
      </c>
      <c r="AJ473" t="n">
        <v>16</v>
      </c>
      <c r="AK473" t="n">
        <v>16</v>
      </c>
      <c r="AL473" t="n">
        <v>9</v>
      </c>
      <c r="AM473" t="n">
        <v>9</v>
      </c>
      <c r="AN473" t="n">
        <v>0</v>
      </c>
      <c r="AO473" t="n">
        <v>0</v>
      </c>
      <c r="AP473" t="inlineStr">
        <is>
          <t>No</t>
        </is>
      </c>
      <c r="AQ473" t="inlineStr">
        <is>
          <t>Yes</t>
        </is>
      </c>
      <c r="AR473">
        <f>HYPERLINK("http://catalog.hathitrust.org/Record/001183408","HathiTrust Record")</f>
        <v/>
      </c>
      <c r="AS473">
        <f>HYPERLINK("https://creighton-primo.hosted.exlibrisgroup.com/primo-explore/search?tab=default_tab&amp;search_scope=EVERYTHING&amp;vid=01CRU&amp;lang=en_US&amp;offset=0&amp;query=any,contains,991002310319702656","Catalog Record")</f>
        <v/>
      </c>
      <c r="AT473">
        <f>HYPERLINK("http://www.worldcat.org/oclc/319474","WorldCat Record")</f>
        <v/>
      </c>
      <c r="AU473" t="inlineStr">
        <is>
          <t>9093568754:eng</t>
        </is>
      </c>
      <c r="AV473" t="inlineStr">
        <is>
          <t>319474</t>
        </is>
      </c>
      <c r="AW473" t="inlineStr">
        <is>
          <t>991002310319702656</t>
        </is>
      </c>
      <c r="AX473" t="inlineStr">
        <is>
          <t>991002310319702656</t>
        </is>
      </c>
      <c r="AY473" t="inlineStr">
        <is>
          <t>2268324000002656</t>
        </is>
      </c>
      <c r="AZ473" t="inlineStr">
        <is>
          <t>BOOK</t>
        </is>
      </c>
      <c r="BC473" t="inlineStr">
        <is>
          <t>32285003248951</t>
        </is>
      </c>
      <c r="BD473" t="inlineStr">
        <is>
          <t>893697622</t>
        </is>
      </c>
    </row>
    <row r="474">
      <c r="A474" t="inlineStr">
        <is>
          <t>No</t>
        </is>
      </c>
      <c r="B474" t="inlineStr">
        <is>
          <t>PE2813.A2 M6 1983</t>
        </is>
      </c>
      <c r="C474" t="inlineStr">
        <is>
          <t>0                      PE 2813000A  2                  M  6           1983</t>
        </is>
      </c>
      <c r="D474" t="inlineStr">
        <is>
          <t>A common heritage : Noah Webster's blue-back speller / E. Jennifer Monaghan.</t>
        </is>
      </c>
      <c r="F474" t="inlineStr">
        <is>
          <t>No</t>
        </is>
      </c>
      <c r="G474" t="inlineStr">
        <is>
          <t>1</t>
        </is>
      </c>
      <c r="H474" t="inlineStr">
        <is>
          <t>No</t>
        </is>
      </c>
      <c r="I474" t="inlineStr">
        <is>
          <t>No</t>
        </is>
      </c>
      <c r="J474" t="inlineStr">
        <is>
          <t>0</t>
        </is>
      </c>
      <c r="K474" t="inlineStr">
        <is>
          <t>Monaghan, E. Jennifer, 1933-</t>
        </is>
      </c>
      <c r="L474" t="inlineStr">
        <is>
          <t>Hamden, Conn. : Archon Books, 1983.</t>
        </is>
      </c>
      <c r="M474" t="inlineStr">
        <is>
          <t>1983</t>
        </is>
      </c>
      <c r="O474" t="inlineStr">
        <is>
          <t>eng</t>
        </is>
      </c>
      <c r="P474" t="inlineStr">
        <is>
          <t>ctu</t>
        </is>
      </c>
      <c r="R474" t="inlineStr">
        <is>
          <t xml:space="preserve">PE </t>
        </is>
      </c>
      <c r="S474" t="n">
        <v>9</v>
      </c>
      <c r="T474" t="n">
        <v>9</v>
      </c>
      <c r="U474" t="inlineStr">
        <is>
          <t>2003-02-13</t>
        </is>
      </c>
      <c r="V474" t="inlineStr">
        <is>
          <t>2003-02-13</t>
        </is>
      </c>
      <c r="W474" t="inlineStr">
        <is>
          <t>1993-04-27</t>
        </is>
      </c>
      <c r="X474" t="inlineStr">
        <is>
          <t>1993-04-27</t>
        </is>
      </c>
      <c r="Y474" t="n">
        <v>531</v>
      </c>
      <c r="Z474" t="n">
        <v>498</v>
      </c>
      <c r="AA474" t="n">
        <v>499</v>
      </c>
      <c r="AB474" t="n">
        <v>3</v>
      </c>
      <c r="AC474" t="n">
        <v>3</v>
      </c>
      <c r="AD474" t="n">
        <v>23</v>
      </c>
      <c r="AE474" t="n">
        <v>23</v>
      </c>
      <c r="AF474" t="n">
        <v>10</v>
      </c>
      <c r="AG474" t="n">
        <v>10</v>
      </c>
      <c r="AH474" t="n">
        <v>5</v>
      </c>
      <c r="AI474" t="n">
        <v>5</v>
      </c>
      <c r="AJ474" t="n">
        <v>11</v>
      </c>
      <c r="AK474" t="n">
        <v>11</v>
      </c>
      <c r="AL474" t="n">
        <v>1</v>
      </c>
      <c r="AM474" t="n">
        <v>1</v>
      </c>
      <c r="AN474" t="n">
        <v>0</v>
      </c>
      <c r="AO474" t="n">
        <v>0</v>
      </c>
      <c r="AP474" t="inlineStr">
        <is>
          <t>No</t>
        </is>
      </c>
      <c r="AQ474" t="inlineStr">
        <is>
          <t>Yes</t>
        </is>
      </c>
      <c r="AR474">
        <f>HYPERLINK("http://catalog.hathitrust.org/Record/000771834","HathiTrust Record")</f>
        <v/>
      </c>
      <c r="AS474">
        <f>HYPERLINK("https://creighton-primo.hosted.exlibrisgroup.com/primo-explore/search?tab=default_tab&amp;search_scope=EVERYTHING&amp;vid=01CRU&amp;lang=en_US&amp;offset=0&amp;query=any,contains,991000036779702656","Catalog Record")</f>
        <v/>
      </c>
      <c r="AT474">
        <f>HYPERLINK("http://www.worldcat.org/oclc/8627849","WorldCat Record")</f>
        <v/>
      </c>
      <c r="AU474" t="inlineStr">
        <is>
          <t>889580335:eng</t>
        </is>
      </c>
      <c r="AV474" t="inlineStr">
        <is>
          <t>8627849</t>
        </is>
      </c>
      <c r="AW474" t="inlineStr">
        <is>
          <t>991000036779702656</t>
        </is>
      </c>
      <c r="AX474" t="inlineStr">
        <is>
          <t>991000036779702656</t>
        </is>
      </c>
      <c r="AY474" t="inlineStr">
        <is>
          <t>2261596190002656</t>
        </is>
      </c>
      <c r="AZ474" t="inlineStr">
        <is>
          <t>BOOK</t>
        </is>
      </c>
      <c r="BB474" t="inlineStr">
        <is>
          <t>9780208019080</t>
        </is>
      </c>
      <c r="BC474" t="inlineStr">
        <is>
          <t>32285001647634</t>
        </is>
      </c>
      <c r="BD474" t="inlineStr">
        <is>
          <t>893242918</t>
        </is>
      </c>
    </row>
    <row r="475">
      <c r="A475" t="inlineStr">
        <is>
          <t>No</t>
        </is>
      </c>
      <c r="B475" t="inlineStr">
        <is>
          <t>PE2831 .M3</t>
        </is>
      </c>
      <c r="C475" t="inlineStr">
        <is>
          <t>0                      PE 2831000M  3</t>
        </is>
      </c>
      <c r="D475" t="inlineStr">
        <is>
          <t>American words. Illustrated by Lorence Bjorklund.</t>
        </is>
      </c>
      <c r="F475" t="inlineStr">
        <is>
          <t>No</t>
        </is>
      </c>
      <c r="G475" t="inlineStr">
        <is>
          <t>1</t>
        </is>
      </c>
      <c r="H475" t="inlineStr">
        <is>
          <t>No</t>
        </is>
      </c>
      <c r="I475" t="inlineStr">
        <is>
          <t>No</t>
        </is>
      </c>
      <c r="J475" t="inlineStr">
        <is>
          <t>0</t>
        </is>
      </c>
      <c r="K475" t="inlineStr">
        <is>
          <t>Mathews, Mitford M. (Mitford McLeod), 1891-1985.</t>
        </is>
      </c>
      <c r="L475" t="inlineStr">
        <is>
          <t>Cleveland, World Pub. Co. [1959]</t>
        </is>
      </c>
      <c r="M475" t="inlineStr">
        <is>
          <t>1959</t>
        </is>
      </c>
      <c r="N475" t="inlineStr">
        <is>
          <t>[1st ed.]</t>
        </is>
      </c>
      <c r="O475" t="inlineStr">
        <is>
          <t>eng</t>
        </is>
      </c>
      <c r="P475" t="inlineStr">
        <is>
          <t>ohu</t>
        </is>
      </c>
      <c r="R475" t="inlineStr">
        <is>
          <t xml:space="preserve">PE </t>
        </is>
      </c>
      <c r="S475" t="n">
        <v>2</v>
      </c>
      <c r="T475" t="n">
        <v>2</v>
      </c>
      <c r="U475" t="inlineStr">
        <is>
          <t>2000-09-27</t>
        </is>
      </c>
      <c r="V475" t="inlineStr">
        <is>
          <t>2000-09-27</t>
        </is>
      </c>
      <c r="W475" t="inlineStr">
        <is>
          <t>1997-09-30</t>
        </is>
      </c>
      <c r="X475" t="inlineStr">
        <is>
          <t>1997-09-30</t>
        </is>
      </c>
      <c r="Y475" t="n">
        <v>452</v>
      </c>
      <c r="Z475" t="n">
        <v>429</v>
      </c>
      <c r="AA475" t="n">
        <v>569</v>
      </c>
      <c r="AB475" t="n">
        <v>6</v>
      </c>
      <c r="AC475" t="n">
        <v>7</v>
      </c>
      <c r="AD475" t="n">
        <v>11</v>
      </c>
      <c r="AE475" t="n">
        <v>13</v>
      </c>
      <c r="AF475" t="n">
        <v>1</v>
      </c>
      <c r="AG475" t="n">
        <v>3</v>
      </c>
      <c r="AH475" t="n">
        <v>2</v>
      </c>
      <c r="AI475" t="n">
        <v>2</v>
      </c>
      <c r="AJ475" t="n">
        <v>6</v>
      </c>
      <c r="AK475" t="n">
        <v>7</v>
      </c>
      <c r="AL475" t="n">
        <v>3</v>
      </c>
      <c r="AM475" t="n">
        <v>3</v>
      </c>
      <c r="AN475" t="n">
        <v>0</v>
      </c>
      <c r="AO475" t="n">
        <v>0</v>
      </c>
      <c r="AP475" t="inlineStr">
        <is>
          <t>No</t>
        </is>
      </c>
      <c r="AQ475" t="inlineStr">
        <is>
          <t>Yes</t>
        </is>
      </c>
      <c r="AR475">
        <f>HYPERLINK("http://catalog.hathitrust.org/Record/010076015","HathiTrust Record")</f>
        <v/>
      </c>
      <c r="AS475">
        <f>HYPERLINK("https://creighton-primo.hosted.exlibrisgroup.com/primo-explore/search?tab=default_tab&amp;search_scope=EVERYTHING&amp;vid=01CRU&amp;lang=en_US&amp;offset=0&amp;query=any,contains,991003629859702656","Catalog Record")</f>
        <v/>
      </c>
      <c r="AT475">
        <f>HYPERLINK("http://www.worldcat.org/oclc/1220833","WorldCat Record")</f>
        <v/>
      </c>
      <c r="AU475" t="inlineStr">
        <is>
          <t>137743495:eng</t>
        </is>
      </c>
      <c r="AV475" t="inlineStr">
        <is>
          <t>1220833</t>
        </is>
      </c>
      <c r="AW475" t="inlineStr">
        <is>
          <t>991003629859702656</t>
        </is>
      </c>
      <c r="AX475" t="inlineStr">
        <is>
          <t>991003629859702656</t>
        </is>
      </c>
      <c r="AY475" t="inlineStr">
        <is>
          <t>2259932790002656</t>
        </is>
      </c>
      <c r="AZ475" t="inlineStr">
        <is>
          <t>BOOK</t>
        </is>
      </c>
      <c r="BC475" t="inlineStr">
        <is>
          <t>32285003248977</t>
        </is>
      </c>
      <c r="BD475" t="inlineStr">
        <is>
          <t>893893930</t>
        </is>
      </c>
    </row>
    <row r="476">
      <c r="A476" t="inlineStr">
        <is>
          <t>No</t>
        </is>
      </c>
      <c r="B476" t="inlineStr">
        <is>
          <t>PE2835 .P37 1989</t>
        </is>
      </c>
      <c r="C476" t="inlineStr">
        <is>
          <t>0                      PE 2835000P  37          1989</t>
        </is>
      </c>
      <c r="D476" t="inlineStr">
        <is>
          <t>The new Oxford picture dictionary / E.C. Parnwell ; translated by Sergio Gaitán ; illustrations by Ray Burns ... [et al.].</t>
        </is>
      </c>
      <c r="F476" t="inlineStr">
        <is>
          <t>No</t>
        </is>
      </c>
      <c r="G476" t="inlineStr">
        <is>
          <t>1</t>
        </is>
      </c>
      <c r="H476" t="inlineStr">
        <is>
          <t>No</t>
        </is>
      </c>
      <c r="I476" t="inlineStr">
        <is>
          <t>No</t>
        </is>
      </c>
      <c r="J476" t="inlineStr">
        <is>
          <t>0</t>
        </is>
      </c>
      <c r="K476" t="inlineStr">
        <is>
          <t>Parnwell, E. C.</t>
        </is>
      </c>
      <c r="L476" t="inlineStr">
        <is>
          <t>New York, NY : Oxford University Press, 1989.</t>
        </is>
      </c>
      <c r="M476" t="inlineStr">
        <is>
          <t>1989</t>
        </is>
      </c>
      <c r="N476" t="inlineStr">
        <is>
          <t>English/Spanish ed.</t>
        </is>
      </c>
      <c r="O476" t="inlineStr">
        <is>
          <t>eng</t>
        </is>
      </c>
      <c r="P476" t="inlineStr">
        <is>
          <t>nyu</t>
        </is>
      </c>
      <c r="R476" t="inlineStr">
        <is>
          <t xml:space="preserve">PE </t>
        </is>
      </c>
      <c r="S476" t="n">
        <v>6</v>
      </c>
      <c r="T476" t="n">
        <v>6</v>
      </c>
      <c r="U476" t="inlineStr">
        <is>
          <t>2008-04-09</t>
        </is>
      </c>
      <c r="V476" t="inlineStr">
        <is>
          <t>2008-04-09</t>
        </is>
      </c>
      <c r="W476" t="inlineStr">
        <is>
          <t>1990-03-12</t>
        </is>
      </c>
      <c r="X476" t="inlineStr">
        <is>
          <t>1990-03-12</t>
        </is>
      </c>
      <c r="Y476" t="n">
        <v>635</v>
      </c>
      <c r="Z476" t="n">
        <v>596</v>
      </c>
      <c r="AA476" t="n">
        <v>987</v>
      </c>
      <c r="AB476" t="n">
        <v>7</v>
      </c>
      <c r="AC476" t="n">
        <v>9</v>
      </c>
      <c r="AD476" t="n">
        <v>5</v>
      </c>
      <c r="AE476" t="n">
        <v>7</v>
      </c>
      <c r="AF476" t="n">
        <v>3</v>
      </c>
      <c r="AG476" t="n">
        <v>3</v>
      </c>
      <c r="AH476" t="n">
        <v>0</v>
      </c>
      <c r="AI476" t="n">
        <v>1</v>
      </c>
      <c r="AJ476" t="n">
        <v>1</v>
      </c>
      <c r="AK476" t="n">
        <v>3</v>
      </c>
      <c r="AL476" t="n">
        <v>2</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HYPERLINK("https://creighton-primo.hosted.exlibrisgroup.com/primo-explore/search?tab=default_tab&amp;search_scope=EVERYTHING&amp;vid=01CRU&amp;lang=en_US&amp;offset=0&amp;query=any,contains,991001412069702656","Catalog Record")</f>
        <v/>
      </c>
      <c r="AT476">
        <f>HYPERLINK("http://www.worldcat.org/oclc/18908391","WorldCat Record")</f>
        <v/>
      </c>
      <c r="AU476" t="inlineStr">
        <is>
          <t>3805408612:eng</t>
        </is>
      </c>
      <c r="AV476" t="inlineStr">
        <is>
          <t>18908391</t>
        </is>
      </c>
      <c r="AW476" t="inlineStr">
        <is>
          <t>991001412069702656</t>
        </is>
      </c>
      <c r="AX476" t="inlineStr">
        <is>
          <t>991001412069702656</t>
        </is>
      </c>
      <c r="AY476" t="inlineStr">
        <is>
          <t>2255671700002656</t>
        </is>
      </c>
      <c r="AZ476" t="inlineStr">
        <is>
          <t>BOOK</t>
        </is>
      </c>
      <c r="BB476" t="inlineStr">
        <is>
          <t>9780194343558</t>
        </is>
      </c>
      <c r="BC476" t="inlineStr">
        <is>
          <t>32285000044684</t>
        </is>
      </c>
      <c r="BD476" t="inlineStr">
        <is>
          <t>893596455</t>
        </is>
      </c>
    </row>
    <row r="477">
      <c r="A477" t="inlineStr">
        <is>
          <t>No</t>
        </is>
      </c>
      <c r="B477" t="inlineStr">
        <is>
          <t>PE2835 .R36 1988</t>
        </is>
      </c>
      <c r="C477" t="inlineStr">
        <is>
          <t>0                      PE 2835000R  36          1988</t>
        </is>
      </c>
      <c r="D477" t="inlineStr">
        <is>
          <t>Webster's New World guide to current American usage / Bernice Randall.</t>
        </is>
      </c>
      <c r="F477" t="inlineStr">
        <is>
          <t>No</t>
        </is>
      </c>
      <c r="G477" t="inlineStr">
        <is>
          <t>1</t>
        </is>
      </c>
      <c r="H477" t="inlineStr">
        <is>
          <t>No</t>
        </is>
      </c>
      <c r="I477" t="inlineStr">
        <is>
          <t>No</t>
        </is>
      </c>
      <c r="J477" t="inlineStr">
        <is>
          <t>0</t>
        </is>
      </c>
      <c r="K477" t="inlineStr">
        <is>
          <t>Randall, Bernice.</t>
        </is>
      </c>
      <c r="L477" t="inlineStr">
        <is>
          <t>New York : Webster's New World : Distributed by Prentice Hall Trade, c1988.</t>
        </is>
      </c>
      <c r="M477" t="inlineStr">
        <is>
          <t>1988</t>
        </is>
      </c>
      <c r="O477" t="inlineStr">
        <is>
          <t>eng</t>
        </is>
      </c>
      <c r="P477" t="inlineStr">
        <is>
          <t>nyu</t>
        </is>
      </c>
      <c r="R477" t="inlineStr">
        <is>
          <t xml:space="preserve">PE </t>
        </is>
      </c>
      <c r="S477" t="n">
        <v>5</v>
      </c>
      <c r="T477" t="n">
        <v>5</v>
      </c>
      <c r="U477" t="inlineStr">
        <is>
          <t>2002-12-03</t>
        </is>
      </c>
      <c r="V477" t="inlineStr">
        <is>
          <t>2002-12-03</t>
        </is>
      </c>
      <c r="W477" t="inlineStr">
        <is>
          <t>1990-06-15</t>
        </is>
      </c>
      <c r="X477" t="inlineStr">
        <is>
          <t>1990-06-15</t>
        </is>
      </c>
      <c r="Y477" t="n">
        <v>561</v>
      </c>
      <c r="Z477" t="n">
        <v>501</v>
      </c>
      <c r="AA477" t="n">
        <v>503</v>
      </c>
      <c r="AB477" t="n">
        <v>3</v>
      </c>
      <c r="AC477" t="n">
        <v>3</v>
      </c>
      <c r="AD477" t="n">
        <v>14</v>
      </c>
      <c r="AE477" t="n">
        <v>14</v>
      </c>
      <c r="AF477" t="n">
        <v>3</v>
      </c>
      <c r="AG477" t="n">
        <v>3</v>
      </c>
      <c r="AH477" t="n">
        <v>1</v>
      </c>
      <c r="AI477" t="n">
        <v>1</v>
      </c>
      <c r="AJ477" t="n">
        <v>7</v>
      </c>
      <c r="AK477" t="n">
        <v>7</v>
      </c>
      <c r="AL477" t="n">
        <v>2</v>
      </c>
      <c r="AM477" t="n">
        <v>2</v>
      </c>
      <c r="AN477" t="n">
        <v>3</v>
      </c>
      <c r="AO477" t="n">
        <v>3</v>
      </c>
      <c r="AP477" t="inlineStr">
        <is>
          <t>No</t>
        </is>
      </c>
      <c r="AQ477" t="inlineStr">
        <is>
          <t>Yes</t>
        </is>
      </c>
      <c r="AR477">
        <f>HYPERLINK("http://catalog.hathitrust.org/Record/004442798","HathiTrust Record")</f>
        <v/>
      </c>
      <c r="AS477">
        <f>HYPERLINK("https://creighton-primo.hosted.exlibrisgroup.com/primo-explore/search?tab=default_tab&amp;search_scope=EVERYTHING&amp;vid=01CRU&amp;lang=en_US&amp;offset=0&amp;query=any,contains,991001217919702656","Catalog Record")</f>
        <v/>
      </c>
      <c r="AT477">
        <f>HYPERLINK("http://www.worldcat.org/oclc/17440548","WorldCat Record")</f>
        <v/>
      </c>
      <c r="AU477" t="inlineStr">
        <is>
          <t>16056554:eng</t>
        </is>
      </c>
      <c r="AV477" t="inlineStr">
        <is>
          <t>17440548</t>
        </is>
      </c>
      <c r="AW477" t="inlineStr">
        <is>
          <t>991001217919702656</t>
        </is>
      </c>
      <c r="AX477" t="inlineStr">
        <is>
          <t>991001217919702656</t>
        </is>
      </c>
      <c r="AY477" t="inlineStr">
        <is>
          <t>2256235790002656</t>
        </is>
      </c>
      <c r="AZ477" t="inlineStr">
        <is>
          <t>BOOK</t>
        </is>
      </c>
      <c r="BB477" t="inlineStr">
        <is>
          <t>9780139478215</t>
        </is>
      </c>
      <c r="BC477" t="inlineStr">
        <is>
          <t>32285000197573</t>
        </is>
      </c>
      <c r="BD477" t="inlineStr">
        <is>
          <t>893702845</t>
        </is>
      </c>
    </row>
    <row r="478">
      <c r="A478" t="inlineStr">
        <is>
          <t>No</t>
        </is>
      </c>
      <c r="B478" t="inlineStr">
        <is>
          <t>PE2839 .M38 1999</t>
        </is>
      </c>
      <c r="C478" t="inlineStr">
        <is>
          <t>0                      PE 2839000M  38          1999</t>
        </is>
      </c>
      <c r="D478" t="inlineStr">
        <is>
          <t>Never enough words : how Americans invented expressions as ingenious, ornery, and colorful as themselves / Jeffrey McQuain.</t>
        </is>
      </c>
      <c r="F478" t="inlineStr">
        <is>
          <t>No</t>
        </is>
      </c>
      <c r="G478" t="inlineStr">
        <is>
          <t>1</t>
        </is>
      </c>
      <c r="H478" t="inlineStr">
        <is>
          <t>No</t>
        </is>
      </c>
      <c r="I478" t="inlineStr">
        <is>
          <t>No</t>
        </is>
      </c>
      <c r="J478" t="inlineStr">
        <is>
          <t>0</t>
        </is>
      </c>
      <c r="K478" t="inlineStr">
        <is>
          <t>McQuain, Jeff, 1955-</t>
        </is>
      </c>
      <c r="L478" t="inlineStr">
        <is>
          <t>New York : Random House, 1999.</t>
        </is>
      </c>
      <c r="M478" t="inlineStr">
        <is>
          <t>1999</t>
        </is>
      </c>
      <c r="N478" t="inlineStr">
        <is>
          <t>1st ed.</t>
        </is>
      </c>
      <c r="O478" t="inlineStr">
        <is>
          <t>eng</t>
        </is>
      </c>
      <c r="P478" t="inlineStr">
        <is>
          <t>nyu</t>
        </is>
      </c>
      <c r="R478" t="inlineStr">
        <is>
          <t xml:space="preserve">PE </t>
        </is>
      </c>
      <c r="S478" t="n">
        <v>2</v>
      </c>
      <c r="T478" t="n">
        <v>2</v>
      </c>
      <c r="U478" t="inlineStr">
        <is>
          <t>2000-09-27</t>
        </is>
      </c>
      <c r="V478" t="inlineStr">
        <is>
          <t>2000-09-27</t>
        </is>
      </c>
      <c r="W478" t="inlineStr">
        <is>
          <t>2000-03-08</t>
        </is>
      </c>
      <c r="X478" t="inlineStr">
        <is>
          <t>2000-03-08</t>
        </is>
      </c>
      <c r="Y478" t="n">
        <v>646</v>
      </c>
      <c r="Z478" t="n">
        <v>622</v>
      </c>
      <c r="AA478" t="n">
        <v>629</v>
      </c>
      <c r="AB478" t="n">
        <v>5</v>
      </c>
      <c r="AC478" t="n">
        <v>5</v>
      </c>
      <c r="AD478" t="n">
        <v>23</v>
      </c>
      <c r="AE478" t="n">
        <v>23</v>
      </c>
      <c r="AF478" t="n">
        <v>8</v>
      </c>
      <c r="AG478" t="n">
        <v>8</v>
      </c>
      <c r="AH478" t="n">
        <v>5</v>
      </c>
      <c r="AI478" t="n">
        <v>5</v>
      </c>
      <c r="AJ478" t="n">
        <v>11</v>
      </c>
      <c r="AK478" t="n">
        <v>11</v>
      </c>
      <c r="AL478" t="n">
        <v>4</v>
      </c>
      <c r="AM478" t="n">
        <v>4</v>
      </c>
      <c r="AN478" t="n">
        <v>0</v>
      </c>
      <c r="AO478" t="n">
        <v>0</v>
      </c>
      <c r="AP478" t="inlineStr">
        <is>
          <t>No</t>
        </is>
      </c>
      <c r="AQ478" t="inlineStr">
        <is>
          <t>Yes</t>
        </is>
      </c>
      <c r="AR478">
        <f>HYPERLINK("http://catalog.hathitrust.org/Record/004025605","HathiTrust Record")</f>
        <v/>
      </c>
      <c r="AS478">
        <f>HYPERLINK("https://creighton-primo.hosted.exlibrisgroup.com/primo-explore/search?tab=default_tab&amp;search_scope=EVERYTHING&amp;vid=01CRU&amp;lang=en_US&amp;offset=0&amp;query=any,contains,991003002099702656","Catalog Record")</f>
        <v/>
      </c>
      <c r="AT478">
        <f>HYPERLINK("http://www.worldcat.org/oclc/40675090","WorldCat Record")</f>
        <v/>
      </c>
      <c r="AU478" t="inlineStr">
        <is>
          <t>10346665:eng</t>
        </is>
      </c>
      <c r="AV478" t="inlineStr">
        <is>
          <t>40675090</t>
        </is>
      </c>
      <c r="AW478" t="inlineStr">
        <is>
          <t>991003002099702656</t>
        </is>
      </c>
      <c r="AX478" t="inlineStr">
        <is>
          <t>991003002099702656</t>
        </is>
      </c>
      <c r="AY478" t="inlineStr">
        <is>
          <t>2260320120002656</t>
        </is>
      </c>
      <c r="AZ478" t="inlineStr">
        <is>
          <t>BOOK</t>
        </is>
      </c>
      <c r="BB478" t="inlineStr">
        <is>
          <t>9780679458043</t>
        </is>
      </c>
      <c r="BC478" t="inlineStr">
        <is>
          <t>32285003667788</t>
        </is>
      </c>
      <c r="BD478" t="inlineStr">
        <is>
          <t>893610591</t>
        </is>
      </c>
    </row>
    <row r="479">
      <c r="A479" t="inlineStr">
        <is>
          <t>No</t>
        </is>
      </c>
      <c r="B479" t="inlineStr">
        <is>
          <t>PE2841 .G4</t>
        </is>
      </c>
      <c r="C479" t="inlineStr">
        <is>
          <t>0                      PE 2841000G  4</t>
        </is>
      </c>
      <c r="D479" t="inlineStr">
        <is>
          <t>Keys to American English / Constance Gefvert, Richard Raspa, Amy Richards.</t>
        </is>
      </c>
      <c r="F479" t="inlineStr">
        <is>
          <t>No</t>
        </is>
      </c>
      <c r="G479" t="inlineStr">
        <is>
          <t>1</t>
        </is>
      </c>
      <c r="H479" t="inlineStr">
        <is>
          <t>No</t>
        </is>
      </c>
      <c r="I479" t="inlineStr">
        <is>
          <t>No</t>
        </is>
      </c>
      <c r="J479" t="inlineStr">
        <is>
          <t>0</t>
        </is>
      </c>
      <c r="K479" t="inlineStr">
        <is>
          <t>Gefvert, Constance J.</t>
        </is>
      </c>
      <c r="L479" t="inlineStr">
        <is>
          <t>New York : Harcourt Brace Jovanovich, [1975]</t>
        </is>
      </c>
      <c r="M479" t="inlineStr">
        <is>
          <t>1975</t>
        </is>
      </c>
      <c r="O479" t="inlineStr">
        <is>
          <t>eng</t>
        </is>
      </c>
      <c r="P479" t="inlineStr">
        <is>
          <t>nyu</t>
        </is>
      </c>
      <c r="R479" t="inlineStr">
        <is>
          <t xml:space="preserve">PE </t>
        </is>
      </c>
      <c r="S479" t="n">
        <v>5</v>
      </c>
      <c r="T479" t="n">
        <v>5</v>
      </c>
      <c r="U479" t="inlineStr">
        <is>
          <t>2002-06-14</t>
        </is>
      </c>
      <c r="V479" t="inlineStr">
        <is>
          <t>2002-06-14</t>
        </is>
      </c>
      <c r="W479" t="inlineStr">
        <is>
          <t>1997-09-29</t>
        </is>
      </c>
      <c r="X479" t="inlineStr">
        <is>
          <t>1997-09-29</t>
        </is>
      </c>
      <c r="Y479" t="n">
        <v>114</v>
      </c>
      <c r="Z479" t="n">
        <v>85</v>
      </c>
      <c r="AA479" t="n">
        <v>90</v>
      </c>
      <c r="AB479" t="n">
        <v>1</v>
      </c>
      <c r="AC479" t="n">
        <v>1</v>
      </c>
      <c r="AD479" t="n">
        <v>1</v>
      </c>
      <c r="AE479" t="n">
        <v>1</v>
      </c>
      <c r="AF479" t="n">
        <v>0</v>
      </c>
      <c r="AG479" t="n">
        <v>0</v>
      </c>
      <c r="AH479" t="n">
        <v>1</v>
      </c>
      <c r="AI479" t="n">
        <v>1</v>
      </c>
      <c r="AJ479" t="n">
        <v>0</v>
      </c>
      <c r="AK479" t="n">
        <v>0</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HYPERLINK("https://creighton-primo.hosted.exlibrisgroup.com/primo-explore/search?tab=default_tab&amp;search_scope=EVERYTHING&amp;vid=01CRU&amp;lang=en_US&amp;offset=0&amp;query=any,contains,991003829899702656","Catalog Record")</f>
        <v/>
      </c>
      <c r="AT479">
        <f>HYPERLINK("http://www.worldcat.org/oclc/1583835","WorldCat Record")</f>
        <v/>
      </c>
      <c r="AU479" t="inlineStr">
        <is>
          <t>181387291:eng</t>
        </is>
      </c>
      <c r="AV479" t="inlineStr">
        <is>
          <t>1583835</t>
        </is>
      </c>
      <c r="AW479" t="inlineStr">
        <is>
          <t>991003829899702656</t>
        </is>
      </c>
      <c r="AX479" t="inlineStr">
        <is>
          <t>991003829899702656</t>
        </is>
      </c>
      <c r="AY479" t="inlineStr">
        <is>
          <t>2269240000002656</t>
        </is>
      </c>
      <c r="AZ479" t="inlineStr">
        <is>
          <t>BOOK</t>
        </is>
      </c>
      <c r="BB479" t="inlineStr">
        <is>
          <t>9780155978584</t>
        </is>
      </c>
      <c r="BC479" t="inlineStr">
        <is>
          <t>32285003248993</t>
        </is>
      </c>
      <c r="BD479" t="inlineStr">
        <is>
          <t>893429271</t>
        </is>
      </c>
    </row>
    <row r="480">
      <c r="A480" t="inlineStr">
        <is>
          <t>No</t>
        </is>
      </c>
      <c r="B480" t="inlineStr">
        <is>
          <t>PE2841 .H4 1959</t>
        </is>
      </c>
      <c r="C480" t="inlineStr">
        <is>
          <t>0                      PE 2841000H  4           1959</t>
        </is>
      </c>
      <c r="D480" t="inlineStr">
        <is>
          <t>American dialects : a manual for actors, directors, and writers / by Lewis Herman and Marguerite Shalett Herman.</t>
        </is>
      </c>
      <c r="F480" t="inlineStr">
        <is>
          <t>No</t>
        </is>
      </c>
      <c r="G480" t="inlineStr">
        <is>
          <t>1</t>
        </is>
      </c>
      <c r="H480" t="inlineStr">
        <is>
          <t>No</t>
        </is>
      </c>
      <c r="I480" t="inlineStr">
        <is>
          <t>No</t>
        </is>
      </c>
      <c r="J480" t="inlineStr">
        <is>
          <t>0</t>
        </is>
      </c>
      <c r="K480" t="inlineStr">
        <is>
          <t>Herman, Lewis, 1905-1966.</t>
        </is>
      </c>
      <c r="L480" t="inlineStr">
        <is>
          <t>New York : Theatre Arts Books, [1959]</t>
        </is>
      </c>
      <c r="M480" t="inlineStr">
        <is>
          <t>1959</t>
        </is>
      </c>
      <c r="O480" t="inlineStr">
        <is>
          <t>eng</t>
        </is>
      </c>
      <c r="P480" t="inlineStr">
        <is>
          <t>nyu</t>
        </is>
      </c>
      <c r="R480" t="inlineStr">
        <is>
          <t xml:space="preserve">PE </t>
        </is>
      </c>
      <c r="S480" t="n">
        <v>9</v>
      </c>
      <c r="T480" t="n">
        <v>9</v>
      </c>
      <c r="U480" t="inlineStr">
        <is>
          <t>2005-06-29</t>
        </is>
      </c>
      <c r="V480" t="inlineStr">
        <is>
          <t>2005-06-29</t>
        </is>
      </c>
      <c r="W480" t="inlineStr">
        <is>
          <t>1992-10-23</t>
        </is>
      </c>
      <c r="X480" t="inlineStr">
        <is>
          <t>1992-10-23</t>
        </is>
      </c>
      <c r="Y480" t="n">
        <v>943</v>
      </c>
      <c r="Z480" t="n">
        <v>889</v>
      </c>
      <c r="AA480" t="n">
        <v>1160</v>
      </c>
      <c r="AB480" t="n">
        <v>12</v>
      </c>
      <c r="AC480" t="n">
        <v>13</v>
      </c>
      <c r="AD480" t="n">
        <v>34</v>
      </c>
      <c r="AE480" t="n">
        <v>39</v>
      </c>
      <c r="AF480" t="n">
        <v>15</v>
      </c>
      <c r="AG480" t="n">
        <v>16</v>
      </c>
      <c r="AH480" t="n">
        <v>6</v>
      </c>
      <c r="AI480" t="n">
        <v>7</v>
      </c>
      <c r="AJ480" t="n">
        <v>12</v>
      </c>
      <c r="AK480" t="n">
        <v>15</v>
      </c>
      <c r="AL480" t="n">
        <v>8</v>
      </c>
      <c r="AM480" t="n">
        <v>9</v>
      </c>
      <c r="AN480" t="n">
        <v>0</v>
      </c>
      <c r="AO480" t="n">
        <v>0</v>
      </c>
      <c r="AP480" t="inlineStr">
        <is>
          <t>No</t>
        </is>
      </c>
      <c r="AQ480" t="inlineStr">
        <is>
          <t>Yes</t>
        </is>
      </c>
      <c r="AR480">
        <f>HYPERLINK("http://catalog.hathitrust.org/Record/001011929","HathiTrust Record")</f>
        <v/>
      </c>
      <c r="AS480">
        <f>HYPERLINK("https://creighton-primo.hosted.exlibrisgroup.com/primo-explore/search?tab=default_tab&amp;search_scope=EVERYTHING&amp;vid=01CRU&amp;lang=en_US&amp;offset=0&amp;query=any,contains,991002217189702656","Catalog Record")</f>
        <v/>
      </c>
      <c r="AT480">
        <f>HYPERLINK("http://www.worldcat.org/oclc/289076","WorldCat Record")</f>
        <v/>
      </c>
      <c r="AU480" t="inlineStr">
        <is>
          <t>14475506:eng</t>
        </is>
      </c>
      <c r="AV480" t="inlineStr">
        <is>
          <t>289076</t>
        </is>
      </c>
      <c r="AW480" t="inlineStr">
        <is>
          <t>991002217189702656</t>
        </is>
      </c>
      <c r="AX480" t="inlineStr">
        <is>
          <t>991002217189702656</t>
        </is>
      </c>
      <c r="AY480" t="inlineStr">
        <is>
          <t>2262442100002656</t>
        </is>
      </c>
      <c r="AZ480" t="inlineStr">
        <is>
          <t>BOOK</t>
        </is>
      </c>
      <c r="BC480" t="inlineStr">
        <is>
          <t>32285001375723</t>
        </is>
      </c>
      <c r="BD480" t="inlineStr">
        <is>
          <t>893433632</t>
        </is>
      </c>
    </row>
    <row r="481">
      <c r="A481" t="inlineStr">
        <is>
          <t>No</t>
        </is>
      </c>
      <c r="B481" t="inlineStr">
        <is>
          <t>PE2845.L5 K8</t>
        </is>
      </c>
      <c r="C481" t="inlineStr">
        <is>
          <t>0                      PE 2845000L  5                  K  8</t>
        </is>
      </c>
      <c r="D481" t="inlineStr">
        <is>
          <t>Linguistic atlas of New England, by Hans Kurath, director and editor [with the collaboration of] Miles L. Hanley, associate director; Bernard Bloch, assistant editor, Guy S. Lowman, jr., principal field investigator, Marcus L. Hansen, historian...sponsored by the American council of learned societies and assisted by universities and colleges in New England.</t>
        </is>
      </c>
      <c r="F481" t="inlineStr">
        <is>
          <t>Yes</t>
        </is>
      </c>
      <c r="G481" t="inlineStr">
        <is>
          <t>1</t>
        </is>
      </c>
      <c r="H481" t="inlineStr">
        <is>
          <t>No</t>
        </is>
      </c>
      <c r="I481" t="inlineStr">
        <is>
          <t>No</t>
        </is>
      </c>
      <c r="J481" t="inlineStr">
        <is>
          <t>0</t>
        </is>
      </c>
      <c r="K481" t="inlineStr">
        <is>
          <t>Kurath, Hans, 1891-1992.</t>
        </is>
      </c>
      <c r="L481" t="inlineStr">
        <is>
          <t>Providence, R. I., Brown University, 1939-43.</t>
        </is>
      </c>
      <c r="M481" t="inlineStr">
        <is>
          <t>1939</t>
        </is>
      </c>
      <c r="O481" t="inlineStr">
        <is>
          <t>eng</t>
        </is>
      </c>
      <c r="P481" t="inlineStr">
        <is>
          <t>___</t>
        </is>
      </c>
      <c r="Q481" t="inlineStr">
        <is>
          <t>Linguistic atlas of the United States and Canada</t>
        </is>
      </c>
      <c r="R481" t="inlineStr">
        <is>
          <t xml:space="preserve">PE </t>
        </is>
      </c>
      <c r="S481" t="n">
        <v>2</v>
      </c>
      <c r="T481" t="n">
        <v>2</v>
      </c>
      <c r="U481" t="inlineStr">
        <is>
          <t>1995-04-11</t>
        </is>
      </c>
      <c r="V481" t="inlineStr">
        <is>
          <t>1995-04-11</t>
        </is>
      </c>
      <c r="W481" t="inlineStr">
        <is>
          <t>1993-04-27</t>
        </is>
      </c>
      <c r="X481" t="inlineStr">
        <is>
          <t>1993-04-27</t>
        </is>
      </c>
      <c r="Y481" t="n">
        <v>208</v>
      </c>
      <c r="Z481" t="n">
        <v>195</v>
      </c>
      <c r="AA481" t="n">
        <v>203</v>
      </c>
      <c r="AB481" t="n">
        <v>2</v>
      </c>
      <c r="AC481" t="n">
        <v>2</v>
      </c>
      <c r="AD481" t="n">
        <v>11</v>
      </c>
      <c r="AE481" t="n">
        <v>11</v>
      </c>
      <c r="AF481" t="n">
        <v>4</v>
      </c>
      <c r="AG481" t="n">
        <v>4</v>
      </c>
      <c r="AH481" t="n">
        <v>3</v>
      </c>
      <c r="AI481" t="n">
        <v>3</v>
      </c>
      <c r="AJ481" t="n">
        <v>7</v>
      </c>
      <c r="AK481" t="n">
        <v>7</v>
      </c>
      <c r="AL481" t="n">
        <v>1</v>
      </c>
      <c r="AM481" t="n">
        <v>1</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HYPERLINK("https://creighton-primo.hosted.exlibrisgroup.com/primo-explore/search?tab=default_tab&amp;search_scope=EVERYTHING&amp;vid=01CRU&amp;lang=en_US&amp;offset=0&amp;query=any,contains,991000987289702656","Catalog Record")</f>
        <v/>
      </c>
      <c r="AT481">
        <f>HYPERLINK("http://www.worldcat.org/oclc/171005","WorldCat Record")</f>
        <v/>
      </c>
      <c r="AU481" t="inlineStr">
        <is>
          <t>2542100365:eng</t>
        </is>
      </c>
      <c r="AV481" t="inlineStr">
        <is>
          <t>171005</t>
        </is>
      </c>
      <c r="AW481" t="inlineStr">
        <is>
          <t>991000987289702656</t>
        </is>
      </c>
      <c r="AX481" t="inlineStr">
        <is>
          <t>991000987289702656</t>
        </is>
      </c>
      <c r="AY481" t="inlineStr">
        <is>
          <t>2267416640002656</t>
        </is>
      </c>
      <c r="AZ481" t="inlineStr">
        <is>
          <t>BOOK</t>
        </is>
      </c>
      <c r="BC481" t="inlineStr">
        <is>
          <t>32285001647659</t>
        </is>
      </c>
      <c r="BD481" t="inlineStr">
        <is>
          <t>893419959</t>
        </is>
      </c>
    </row>
    <row r="482">
      <c r="A482" t="inlineStr">
        <is>
          <t>No</t>
        </is>
      </c>
      <c r="B482" t="inlineStr">
        <is>
          <t>PE2846 .A46 1990</t>
        </is>
      </c>
      <c r="C482" t="inlineStr">
        <is>
          <t>0                      PE 2846000A  46          1990</t>
        </is>
      </c>
      <c r="D482" t="inlineStr">
        <is>
          <t>Unkind words : ethnic labeling from Redskin to WASP / Irving Lewis Allen.</t>
        </is>
      </c>
      <c r="F482" t="inlineStr">
        <is>
          <t>No</t>
        </is>
      </c>
      <c r="G482" t="inlineStr">
        <is>
          <t>1</t>
        </is>
      </c>
      <c r="H482" t="inlineStr">
        <is>
          <t>No</t>
        </is>
      </c>
      <c r="I482" t="inlineStr">
        <is>
          <t>No</t>
        </is>
      </c>
      <c r="J482" t="inlineStr">
        <is>
          <t>0</t>
        </is>
      </c>
      <c r="K482" t="inlineStr">
        <is>
          <t>Allen, Irving L., 1931-2002.</t>
        </is>
      </c>
      <c r="L482" t="inlineStr">
        <is>
          <t>New York : Bergin &amp; Garvey, 1990.</t>
        </is>
      </c>
      <c r="M482" t="inlineStr">
        <is>
          <t>1990</t>
        </is>
      </c>
      <c r="O482" t="inlineStr">
        <is>
          <t>eng</t>
        </is>
      </c>
      <c r="P482" t="inlineStr">
        <is>
          <t>nyu</t>
        </is>
      </c>
      <c r="R482" t="inlineStr">
        <is>
          <t xml:space="preserve">PE </t>
        </is>
      </c>
      <c r="S482" t="n">
        <v>14</v>
      </c>
      <c r="T482" t="n">
        <v>14</v>
      </c>
      <c r="U482" t="inlineStr">
        <is>
          <t>2009-04-30</t>
        </is>
      </c>
      <c r="V482" t="inlineStr">
        <is>
          <t>2009-04-30</t>
        </is>
      </c>
      <c r="W482" t="inlineStr">
        <is>
          <t>1994-08-30</t>
        </is>
      </c>
      <c r="X482" t="inlineStr">
        <is>
          <t>1994-08-30</t>
        </is>
      </c>
      <c r="Y482" t="n">
        <v>667</v>
      </c>
      <c r="Z482" t="n">
        <v>614</v>
      </c>
      <c r="AA482" t="n">
        <v>617</v>
      </c>
      <c r="AB482" t="n">
        <v>8</v>
      </c>
      <c r="AC482" t="n">
        <v>8</v>
      </c>
      <c r="AD482" t="n">
        <v>21</v>
      </c>
      <c r="AE482" t="n">
        <v>21</v>
      </c>
      <c r="AF482" t="n">
        <v>7</v>
      </c>
      <c r="AG482" t="n">
        <v>7</v>
      </c>
      <c r="AH482" t="n">
        <v>5</v>
      </c>
      <c r="AI482" t="n">
        <v>5</v>
      </c>
      <c r="AJ482" t="n">
        <v>9</v>
      </c>
      <c r="AK482" t="n">
        <v>9</v>
      </c>
      <c r="AL482" t="n">
        <v>4</v>
      </c>
      <c r="AM482" t="n">
        <v>4</v>
      </c>
      <c r="AN482" t="n">
        <v>1</v>
      </c>
      <c r="AO482" t="n">
        <v>1</v>
      </c>
      <c r="AP482" t="inlineStr">
        <is>
          <t>No</t>
        </is>
      </c>
      <c r="AQ482" t="inlineStr">
        <is>
          <t>Yes</t>
        </is>
      </c>
      <c r="AR482">
        <f>HYPERLINK("http://catalog.hathitrust.org/Record/002219526","HathiTrust Record")</f>
        <v/>
      </c>
      <c r="AS482">
        <f>HYPERLINK("https://creighton-primo.hosted.exlibrisgroup.com/primo-explore/search?tab=default_tab&amp;search_scope=EVERYTHING&amp;vid=01CRU&amp;lang=en_US&amp;offset=0&amp;query=any,contains,991001658029702656","Catalog Record")</f>
        <v/>
      </c>
      <c r="AT482">
        <f>HYPERLINK("http://www.worldcat.org/oclc/21152778","WorldCat Record")</f>
        <v/>
      </c>
      <c r="AU482" t="inlineStr">
        <is>
          <t>2889229:eng</t>
        </is>
      </c>
      <c r="AV482" t="inlineStr">
        <is>
          <t>21152778</t>
        </is>
      </c>
      <c r="AW482" t="inlineStr">
        <is>
          <t>991001658029702656</t>
        </is>
      </c>
      <c r="AX482" t="inlineStr">
        <is>
          <t>991001658029702656</t>
        </is>
      </c>
      <c r="AY482" t="inlineStr">
        <is>
          <t>2264844730002656</t>
        </is>
      </c>
      <c r="AZ482" t="inlineStr">
        <is>
          <t>BOOK</t>
        </is>
      </c>
      <c r="BB482" t="inlineStr">
        <is>
          <t>9780897892209</t>
        </is>
      </c>
      <c r="BC482" t="inlineStr">
        <is>
          <t>32285001777928</t>
        </is>
      </c>
      <c r="BD482" t="inlineStr">
        <is>
          <t>893715599</t>
        </is>
      </c>
    </row>
    <row r="483">
      <c r="A483" t="inlineStr">
        <is>
          <t>No</t>
        </is>
      </c>
      <c r="B483" t="inlineStr">
        <is>
          <t>PE2846 .B87 1995</t>
        </is>
      </c>
      <c r="C483" t="inlineStr">
        <is>
          <t>0                      PE 2846000B  87          1995</t>
        </is>
      </c>
      <c r="D483" t="inlineStr">
        <is>
          <t>Street talk -1 : how to speak &amp; understand American slang / David Burke.</t>
        </is>
      </c>
      <c r="F483" t="inlineStr">
        <is>
          <t>No</t>
        </is>
      </c>
      <c r="G483" t="inlineStr">
        <is>
          <t>1</t>
        </is>
      </c>
      <c r="H483" t="inlineStr">
        <is>
          <t>No</t>
        </is>
      </c>
      <c r="I483" t="inlineStr">
        <is>
          <t>No</t>
        </is>
      </c>
      <c r="J483" t="inlineStr">
        <is>
          <t>0</t>
        </is>
      </c>
      <c r="K483" t="inlineStr">
        <is>
          <t>Burke, David, 1956-</t>
        </is>
      </c>
      <c r="L483" t="inlineStr">
        <is>
          <t>Los Angeles : Optima Books, c1995.</t>
        </is>
      </c>
      <c r="M483" t="inlineStr">
        <is>
          <t>1995</t>
        </is>
      </c>
      <c r="O483" t="inlineStr">
        <is>
          <t>eng</t>
        </is>
      </c>
      <c r="P483" t="inlineStr">
        <is>
          <t>cau</t>
        </is>
      </c>
      <c r="R483" t="inlineStr">
        <is>
          <t xml:space="preserve">PE </t>
        </is>
      </c>
      <c r="S483" t="n">
        <v>6</v>
      </c>
      <c r="T483" t="n">
        <v>6</v>
      </c>
      <c r="U483" t="inlineStr">
        <is>
          <t>2002-12-03</t>
        </is>
      </c>
      <c r="V483" t="inlineStr">
        <is>
          <t>2002-12-03</t>
        </is>
      </c>
      <c r="W483" t="inlineStr">
        <is>
          <t>2002-05-06</t>
        </is>
      </c>
      <c r="X483" t="inlineStr">
        <is>
          <t>2002-05-06</t>
        </is>
      </c>
      <c r="Y483" t="n">
        <v>24</v>
      </c>
      <c r="Z483" t="n">
        <v>22</v>
      </c>
      <c r="AA483" t="n">
        <v>116</v>
      </c>
      <c r="AB483" t="n">
        <v>1</v>
      </c>
      <c r="AC483" t="n">
        <v>1</v>
      </c>
      <c r="AD483" t="n">
        <v>0</v>
      </c>
      <c r="AE483" t="n">
        <v>0</v>
      </c>
      <c r="AF483" t="n">
        <v>0</v>
      </c>
      <c r="AG483" t="n">
        <v>0</v>
      </c>
      <c r="AH483" t="n">
        <v>0</v>
      </c>
      <c r="AI483" t="n">
        <v>0</v>
      </c>
      <c r="AJ483" t="n">
        <v>0</v>
      </c>
      <c r="AK483" t="n">
        <v>0</v>
      </c>
      <c r="AL483" t="n">
        <v>0</v>
      </c>
      <c r="AM483" t="n">
        <v>0</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HYPERLINK("https://creighton-primo.hosted.exlibrisgroup.com/primo-explore/search?tab=default_tab&amp;search_scope=EVERYTHING&amp;vid=01CRU&amp;lang=en_US&amp;offset=0&amp;query=any,contains,991003793959702656","Catalog Record")</f>
        <v/>
      </c>
      <c r="AT483">
        <f>HYPERLINK("http://www.worldcat.org/oclc/34510197","WorldCat Record")</f>
        <v/>
      </c>
      <c r="AU483" t="inlineStr">
        <is>
          <t>26128762:eng</t>
        </is>
      </c>
      <c r="AV483" t="inlineStr">
        <is>
          <t>34510197</t>
        </is>
      </c>
      <c r="AW483" t="inlineStr">
        <is>
          <t>991003793959702656</t>
        </is>
      </c>
      <c r="AX483" t="inlineStr">
        <is>
          <t>991003793959702656</t>
        </is>
      </c>
      <c r="AY483" t="inlineStr">
        <is>
          <t>2254946890002656</t>
        </is>
      </c>
      <c r="AZ483" t="inlineStr">
        <is>
          <t>BOOK</t>
        </is>
      </c>
      <c r="BB483" t="inlineStr">
        <is>
          <t>9781879440005</t>
        </is>
      </c>
      <c r="BC483" t="inlineStr">
        <is>
          <t>32285004481270</t>
        </is>
      </c>
      <c r="BD483" t="inlineStr">
        <is>
          <t>893416807</t>
        </is>
      </c>
    </row>
    <row r="484">
      <c r="A484" t="inlineStr">
        <is>
          <t>No</t>
        </is>
      </c>
      <c r="B484" t="inlineStr">
        <is>
          <t>PE287.A1 O38 1994</t>
        </is>
      </c>
      <c r="C484" t="inlineStr">
        <is>
          <t>0                      PE 0287000A  1                  O  38          1994</t>
        </is>
      </c>
      <c r="D484" t="inlineStr">
        <is>
          <t>Old and Middle English texts with accompanying textual and linguistic apparatus / edited by William Vantuono.</t>
        </is>
      </c>
      <c r="F484" t="inlineStr">
        <is>
          <t>No</t>
        </is>
      </c>
      <c r="G484" t="inlineStr">
        <is>
          <t>1</t>
        </is>
      </c>
      <c r="H484" t="inlineStr">
        <is>
          <t>No</t>
        </is>
      </c>
      <c r="I484" t="inlineStr">
        <is>
          <t>No</t>
        </is>
      </c>
      <c r="J484" t="inlineStr">
        <is>
          <t>0</t>
        </is>
      </c>
      <c r="L484" t="inlineStr">
        <is>
          <t>New York : P. Lang, c1994.</t>
        </is>
      </c>
      <c r="M484" t="inlineStr">
        <is>
          <t>1994</t>
        </is>
      </c>
      <c r="O484" t="inlineStr">
        <is>
          <t>eng</t>
        </is>
      </c>
      <c r="P484" t="inlineStr">
        <is>
          <t>nyu</t>
        </is>
      </c>
      <c r="Q484" t="inlineStr">
        <is>
          <t>Berkeley insights in linguistics and semiotics ; vol. 12</t>
        </is>
      </c>
      <c r="R484" t="inlineStr">
        <is>
          <t xml:space="preserve">PE </t>
        </is>
      </c>
      <c r="S484" t="n">
        <v>1</v>
      </c>
      <c r="T484" t="n">
        <v>1</v>
      </c>
      <c r="U484" t="inlineStr">
        <is>
          <t>2004-10-31</t>
        </is>
      </c>
      <c r="V484" t="inlineStr">
        <is>
          <t>2004-10-31</t>
        </is>
      </c>
      <c r="W484" t="inlineStr">
        <is>
          <t>1995-11-09</t>
        </is>
      </c>
      <c r="X484" t="inlineStr">
        <is>
          <t>1995-11-09</t>
        </is>
      </c>
      <c r="Y484" t="n">
        <v>106</v>
      </c>
      <c r="Z484" t="n">
        <v>74</v>
      </c>
      <c r="AA484" t="n">
        <v>75</v>
      </c>
      <c r="AB484" t="n">
        <v>2</v>
      </c>
      <c r="AC484" t="n">
        <v>2</v>
      </c>
      <c r="AD484" t="n">
        <v>4</v>
      </c>
      <c r="AE484" t="n">
        <v>4</v>
      </c>
      <c r="AF484" t="n">
        <v>0</v>
      </c>
      <c r="AG484" t="n">
        <v>0</v>
      </c>
      <c r="AH484" t="n">
        <v>2</v>
      </c>
      <c r="AI484" t="n">
        <v>2</v>
      </c>
      <c r="AJ484" t="n">
        <v>2</v>
      </c>
      <c r="AK484" t="n">
        <v>2</v>
      </c>
      <c r="AL484" t="n">
        <v>1</v>
      </c>
      <c r="AM484" t="n">
        <v>1</v>
      </c>
      <c r="AN484" t="n">
        <v>0</v>
      </c>
      <c r="AO484" t="n">
        <v>0</v>
      </c>
      <c r="AP484" t="inlineStr">
        <is>
          <t>No</t>
        </is>
      </c>
      <c r="AQ484" t="inlineStr">
        <is>
          <t>Yes</t>
        </is>
      </c>
      <c r="AR484">
        <f>HYPERLINK("http://catalog.hathitrust.org/Record/008017287","HathiTrust Record")</f>
        <v/>
      </c>
      <c r="AS484">
        <f>HYPERLINK("https://creighton-primo.hosted.exlibrisgroup.com/primo-explore/search?tab=default_tab&amp;search_scope=EVERYTHING&amp;vid=01CRU&amp;lang=en_US&amp;offset=0&amp;query=any,contains,991002231029702656","Catalog Record")</f>
        <v/>
      </c>
      <c r="AT484">
        <f>HYPERLINK("http://www.worldcat.org/oclc/28722806","WorldCat Record")</f>
        <v/>
      </c>
      <c r="AU484" t="inlineStr">
        <is>
          <t>5218323010:eng</t>
        </is>
      </c>
      <c r="AV484" t="inlineStr">
        <is>
          <t>28722806</t>
        </is>
      </c>
      <c r="AW484" t="inlineStr">
        <is>
          <t>991002231029702656</t>
        </is>
      </c>
      <c r="AX484" t="inlineStr">
        <is>
          <t>991002231029702656</t>
        </is>
      </c>
      <c r="AY484" t="inlineStr">
        <is>
          <t>2265614080002656</t>
        </is>
      </c>
      <c r="AZ484" t="inlineStr">
        <is>
          <t>BOOK</t>
        </is>
      </c>
      <c r="BB484" t="inlineStr">
        <is>
          <t>9780820423463</t>
        </is>
      </c>
      <c r="BC484" t="inlineStr">
        <is>
          <t>32285002101482</t>
        </is>
      </c>
      <c r="BD484" t="inlineStr">
        <is>
          <t>893529700</t>
        </is>
      </c>
    </row>
    <row r="485">
      <c r="A485" t="inlineStr">
        <is>
          <t>No</t>
        </is>
      </c>
      <c r="B485" t="inlineStr">
        <is>
          <t>PE2970.W4 A3 1968</t>
        </is>
      </c>
      <c r="C485" t="inlineStr">
        <is>
          <t>0                      PE 2970000W  4                  A  3           1968</t>
        </is>
      </c>
      <c r="D485" t="inlineStr">
        <is>
          <t>Western words : a dictionary of the American West / by Ramon F. Adams.</t>
        </is>
      </c>
      <c r="F485" t="inlineStr">
        <is>
          <t>No</t>
        </is>
      </c>
      <c r="G485" t="inlineStr">
        <is>
          <t>1</t>
        </is>
      </c>
      <c r="H485" t="inlineStr">
        <is>
          <t>No</t>
        </is>
      </c>
      <c r="I485" t="inlineStr">
        <is>
          <t>No</t>
        </is>
      </c>
      <c r="J485" t="inlineStr">
        <is>
          <t>0</t>
        </is>
      </c>
      <c r="K485" t="inlineStr">
        <is>
          <t>Adams, Ramon F. (Ramon Frederick), 1889-1976.</t>
        </is>
      </c>
      <c r="L485" t="inlineStr">
        <is>
          <t>Norman : University of Oklahoma Press, [1968]</t>
        </is>
      </c>
      <c r="M485" t="inlineStr">
        <is>
          <t>1968</t>
        </is>
      </c>
      <c r="N485" t="inlineStr">
        <is>
          <t>New ed., rev. and enl.</t>
        </is>
      </c>
      <c r="O485" t="inlineStr">
        <is>
          <t>eng</t>
        </is>
      </c>
      <c r="P485" t="inlineStr">
        <is>
          <t>oku</t>
        </is>
      </c>
      <c r="R485" t="inlineStr">
        <is>
          <t xml:space="preserve">PE </t>
        </is>
      </c>
      <c r="S485" t="n">
        <v>2</v>
      </c>
      <c r="T485" t="n">
        <v>2</v>
      </c>
      <c r="U485" t="inlineStr">
        <is>
          <t>1994-05-04</t>
        </is>
      </c>
      <c r="V485" t="inlineStr">
        <is>
          <t>1994-05-04</t>
        </is>
      </c>
      <c r="W485" t="inlineStr">
        <is>
          <t>1993-04-27</t>
        </is>
      </c>
      <c r="X485" t="inlineStr">
        <is>
          <t>1993-04-27</t>
        </is>
      </c>
      <c r="Y485" t="n">
        <v>989</v>
      </c>
      <c r="Z485" t="n">
        <v>903</v>
      </c>
      <c r="AA485" t="n">
        <v>915</v>
      </c>
      <c r="AB485" t="n">
        <v>6</v>
      </c>
      <c r="AC485" t="n">
        <v>6</v>
      </c>
      <c r="AD485" t="n">
        <v>28</v>
      </c>
      <c r="AE485" t="n">
        <v>28</v>
      </c>
      <c r="AF485" t="n">
        <v>10</v>
      </c>
      <c r="AG485" t="n">
        <v>10</v>
      </c>
      <c r="AH485" t="n">
        <v>6</v>
      </c>
      <c r="AI485" t="n">
        <v>6</v>
      </c>
      <c r="AJ485" t="n">
        <v>14</v>
      </c>
      <c r="AK485" t="n">
        <v>14</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HYPERLINK("https://creighton-primo.hosted.exlibrisgroup.com/primo-explore/search?tab=default_tab&amp;search_scope=EVERYTHING&amp;vid=01CRU&amp;lang=en_US&amp;offset=0&amp;query=any,contains,991002308339702656","Catalog Record")</f>
        <v/>
      </c>
      <c r="AT485">
        <f>HYPERLINK("http://www.worldcat.org/oclc/319083","WorldCat Record")</f>
        <v/>
      </c>
      <c r="AU485" t="inlineStr">
        <is>
          <t>190730730:eng</t>
        </is>
      </c>
      <c r="AV485" t="inlineStr">
        <is>
          <t>319083</t>
        </is>
      </c>
      <c r="AW485" t="inlineStr">
        <is>
          <t>991002308339702656</t>
        </is>
      </c>
      <c r="AX485" t="inlineStr">
        <is>
          <t>991002308339702656</t>
        </is>
      </c>
      <c r="AY485" t="inlineStr">
        <is>
          <t>2270088240002656</t>
        </is>
      </c>
      <c r="AZ485" t="inlineStr">
        <is>
          <t>BOOK</t>
        </is>
      </c>
      <c r="BC485" t="inlineStr">
        <is>
          <t>32285001647667</t>
        </is>
      </c>
      <c r="BD485" t="inlineStr">
        <is>
          <t>893867052</t>
        </is>
      </c>
    </row>
    <row r="486">
      <c r="A486" t="inlineStr">
        <is>
          <t>No</t>
        </is>
      </c>
      <c r="B486" t="inlineStr">
        <is>
          <t>PE2970.W4 W3 1977</t>
        </is>
      </c>
      <c r="C486" t="inlineStr">
        <is>
          <t>0                      PE 2970000W  4                  W  3           1977</t>
        </is>
      </c>
      <c r="D486" t="inlineStr">
        <is>
          <t>A dictionary of the Old West, 1850-1900 / by Peter Watts.</t>
        </is>
      </c>
      <c r="F486" t="inlineStr">
        <is>
          <t>No</t>
        </is>
      </c>
      <c r="G486" t="inlineStr">
        <is>
          <t>1</t>
        </is>
      </c>
      <c r="H486" t="inlineStr">
        <is>
          <t>No</t>
        </is>
      </c>
      <c r="I486" t="inlineStr">
        <is>
          <t>No</t>
        </is>
      </c>
      <c r="J486" t="inlineStr">
        <is>
          <t>0</t>
        </is>
      </c>
      <c r="K486" t="inlineStr">
        <is>
          <t>Watts, Peter Christopher.</t>
        </is>
      </c>
      <c r="L486" t="inlineStr">
        <is>
          <t>New York : Knopf, 1977.</t>
        </is>
      </c>
      <c r="M486" t="inlineStr">
        <is>
          <t>1977</t>
        </is>
      </c>
      <c r="N486" t="inlineStr">
        <is>
          <t>1st ed.</t>
        </is>
      </c>
      <c r="O486" t="inlineStr">
        <is>
          <t>eng</t>
        </is>
      </c>
      <c r="P486" t="inlineStr">
        <is>
          <t>nyu</t>
        </is>
      </c>
      <c r="R486" t="inlineStr">
        <is>
          <t xml:space="preserve">PE </t>
        </is>
      </c>
      <c r="S486" t="n">
        <v>2</v>
      </c>
      <c r="T486" t="n">
        <v>2</v>
      </c>
      <c r="U486" t="inlineStr">
        <is>
          <t>1995-02-14</t>
        </is>
      </c>
      <c r="V486" t="inlineStr">
        <is>
          <t>1995-02-14</t>
        </is>
      </c>
      <c r="W486" t="inlineStr">
        <is>
          <t>1993-04-27</t>
        </is>
      </c>
      <c r="X486" t="inlineStr">
        <is>
          <t>1993-04-27</t>
        </is>
      </c>
      <c r="Y486" t="n">
        <v>918</v>
      </c>
      <c r="Z486" t="n">
        <v>837</v>
      </c>
      <c r="AA486" t="n">
        <v>1027</v>
      </c>
      <c r="AB486" t="n">
        <v>11</v>
      </c>
      <c r="AC486" t="n">
        <v>12</v>
      </c>
      <c r="AD486" t="n">
        <v>14</v>
      </c>
      <c r="AE486" t="n">
        <v>17</v>
      </c>
      <c r="AF486" t="n">
        <v>3</v>
      </c>
      <c r="AG486" t="n">
        <v>4</v>
      </c>
      <c r="AH486" t="n">
        <v>4</v>
      </c>
      <c r="AI486" t="n">
        <v>5</v>
      </c>
      <c r="AJ486" t="n">
        <v>6</v>
      </c>
      <c r="AK486" t="n">
        <v>8</v>
      </c>
      <c r="AL486" t="n">
        <v>4</v>
      </c>
      <c r="AM486" t="n">
        <v>4</v>
      </c>
      <c r="AN486" t="n">
        <v>0</v>
      </c>
      <c r="AO486" t="n">
        <v>0</v>
      </c>
      <c r="AP486" t="inlineStr">
        <is>
          <t>No</t>
        </is>
      </c>
      <c r="AQ486" t="inlineStr">
        <is>
          <t>Yes</t>
        </is>
      </c>
      <c r="AR486">
        <f>HYPERLINK("http://catalog.hathitrust.org/Record/000737008","HathiTrust Record")</f>
        <v/>
      </c>
      <c r="AS486">
        <f>HYPERLINK("https://creighton-primo.hosted.exlibrisgroup.com/primo-explore/search?tab=default_tab&amp;search_scope=EVERYTHING&amp;vid=01CRU&amp;lang=en_US&amp;offset=0&amp;query=any,contains,991004107439702656","Catalog Record")</f>
        <v/>
      </c>
      <c r="AT486">
        <f>HYPERLINK("http://www.worldcat.org/oclc/2388038","WorldCat Record")</f>
        <v/>
      </c>
      <c r="AU486" t="inlineStr">
        <is>
          <t>4950253:eng</t>
        </is>
      </c>
      <c r="AV486" t="inlineStr">
        <is>
          <t>2388038</t>
        </is>
      </c>
      <c r="AW486" t="inlineStr">
        <is>
          <t>991004107439702656</t>
        </is>
      </c>
      <c r="AX486" t="inlineStr">
        <is>
          <t>991004107439702656</t>
        </is>
      </c>
      <c r="AY486" t="inlineStr">
        <is>
          <t>2259309430002656</t>
        </is>
      </c>
      <c r="AZ486" t="inlineStr">
        <is>
          <t>BOOK</t>
        </is>
      </c>
      <c r="BC486" t="inlineStr">
        <is>
          <t>32285001647675</t>
        </is>
      </c>
      <c r="BD486" t="inlineStr">
        <is>
          <t>893349611</t>
        </is>
      </c>
    </row>
    <row r="487">
      <c r="A487" t="inlineStr">
        <is>
          <t>No</t>
        </is>
      </c>
      <c r="B487" t="inlineStr">
        <is>
          <t>PE3101.M8 M87 1986</t>
        </is>
      </c>
      <c r="C487" t="inlineStr">
        <is>
          <t>0                      PE 3101000M  8                  M  87          1986</t>
        </is>
      </c>
      <c r="D487" t="inlineStr">
        <is>
          <t>The language of St. Louis, Missouri : variation in the Gateway City / Thomas E. Murray.</t>
        </is>
      </c>
      <c r="F487" t="inlineStr">
        <is>
          <t>No</t>
        </is>
      </c>
      <c r="G487" t="inlineStr">
        <is>
          <t>1</t>
        </is>
      </c>
      <c r="H487" t="inlineStr">
        <is>
          <t>No</t>
        </is>
      </c>
      <c r="I487" t="inlineStr">
        <is>
          <t>No</t>
        </is>
      </c>
      <c r="J487" t="inlineStr">
        <is>
          <t>0</t>
        </is>
      </c>
      <c r="K487" t="inlineStr">
        <is>
          <t>Murray, Thomas E. (Thomas Edward), 1956-</t>
        </is>
      </c>
      <c r="L487" t="inlineStr">
        <is>
          <t>New York : P. Lang, c1986.</t>
        </is>
      </c>
      <c r="M487" t="inlineStr">
        <is>
          <t>1986</t>
        </is>
      </c>
      <c r="O487" t="inlineStr">
        <is>
          <t>eng</t>
        </is>
      </c>
      <c r="P487" t="inlineStr">
        <is>
          <t>nyu</t>
        </is>
      </c>
      <c r="Q487" t="inlineStr">
        <is>
          <t>American university studies. Series XIII, Linguistics ; v. 4</t>
        </is>
      </c>
      <c r="R487" t="inlineStr">
        <is>
          <t xml:space="preserve">PE </t>
        </is>
      </c>
      <c r="S487" t="n">
        <v>5</v>
      </c>
      <c r="T487" t="n">
        <v>5</v>
      </c>
      <c r="U487" t="inlineStr">
        <is>
          <t>2008-01-18</t>
        </is>
      </c>
      <c r="V487" t="inlineStr">
        <is>
          <t>2008-01-18</t>
        </is>
      </c>
      <c r="W487" t="inlineStr">
        <is>
          <t>1992-09-29</t>
        </is>
      </c>
      <c r="X487" t="inlineStr">
        <is>
          <t>1992-09-29</t>
        </is>
      </c>
      <c r="Y487" t="n">
        <v>101</v>
      </c>
      <c r="Z487" t="n">
        <v>77</v>
      </c>
      <c r="AA487" t="n">
        <v>79</v>
      </c>
      <c r="AB487" t="n">
        <v>2</v>
      </c>
      <c r="AC487" t="n">
        <v>2</v>
      </c>
      <c r="AD487" t="n">
        <v>2</v>
      </c>
      <c r="AE487" t="n">
        <v>2</v>
      </c>
      <c r="AF487" t="n">
        <v>0</v>
      </c>
      <c r="AG487" t="n">
        <v>0</v>
      </c>
      <c r="AH487" t="n">
        <v>0</v>
      </c>
      <c r="AI487" t="n">
        <v>0</v>
      </c>
      <c r="AJ487" t="n">
        <v>1</v>
      </c>
      <c r="AK487" t="n">
        <v>1</v>
      </c>
      <c r="AL487" t="n">
        <v>1</v>
      </c>
      <c r="AM487" t="n">
        <v>1</v>
      </c>
      <c r="AN487" t="n">
        <v>0</v>
      </c>
      <c r="AO487" t="n">
        <v>0</v>
      </c>
      <c r="AP487" t="inlineStr">
        <is>
          <t>No</t>
        </is>
      </c>
      <c r="AQ487" t="inlineStr">
        <is>
          <t>Yes</t>
        </is>
      </c>
      <c r="AR487">
        <f>HYPERLINK("http://catalog.hathitrust.org/Record/000820802","HathiTrust Record")</f>
        <v/>
      </c>
      <c r="AS487">
        <f>HYPERLINK("https://creighton-primo.hosted.exlibrisgroup.com/primo-explore/search?tab=default_tab&amp;search_scope=EVERYTHING&amp;vid=01CRU&amp;lang=en_US&amp;offset=0&amp;query=any,contains,991000885869702656","Catalog Record")</f>
        <v/>
      </c>
      <c r="AT487">
        <f>HYPERLINK("http://www.worldcat.org/oclc/13861012","WorldCat Record")</f>
        <v/>
      </c>
      <c r="AU487" t="inlineStr">
        <is>
          <t>365264337:eng</t>
        </is>
      </c>
      <c r="AV487" t="inlineStr">
        <is>
          <t>13861012</t>
        </is>
      </c>
      <c r="AW487" t="inlineStr">
        <is>
          <t>991000885869702656</t>
        </is>
      </c>
      <c r="AX487" t="inlineStr">
        <is>
          <t>991000885869702656</t>
        </is>
      </c>
      <c r="AY487" t="inlineStr">
        <is>
          <t>2262363150002656</t>
        </is>
      </c>
      <c r="AZ487" t="inlineStr">
        <is>
          <t>BOOK</t>
        </is>
      </c>
      <c r="BB487" t="inlineStr">
        <is>
          <t>9780820403243</t>
        </is>
      </c>
      <c r="BC487" t="inlineStr">
        <is>
          <t>32285001323236</t>
        </is>
      </c>
      <c r="BD487" t="inlineStr">
        <is>
          <t>893626490</t>
        </is>
      </c>
    </row>
    <row r="488">
      <c r="A488" t="inlineStr">
        <is>
          <t>No</t>
        </is>
      </c>
      <c r="B488" t="inlineStr">
        <is>
          <t>PE3102.N4 B4</t>
        </is>
      </c>
      <c r="C488" t="inlineStr">
        <is>
          <t>0                      PE 3102000N  4                  B  4</t>
        </is>
      </c>
      <c r="D488" t="inlineStr">
        <is>
          <t>Black language reader / [compiled by] Robert H. Bentley [and] Samuel D. Crawford.</t>
        </is>
      </c>
      <c r="F488" t="inlineStr">
        <is>
          <t>No</t>
        </is>
      </c>
      <c r="G488" t="inlineStr">
        <is>
          <t>1</t>
        </is>
      </c>
      <c r="H488" t="inlineStr">
        <is>
          <t>No</t>
        </is>
      </c>
      <c r="I488" t="inlineStr">
        <is>
          <t>No</t>
        </is>
      </c>
      <c r="J488" t="inlineStr">
        <is>
          <t>0</t>
        </is>
      </c>
      <c r="K488" t="inlineStr">
        <is>
          <t>Bentley, Robert H., compiler.</t>
        </is>
      </c>
      <c r="L488" t="inlineStr">
        <is>
          <t>Glenview, Ill. : Scott, Foresman, c1973.</t>
        </is>
      </c>
      <c r="M488" t="inlineStr">
        <is>
          <t>1973</t>
        </is>
      </c>
      <c r="O488" t="inlineStr">
        <is>
          <t>eng</t>
        </is>
      </c>
      <c r="P488" t="inlineStr">
        <is>
          <t>ilu</t>
        </is>
      </c>
      <c r="R488" t="inlineStr">
        <is>
          <t xml:space="preserve">PE </t>
        </is>
      </c>
      <c r="S488" t="n">
        <v>9</v>
      </c>
      <c r="T488" t="n">
        <v>9</v>
      </c>
      <c r="U488" t="inlineStr">
        <is>
          <t>2003-03-05</t>
        </is>
      </c>
      <c r="V488" t="inlineStr">
        <is>
          <t>2003-03-05</t>
        </is>
      </c>
      <c r="W488" t="inlineStr">
        <is>
          <t>1993-04-27</t>
        </is>
      </c>
      <c r="X488" t="inlineStr">
        <is>
          <t>1993-04-27</t>
        </is>
      </c>
      <c r="Y488" t="n">
        <v>431</v>
      </c>
      <c r="Z488" t="n">
        <v>404</v>
      </c>
      <c r="AA488" t="n">
        <v>410</v>
      </c>
      <c r="AB488" t="n">
        <v>4</v>
      </c>
      <c r="AC488" t="n">
        <v>4</v>
      </c>
      <c r="AD488" t="n">
        <v>15</v>
      </c>
      <c r="AE488" t="n">
        <v>15</v>
      </c>
      <c r="AF488" t="n">
        <v>4</v>
      </c>
      <c r="AG488" t="n">
        <v>4</v>
      </c>
      <c r="AH488" t="n">
        <v>4</v>
      </c>
      <c r="AI488" t="n">
        <v>4</v>
      </c>
      <c r="AJ488" t="n">
        <v>6</v>
      </c>
      <c r="AK488" t="n">
        <v>6</v>
      </c>
      <c r="AL488" t="n">
        <v>3</v>
      </c>
      <c r="AM488" t="n">
        <v>3</v>
      </c>
      <c r="AN488" t="n">
        <v>0</v>
      </c>
      <c r="AO488" t="n">
        <v>0</v>
      </c>
      <c r="AP488" t="inlineStr">
        <is>
          <t>No</t>
        </is>
      </c>
      <c r="AQ488" t="inlineStr">
        <is>
          <t>Yes</t>
        </is>
      </c>
      <c r="AR488">
        <f>HYPERLINK("http://catalog.hathitrust.org/Record/001193674","HathiTrust Record")</f>
        <v/>
      </c>
      <c r="AS488">
        <f>HYPERLINK("https://creighton-primo.hosted.exlibrisgroup.com/primo-explore/search?tab=default_tab&amp;search_scope=EVERYTHING&amp;vid=01CRU&amp;lang=en_US&amp;offset=0&amp;query=any,contains,991003262149702656","Catalog Record")</f>
        <v/>
      </c>
      <c r="AT488">
        <f>HYPERLINK("http://www.worldcat.org/oclc/788473","WorldCat Record")</f>
        <v/>
      </c>
      <c r="AU488" t="inlineStr">
        <is>
          <t>1727696:eng</t>
        </is>
      </c>
      <c r="AV488" t="inlineStr">
        <is>
          <t>788473</t>
        </is>
      </c>
      <c r="AW488" t="inlineStr">
        <is>
          <t>991003262149702656</t>
        </is>
      </c>
      <c r="AX488" t="inlineStr">
        <is>
          <t>991003262149702656</t>
        </is>
      </c>
      <c r="AY488" t="inlineStr">
        <is>
          <t>2266337500002656</t>
        </is>
      </c>
      <c r="AZ488" t="inlineStr">
        <is>
          <t>BOOK</t>
        </is>
      </c>
      <c r="BB488" t="inlineStr">
        <is>
          <t>9780673076830</t>
        </is>
      </c>
      <c r="BC488" t="inlineStr">
        <is>
          <t>32285001647683</t>
        </is>
      </c>
      <c r="BD488" t="inlineStr">
        <is>
          <t>893899787</t>
        </is>
      </c>
    </row>
    <row r="489">
      <c r="A489" t="inlineStr">
        <is>
          <t>No</t>
        </is>
      </c>
      <c r="B489" t="inlineStr">
        <is>
          <t>PE3102.N4 B8</t>
        </is>
      </c>
      <c r="C489" t="inlineStr">
        <is>
          <t>0                      PE 3102000N  4                  B  8</t>
        </is>
      </c>
      <c r="D489" t="inlineStr">
        <is>
          <t>English in Black and white.</t>
        </is>
      </c>
      <c r="F489" t="inlineStr">
        <is>
          <t>No</t>
        </is>
      </c>
      <c r="G489" t="inlineStr">
        <is>
          <t>1</t>
        </is>
      </c>
      <c r="H489" t="inlineStr">
        <is>
          <t>No</t>
        </is>
      </c>
      <c r="I489" t="inlineStr">
        <is>
          <t>No</t>
        </is>
      </c>
      <c r="J489" t="inlineStr">
        <is>
          <t>0</t>
        </is>
      </c>
      <c r="K489" t="inlineStr">
        <is>
          <t>Burling, Robbins.</t>
        </is>
      </c>
      <c r="L489" t="inlineStr">
        <is>
          <t>New York : Holt, Rinehart and Winston, [1973]</t>
        </is>
      </c>
      <c r="M489" t="inlineStr">
        <is>
          <t>1973</t>
        </is>
      </c>
      <c r="O489" t="inlineStr">
        <is>
          <t>eng</t>
        </is>
      </c>
      <c r="P489" t="inlineStr">
        <is>
          <t>nyu</t>
        </is>
      </c>
      <c r="R489" t="inlineStr">
        <is>
          <t xml:space="preserve">PE </t>
        </is>
      </c>
      <c r="S489" t="n">
        <v>16</v>
      </c>
      <c r="T489" t="n">
        <v>16</v>
      </c>
      <c r="U489" t="inlineStr">
        <is>
          <t>1999-11-14</t>
        </is>
      </c>
      <c r="V489" t="inlineStr">
        <is>
          <t>1999-11-14</t>
        </is>
      </c>
      <c r="W489" t="inlineStr">
        <is>
          <t>1993-03-18</t>
        </is>
      </c>
      <c r="X489" t="inlineStr">
        <is>
          <t>1993-03-18</t>
        </is>
      </c>
      <c r="Y489" t="n">
        <v>592</v>
      </c>
      <c r="Z489" t="n">
        <v>503</v>
      </c>
      <c r="AA489" t="n">
        <v>510</v>
      </c>
      <c r="AB489" t="n">
        <v>7</v>
      </c>
      <c r="AC489" t="n">
        <v>7</v>
      </c>
      <c r="AD489" t="n">
        <v>26</v>
      </c>
      <c r="AE489" t="n">
        <v>26</v>
      </c>
      <c r="AF489" t="n">
        <v>9</v>
      </c>
      <c r="AG489" t="n">
        <v>9</v>
      </c>
      <c r="AH489" t="n">
        <v>4</v>
      </c>
      <c r="AI489" t="n">
        <v>4</v>
      </c>
      <c r="AJ489" t="n">
        <v>13</v>
      </c>
      <c r="AK489" t="n">
        <v>13</v>
      </c>
      <c r="AL489" t="n">
        <v>6</v>
      </c>
      <c r="AM489" t="n">
        <v>6</v>
      </c>
      <c r="AN489" t="n">
        <v>0</v>
      </c>
      <c r="AO489" t="n">
        <v>0</v>
      </c>
      <c r="AP489" t="inlineStr">
        <is>
          <t>No</t>
        </is>
      </c>
      <c r="AQ489" t="inlineStr">
        <is>
          <t>Yes</t>
        </is>
      </c>
      <c r="AR489">
        <f>HYPERLINK("http://catalog.hathitrust.org/Record/001193675","HathiTrust Record")</f>
        <v/>
      </c>
      <c r="AS489">
        <f>HYPERLINK("https://creighton-primo.hosted.exlibrisgroup.com/primo-explore/search?tab=default_tab&amp;search_scope=EVERYTHING&amp;vid=01CRU&amp;lang=en_US&amp;offset=0&amp;query=any,contains,991003248649702656","Catalog Record")</f>
        <v/>
      </c>
      <c r="AT489">
        <f>HYPERLINK("http://www.worldcat.org/oclc/773464","WorldCat Record")</f>
        <v/>
      </c>
      <c r="AU489" t="inlineStr">
        <is>
          <t>400943:eng</t>
        </is>
      </c>
      <c r="AV489" t="inlineStr">
        <is>
          <t>773464</t>
        </is>
      </c>
      <c r="AW489" t="inlineStr">
        <is>
          <t>991003248649702656</t>
        </is>
      </c>
      <c r="AX489" t="inlineStr">
        <is>
          <t>991003248649702656</t>
        </is>
      </c>
      <c r="AY489" t="inlineStr">
        <is>
          <t>2265722760002656</t>
        </is>
      </c>
      <c r="AZ489" t="inlineStr">
        <is>
          <t>BOOK</t>
        </is>
      </c>
      <c r="BB489" t="inlineStr">
        <is>
          <t>9780030104312</t>
        </is>
      </c>
      <c r="BC489" t="inlineStr">
        <is>
          <t>32285001574200</t>
        </is>
      </c>
      <c r="BD489" t="inlineStr">
        <is>
          <t>893623303</t>
        </is>
      </c>
    </row>
    <row r="490">
      <c r="A490" t="inlineStr">
        <is>
          <t>No</t>
        </is>
      </c>
      <c r="B490" t="inlineStr">
        <is>
          <t>PE3102.N4 D5 1972</t>
        </is>
      </c>
      <c r="C490" t="inlineStr">
        <is>
          <t>0                      PE 3102000N  4                  D  5           1972</t>
        </is>
      </c>
      <c r="D490" t="inlineStr">
        <is>
          <t>Black English : its history and usage in the United States / [by] J. L. Dillard.</t>
        </is>
      </c>
      <c r="F490" t="inlineStr">
        <is>
          <t>No</t>
        </is>
      </c>
      <c r="G490" t="inlineStr">
        <is>
          <t>1</t>
        </is>
      </c>
      <c r="H490" t="inlineStr">
        <is>
          <t>No</t>
        </is>
      </c>
      <c r="I490" t="inlineStr">
        <is>
          <t>No</t>
        </is>
      </c>
      <c r="J490" t="inlineStr">
        <is>
          <t>0</t>
        </is>
      </c>
      <c r="K490" t="inlineStr">
        <is>
          <t>Dillard, J. L. (Joey Lee), 1924-</t>
        </is>
      </c>
      <c r="L490" t="inlineStr">
        <is>
          <t>New York : Random House, [1972]</t>
        </is>
      </c>
      <c r="M490" t="inlineStr">
        <is>
          <t>1972</t>
        </is>
      </c>
      <c r="N490" t="inlineStr">
        <is>
          <t>[1st ed.]</t>
        </is>
      </c>
      <c r="O490" t="inlineStr">
        <is>
          <t>eng</t>
        </is>
      </c>
      <c r="P490" t="inlineStr">
        <is>
          <t>nyu</t>
        </is>
      </c>
      <c r="R490" t="inlineStr">
        <is>
          <t xml:space="preserve">PE </t>
        </is>
      </c>
      <c r="S490" t="n">
        <v>17</v>
      </c>
      <c r="T490" t="n">
        <v>17</v>
      </c>
      <c r="U490" t="inlineStr">
        <is>
          <t>2003-03-05</t>
        </is>
      </c>
      <c r="V490" t="inlineStr">
        <is>
          <t>2003-03-05</t>
        </is>
      </c>
      <c r="W490" t="inlineStr">
        <is>
          <t>1990-06-15</t>
        </is>
      </c>
      <c r="X490" t="inlineStr">
        <is>
          <t>1990-06-15</t>
        </is>
      </c>
      <c r="Y490" t="n">
        <v>1606</v>
      </c>
      <c r="Z490" t="n">
        <v>1447</v>
      </c>
      <c r="AA490" t="n">
        <v>1749</v>
      </c>
      <c r="AB490" t="n">
        <v>13</v>
      </c>
      <c r="AC490" t="n">
        <v>13</v>
      </c>
      <c r="AD490" t="n">
        <v>51</v>
      </c>
      <c r="AE490" t="n">
        <v>53</v>
      </c>
      <c r="AF490" t="n">
        <v>19</v>
      </c>
      <c r="AG490" t="n">
        <v>21</v>
      </c>
      <c r="AH490" t="n">
        <v>11</v>
      </c>
      <c r="AI490" t="n">
        <v>11</v>
      </c>
      <c r="AJ490" t="n">
        <v>21</v>
      </c>
      <c r="AK490" t="n">
        <v>21</v>
      </c>
      <c r="AL490" t="n">
        <v>10</v>
      </c>
      <c r="AM490" t="n">
        <v>10</v>
      </c>
      <c r="AN490" t="n">
        <v>0</v>
      </c>
      <c r="AO490" t="n">
        <v>0</v>
      </c>
      <c r="AP490" t="inlineStr">
        <is>
          <t>No</t>
        </is>
      </c>
      <c r="AQ490" t="inlineStr">
        <is>
          <t>Yes</t>
        </is>
      </c>
      <c r="AR490">
        <f>HYPERLINK("http://catalog.hathitrust.org/Record/001183445","HathiTrust Record")</f>
        <v/>
      </c>
      <c r="AS490">
        <f>HYPERLINK("https://creighton-primo.hosted.exlibrisgroup.com/primo-explore/search?tab=default_tab&amp;search_scope=EVERYTHING&amp;vid=01CRU&amp;lang=en_US&amp;offset=0&amp;query=any,contains,991002247149702656","Catalog Record")</f>
        <v/>
      </c>
      <c r="AT490">
        <f>HYPERLINK("http://www.worldcat.org/oclc/297670","WorldCat Record")</f>
        <v/>
      </c>
      <c r="AU490" t="inlineStr">
        <is>
          <t>1499996:eng</t>
        </is>
      </c>
      <c r="AV490" t="inlineStr">
        <is>
          <t>297670</t>
        </is>
      </c>
      <c r="AW490" t="inlineStr">
        <is>
          <t>991002247149702656</t>
        </is>
      </c>
      <c r="AX490" t="inlineStr">
        <is>
          <t>991002247149702656</t>
        </is>
      </c>
      <c r="AY490" t="inlineStr">
        <is>
          <t>2264849890002656</t>
        </is>
      </c>
      <c r="AZ490" t="inlineStr">
        <is>
          <t>BOOK</t>
        </is>
      </c>
      <c r="BB490" t="inlineStr">
        <is>
          <t>9780394467603</t>
        </is>
      </c>
      <c r="BC490" t="inlineStr">
        <is>
          <t>32285000197581</t>
        </is>
      </c>
      <c r="BD490" t="inlineStr">
        <is>
          <t>893615891</t>
        </is>
      </c>
    </row>
    <row r="491">
      <c r="A491" t="inlineStr">
        <is>
          <t>No</t>
        </is>
      </c>
      <c r="B491" t="inlineStr">
        <is>
          <t>PE3102.N4 L3</t>
        </is>
      </c>
      <c r="C491" t="inlineStr">
        <is>
          <t>0                      PE 3102000N  4                  L  3</t>
        </is>
      </c>
      <c r="D491" t="inlineStr">
        <is>
          <t>Language in the inner city : studies in the Black English vernacular / William Labov.</t>
        </is>
      </c>
      <c r="F491" t="inlineStr">
        <is>
          <t>No</t>
        </is>
      </c>
      <c r="G491" t="inlineStr">
        <is>
          <t>1</t>
        </is>
      </c>
      <c r="H491" t="inlineStr">
        <is>
          <t>No</t>
        </is>
      </c>
      <c r="I491" t="inlineStr">
        <is>
          <t>No</t>
        </is>
      </c>
      <c r="J491" t="inlineStr">
        <is>
          <t>0</t>
        </is>
      </c>
      <c r="K491" t="inlineStr">
        <is>
          <t>Labov, William.</t>
        </is>
      </c>
      <c r="L491" t="inlineStr">
        <is>
          <t>Philadelphia : University of Pennsylvania Press, [c1972]</t>
        </is>
      </c>
      <c r="M491" t="inlineStr">
        <is>
          <t>1972</t>
        </is>
      </c>
      <c r="O491" t="inlineStr">
        <is>
          <t>eng</t>
        </is>
      </c>
      <c r="P491" t="inlineStr">
        <is>
          <t>pau</t>
        </is>
      </c>
      <c r="R491" t="inlineStr">
        <is>
          <t xml:space="preserve">PE </t>
        </is>
      </c>
      <c r="S491" t="n">
        <v>16</v>
      </c>
      <c r="T491" t="n">
        <v>16</v>
      </c>
      <c r="U491" t="inlineStr">
        <is>
          <t>1999-12-05</t>
        </is>
      </c>
      <c r="V491" t="inlineStr">
        <is>
          <t>1999-12-05</t>
        </is>
      </c>
      <c r="W491" t="inlineStr">
        <is>
          <t>1990-12-07</t>
        </is>
      </c>
      <c r="X491" t="inlineStr">
        <is>
          <t>1990-12-07</t>
        </is>
      </c>
      <c r="Y491" t="n">
        <v>1148</v>
      </c>
      <c r="Z491" t="n">
        <v>967</v>
      </c>
      <c r="AA491" t="n">
        <v>1231</v>
      </c>
      <c r="AB491" t="n">
        <v>10</v>
      </c>
      <c r="AC491" t="n">
        <v>34</v>
      </c>
      <c r="AD491" t="n">
        <v>48</v>
      </c>
      <c r="AE491" t="n">
        <v>57</v>
      </c>
      <c r="AF491" t="n">
        <v>21</v>
      </c>
      <c r="AG491" t="n">
        <v>23</v>
      </c>
      <c r="AH491" t="n">
        <v>9</v>
      </c>
      <c r="AI491" t="n">
        <v>9</v>
      </c>
      <c r="AJ491" t="n">
        <v>19</v>
      </c>
      <c r="AK491" t="n">
        <v>21</v>
      </c>
      <c r="AL491" t="n">
        <v>9</v>
      </c>
      <c r="AM491" t="n">
        <v>15</v>
      </c>
      <c r="AN491" t="n">
        <v>0</v>
      </c>
      <c r="AO491" t="n">
        <v>0</v>
      </c>
      <c r="AP491" t="inlineStr">
        <is>
          <t>No</t>
        </is>
      </c>
      <c r="AQ491" t="inlineStr">
        <is>
          <t>Yes</t>
        </is>
      </c>
      <c r="AR491">
        <f>HYPERLINK("http://catalog.hathitrust.org/Record/001193676","HathiTrust Record")</f>
        <v/>
      </c>
      <c r="AS491">
        <f>HYPERLINK("https://creighton-primo.hosted.exlibrisgroup.com/primo-explore/search?tab=default_tab&amp;search_scope=EVERYTHING&amp;vid=01CRU&amp;lang=en_US&amp;offset=0&amp;query=any,contains,991003087129702656","Catalog Record")</f>
        <v/>
      </c>
      <c r="AT491">
        <f>HYPERLINK("http://www.worldcat.org/oclc/637515","WorldCat Record")</f>
        <v/>
      </c>
      <c r="AU491" t="inlineStr">
        <is>
          <t>472398:eng</t>
        </is>
      </c>
      <c r="AV491" t="inlineStr">
        <is>
          <t>637515</t>
        </is>
      </c>
      <c r="AW491" t="inlineStr">
        <is>
          <t>991003087129702656</t>
        </is>
      </c>
      <c r="AX491" t="inlineStr">
        <is>
          <t>991003087129702656</t>
        </is>
      </c>
      <c r="AY491" t="inlineStr">
        <is>
          <t>2256676920002656</t>
        </is>
      </c>
      <c r="AZ491" t="inlineStr">
        <is>
          <t>BOOK</t>
        </is>
      </c>
      <c r="BB491" t="inlineStr">
        <is>
          <t>9780812276589</t>
        </is>
      </c>
      <c r="BC491" t="inlineStr">
        <is>
          <t>32285000359314</t>
        </is>
      </c>
      <c r="BD491" t="inlineStr">
        <is>
          <t>893409907</t>
        </is>
      </c>
    </row>
    <row r="492">
      <c r="A492" t="inlineStr">
        <is>
          <t>No</t>
        </is>
      </c>
      <c r="B492" t="inlineStr">
        <is>
          <t>PE3102.N4 P4</t>
        </is>
      </c>
      <c r="C492" t="inlineStr">
        <is>
          <t>0                      PE 3102000N  4                  P  4</t>
        </is>
      </c>
      <c r="D492" t="inlineStr">
        <is>
          <t>Perspectives on black English / ed. J. Dillard.</t>
        </is>
      </c>
      <c r="F492" t="inlineStr">
        <is>
          <t>No</t>
        </is>
      </c>
      <c r="G492" t="inlineStr">
        <is>
          <t>1</t>
        </is>
      </c>
      <c r="H492" t="inlineStr">
        <is>
          <t>No</t>
        </is>
      </c>
      <c r="I492" t="inlineStr">
        <is>
          <t>No</t>
        </is>
      </c>
      <c r="J492" t="inlineStr">
        <is>
          <t>0</t>
        </is>
      </c>
      <c r="L492" t="inlineStr">
        <is>
          <t>The Hague : Mouton, [1975]</t>
        </is>
      </c>
      <c r="M492" t="inlineStr">
        <is>
          <t>1975</t>
        </is>
      </c>
      <c r="O492" t="inlineStr">
        <is>
          <t>eng</t>
        </is>
      </c>
      <c r="P492" t="inlineStr">
        <is>
          <t xml:space="preserve">ne </t>
        </is>
      </c>
      <c r="Q492" t="inlineStr">
        <is>
          <t>Contributions to the sociology of language ; 4</t>
        </is>
      </c>
      <c r="R492" t="inlineStr">
        <is>
          <t xml:space="preserve">PE </t>
        </is>
      </c>
      <c r="S492" t="n">
        <v>19</v>
      </c>
      <c r="T492" t="n">
        <v>19</v>
      </c>
      <c r="U492" t="inlineStr">
        <is>
          <t>2008-04-09</t>
        </is>
      </c>
      <c r="V492" t="inlineStr">
        <is>
          <t>2008-04-09</t>
        </is>
      </c>
      <c r="W492" t="inlineStr">
        <is>
          <t>1990-11-19</t>
        </is>
      </c>
      <c r="X492" t="inlineStr">
        <is>
          <t>1990-11-19</t>
        </is>
      </c>
      <c r="Y492" t="n">
        <v>673</v>
      </c>
      <c r="Z492" t="n">
        <v>550</v>
      </c>
      <c r="AA492" t="n">
        <v>975</v>
      </c>
      <c r="AB492" t="n">
        <v>4</v>
      </c>
      <c r="AC492" t="n">
        <v>14</v>
      </c>
      <c r="AD492" t="n">
        <v>27</v>
      </c>
      <c r="AE492" t="n">
        <v>45</v>
      </c>
      <c r="AF492" t="n">
        <v>7</v>
      </c>
      <c r="AG492" t="n">
        <v>13</v>
      </c>
      <c r="AH492" t="n">
        <v>9</v>
      </c>
      <c r="AI492" t="n">
        <v>10</v>
      </c>
      <c r="AJ492" t="n">
        <v>15</v>
      </c>
      <c r="AK492" t="n">
        <v>17</v>
      </c>
      <c r="AL492" t="n">
        <v>3</v>
      </c>
      <c r="AM492" t="n">
        <v>12</v>
      </c>
      <c r="AN492" t="n">
        <v>0</v>
      </c>
      <c r="AO492" t="n">
        <v>1</v>
      </c>
      <c r="AP492" t="inlineStr">
        <is>
          <t>No</t>
        </is>
      </c>
      <c r="AQ492" t="inlineStr">
        <is>
          <t>Yes</t>
        </is>
      </c>
      <c r="AR492">
        <f>HYPERLINK("http://catalog.hathitrust.org/Record/001441198","HathiTrust Record")</f>
        <v/>
      </c>
      <c r="AS492">
        <f>HYPERLINK("https://creighton-primo.hosted.exlibrisgroup.com/primo-explore/search?tab=default_tab&amp;search_scope=EVERYTHING&amp;vid=01CRU&amp;lang=en_US&amp;offset=0&amp;query=any,contains,991003934549702656","Catalog Record")</f>
        <v/>
      </c>
      <c r="AT492">
        <f>HYPERLINK("http://www.worldcat.org/oclc/1908814","WorldCat Record")</f>
        <v/>
      </c>
      <c r="AU492" t="inlineStr">
        <is>
          <t>568400:eng</t>
        </is>
      </c>
      <c r="AV492" t="inlineStr">
        <is>
          <t>1908814</t>
        </is>
      </c>
      <c r="AW492" t="inlineStr">
        <is>
          <t>991003934549702656</t>
        </is>
      </c>
      <c r="AX492" t="inlineStr">
        <is>
          <t>991003934549702656</t>
        </is>
      </c>
      <c r="AY492" t="inlineStr">
        <is>
          <t>2270182010002656</t>
        </is>
      </c>
      <c r="AZ492" t="inlineStr">
        <is>
          <t>BOOK</t>
        </is>
      </c>
      <c r="BB492" t="inlineStr">
        <is>
          <t>9789027978110</t>
        </is>
      </c>
      <c r="BC492" t="inlineStr">
        <is>
          <t>32285000396829</t>
        </is>
      </c>
      <c r="BD492" t="inlineStr">
        <is>
          <t>893800386</t>
        </is>
      </c>
    </row>
    <row r="493">
      <c r="A493" t="inlineStr">
        <is>
          <t>No</t>
        </is>
      </c>
      <c r="B493" t="inlineStr">
        <is>
          <t>PE3102.N42 B6</t>
        </is>
      </c>
      <c r="C493" t="inlineStr">
        <is>
          <t>0                      PE 3102000N  42                 B  6</t>
        </is>
      </c>
      <c r="D493" t="inlineStr">
        <is>
          <t>Black English : a seminar / edited by Deborah Sears Harrison, Tom Trabasso. --</t>
        </is>
      </c>
      <c r="F493" t="inlineStr">
        <is>
          <t>No</t>
        </is>
      </c>
      <c r="G493" t="inlineStr">
        <is>
          <t>1</t>
        </is>
      </c>
      <c r="H493" t="inlineStr">
        <is>
          <t>No</t>
        </is>
      </c>
      <c r="I493" t="inlineStr">
        <is>
          <t>No</t>
        </is>
      </c>
      <c r="J493" t="inlineStr">
        <is>
          <t>0</t>
        </is>
      </c>
      <c r="L493" t="inlineStr">
        <is>
          <t>Hillsdale, N.J. : Lawrence Erlbaum Associates ; New York : distributed by Halsted Press Division of Wiley, 1976.</t>
        </is>
      </c>
      <c r="M493" t="inlineStr">
        <is>
          <t>1976</t>
        </is>
      </c>
      <c r="O493" t="inlineStr">
        <is>
          <t>eng</t>
        </is>
      </c>
      <c r="P493" t="inlineStr">
        <is>
          <t>nju</t>
        </is>
      </c>
      <c r="R493" t="inlineStr">
        <is>
          <t xml:space="preserve">PE </t>
        </is>
      </c>
      <c r="S493" t="n">
        <v>14</v>
      </c>
      <c r="T493" t="n">
        <v>14</v>
      </c>
      <c r="U493" t="inlineStr">
        <is>
          <t>2001-04-17</t>
        </is>
      </c>
      <c r="V493" t="inlineStr">
        <is>
          <t>2001-04-17</t>
        </is>
      </c>
      <c r="W493" t="inlineStr">
        <is>
          <t>1993-04-27</t>
        </is>
      </c>
      <c r="X493" t="inlineStr">
        <is>
          <t>1993-04-27</t>
        </is>
      </c>
      <c r="Y493" t="n">
        <v>721</v>
      </c>
      <c r="Z493" t="n">
        <v>633</v>
      </c>
      <c r="AA493" t="n">
        <v>643</v>
      </c>
      <c r="AB493" t="n">
        <v>4</v>
      </c>
      <c r="AC493" t="n">
        <v>4</v>
      </c>
      <c r="AD493" t="n">
        <v>22</v>
      </c>
      <c r="AE493" t="n">
        <v>22</v>
      </c>
      <c r="AF493" t="n">
        <v>8</v>
      </c>
      <c r="AG493" t="n">
        <v>8</v>
      </c>
      <c r="AH493" t="n">
        <v>4</v>
      </c>
      <c r="AI493" t="n">
        <v>4</v>
      </c>
      <c r="AJ493" t="n">
        <v>12</v>
      </c>
      <c r="AK493" t="n">
        <v>12</v>
      </c>
      <c r="AL493" t="n">
        <v>3</v>
      </c>
      <c r="AM493" t="n">
        <v>3</v>
      </c>
      <c r="AN493" t="n">
        <v>0</v>
      </c>
      <c r="AO493" t="n">
        <v>0</v>
      </c>
      <c r="AP493" t="inlineStr">
        <is>
          <t>No</t>
        </is>
      </c>
      <c r="AQ493" t="inlineStr">
        <is>
          <t>Yes</t>
        </is>
      </c>
      <c r="AR493">
        <f>HYPERLINK("http://catalog.hathitrust.org/Record/000694864","HathiTrust Record")</f>
        <v/>
      </c>
      <c r="AS493">
        <f>HYPERLINK("https://creighton-primo.hosted.exlibrisgroup.com/primo-explore/search?tab=default_tab&amp;search_scope=EVERYTHING&amp;vid=01CRU&amp;lang=en_US&amp;offset=0&amp;query=any,contains,991004037479702656","Catalog Record")</f>
        <v/>
      </c>
      <c r="AT493">
        <f>HYPERLINK("http://www.worldcat.org/oclc/2176655","WorldCat Record")</f>
        <v/>
      </c>
      <c r="AU493" t="inlineStr">
        <is>
          <t>836655126:eng</t>
        </is>
      </c>
      <c r="AV493" t="inlineStr">
        <is>
          <t>2176655</t>
        </is>
      </c>
      <c r="AW493" t="inlineStr">
        <is>
          <t>991004037479702656</t>
        </is>
      </c>
      <c r="AX493" t="inlineStr">
        <is>
          <t>991004037479702656</t>
        </is>
      </c>
      <c r="AY493" t="inlineStr">
        <is>
          <t>2264973040002656</t>
        </is>
      </c>
      <c r="AZ493" t="inlineStr">
        <is>
          <t>BOOK</t>
        </is>
      </c>
      <c r="BB493" t="inlineStr">
        <is>
          <t>9780470013953</t>
        </is>
      </c>
      <c r="BC493" t="inlineStr">
        <is>
          <t>32285001647691</t>
        </is>
      </c>
      <c r="BD493" t="inlineStr">
        <is>
          <t>893512725</t>
        </is>
      </c>
    </row>
    <row r="494">
      <c r="A494" t="inlineStr">
        <is>
          <t>No</t>
        </is>
      </c>
      <c r="B494" t="inlineStr">
        <is>
          <t>PE3102.N42 B7</t>
        </is>
      </c>
      <c r="C494" t="inlineStr">
        <is>
          <t>0                      PE 3102000N  42                 B  7</t>
        </is>
      </c>
      <c r="D494" t="inlineStr">
        <is>
          <t>Potential problems for second language and second dialect speakers in mastering standard English / Sheilah Bobo.</t>
        </is>
      </c>
      <c r="F494" t="inlineStr">
        <is>
          <t>No</t>
        </is>
      </c>
      <c r="G494" t="inlineStr">
        <is>
          <t>1</t>
        </is>
      </c>
      <c r="H494" t="inlineStr">
        <is>
          <t>No</t>
        </is>
      </c>
      <c r="I494" t="inlineStr">
        <is>
          <t>No</t>
        </is>
      </c>
      <c r="J494" t="inlineStr">
        <is>
          <t>0</t>
        </is>
      </c>
      <c r="K494" t="inlineStr">
        <is>
          <t>Bobo, Sheilah.</t>
        </is>
      </c>
      <c r="L494" t="inlineStr">
        <is>
          <t>[Washington] : University Press of America, c1979.</t>
        </is>
      </c>
      <c r="M494" t="inlineStr">
        <is>
          <t>1979</t>
        </is>
      </c>
      <c r="O494" t="inlineStr">
        <is>
          <t>eng</t>
        </is>
      </c>
      <c r="P494" t="inlineStr">
        <is>
          <t>dcu</t>
        </is>
      </c>
      <c r="R494" t="inlineStr">
        <is>
          <t xml:space="preserve">PE </t>
        </is>
      </c>
      <c r="S494" t="n">
        <v>1</v>
      </c>
      <c r="T494" t="n">
        <v>1</v>
      </c>
      <c r="U494" t="inlineStr">
        <is>
          <t>1994-03-30</t>
        </is>
      </c>
      <c r="V494" t="inlineStr">
        <is>
          <t>1994-03-30</t>
        </is>
      </c>
      <c r="W494" t="inlineStr">
        <is>
          <t>1993-04-27</t>
        </is>
      </c>
      <c r="X494" t="inlineStr">
        <is>
          <t>1993-04-27</t>
        </is>
      </c>
      <c r="Y494" t="n">
        <v>22</v>
      </c>
      <c r="Z494" t="n">
        <v>21</v>
      </c>
      <c r="AA494" t="n">
        <v>21</v>
      </c>
      <c r="AB494" t="n">
        <v>1</v>
      </c>
      <c r="AC494" t="n">
        <v>1</v>
      </c>
      <c r="AD494" t="n">
        <v>0</v>
      </c>
      <c r="AE494" t="n">
        <v>0</v>
      </c>
      <c r="AF494" t="n">
        <v>0</v>
      </c>
      <c r="AG494" t="n">
        <v>0</v>
      </c>
      <c r="AH494" t="n">
        <v>0</v>
      </c>
      <c r="AI494" t="n">
        <v>0</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HYPERLINK("https://creighton-primo.hosted.exlibrisgroup.com/primo-explore/search?tab=default_tab&amp;search_scope=EVERYTHING&amp;vid=01CRU&amp;lang=en_US&amp;offset=0&amp;query=any,contains,991004897419702656","Catalog Record")</f>
        <v/>
      </c>
      <c r="AT494">
        <f>HYPERLINK("http://www.worldcat.org/oclc/5896584","WorldCat Record")</f>
        <v/>
      </c>
      <c r="AU494" t="inlineStr">
        <is>
          <t>20399525:eng</t>
        </is>
      </c>
      <c r="AV494" t="inlineStr">
        <is>
          <t>5896584</t>
        </is>
      </c>
      <c r="AW494" t="inlineStr">
        <is>
          <t>991004897419702656</t>
        </is>
      </c>
      <c r="AX494" t="inlineStr">
        <is>
          <t>991004897419702656</t>
        </is>
      </c>
      <c r="AY494" t="inlineStr">
        <is>
          <t>2267716350002656</t>
        </is>
      </c>
      <c r="AZ494" t="inlineStr">
        <is>
          <t>BOOK</t>
        </is>
      </c>
      <c r="BB494" t="inlineStr">
        <is>
          <t>9780819108715</t>
        </is>
      </c>
      <c r="BC494" t="inlineStr">
        <is>
          <t>32285001647709</t>
        </is>
      </c>
      <c r="BD494" t="inlineStr">
        <is>
          <t>893418120</t>
        </is>
      </c>
    </row>
    <row r="495">
      <c r="A495" t="inlineStr">
        <is>
          <t>No</t>
        </is>
      </c>
      <c r="B495" t="inlineStr">
        <is>
          <t>PE3102.N42 F6</t>
        </is>
      </c>
      <c r="C495" t="inlineStr">
        <is>
          <t>0                      PE 3102000N  42                 F  6</t>
        </is>
      </c>
      <c r="D495" t="inlineStr">
        <is>
          <t>Runnin' down some lines : the language and culture of Black teenagers / Edith A. Folb.</t>
        </is>
      </c>
      <c r="F495" t="inlineStr">
        <is>
          <t>No</t>
        </is>
      </c>
      <c r="G495" t="inlineStr">
        <is>
          <t>1</t>
        </is>
      </c>
      <c r="H495" t="inlineStr">
        <is>
          <t>No</t>
        </is>
      </c>
      <c r="I495" t="inlineStr">
        <is>
          <t>No</t>
        </is>
      </c>
      <c r="J495" t="inlineStr">
        <is>
          <t>0</t>
        </is>
      </c>
      <c r="K495" t="inlineStr">
        <is>
          <t>Folb, Edith A.</t>
        </is>
      </c>
      <c r="L495" t="inlineStr">
        <is>
          <t>Cambridge, Mass. : Harvard University Press, 1980.</t>
        </is>
      </c>
      <c r="M495" t="inlineStr">
        <is>
          <t>1980</t>
        </is>
      </c>
      <c r="O495" t="inlineStr">
        <is>
          <t>eng</t>
        </is>
      </c>
      <c r="P495" t="inlineStr">
        <is>
          <t>mau</t>
        </is>
      </c>
      <c r="R495" t="inlineStr">
        <is>
          <t xml:space="preserve">PE </t>
        </is>
      </c>
      <c r="S495" t="n">
        <v>22</v>
      </c>
      <c r="T495" t="n">
        <v>22</v>
      </c>
      <c r="U495" t="inlineStr">
        <is>
          <t>2001-04-17</t>
        </is>
      </c>
      <c r="V495" t="inlineStr">
        <is>
          <t>2001-04-17</t>
        </is>
      </c>
      <c r="W495" t="inlineStr">
        <is>
          <t>1990-05-17</t>
        </is>
      </c>
      <c r="X495" t="inlineStr">
        <is>
          <t>1990-05-17</t>
        </is>
      </c>
      <c r="Y495" t="n">
        <v>707</v>
      </c>
      <c r="Z495" t="n">
        <v>627</v>
      </c>
      <c r="AA495" t="n">
        <v>640</v>
      </c>
      <c r="AB495" t="n">
        <v>3</v>
      </c>
      <c r="AC495" t="n">
        <v>3</v>
      </c>
      <c r="AD495" t="n">
        <v>21</v>
      </c>
      <c r="AE495" t="n">
        <v>22</v>
      </c>
      <c r="AF495" t="n">
        <v>8</v>
      </c>
      <c r="AG495" t="n">
        <v>8</v>
      </c>
      <c r="AH495" t="n">
        <v>6</v>
      </c>
      <c r="AI495" t="n">
        <v>6</v>
      </c>
      <c r="AJ495" t="n">
        <v>8</v>
      </c>
      <c r="AK495" t="n">
        <v>9</v>
      </c>
      <c r="AL495" t="n">
        <v>2</v>
      </c>
      <c r="AM495" t="n">
        <v>2</v>
      </c>
      <c r="AN495" t="n">
        <v>0</v>
      </c>
      <c r="AO495" t="n">
        <v>0</v>
      </c>
      <c r="AP495" t="inlineStr">
        <is>
          <t>No</t>
        </is>
      </c>
      <c r="AQ495" t="inlineStr">
        <is>
          <t>Yes</t>
        </is>
      </c>
      <c r="AR495">
        <f>HYPERLINK("http://catalog.hathitrust.org/Record/000037236","HathiTrust Record")</f>
        <v/>
      </c>
      <c r="AS495">
        <f>HYPERLINK("https://creighton-primo.hosted.exlibrisgroup.com/primo-explore/search?tab=default_tab&amp;search_scope=EVERYTHING&amp;vid=01CRU&amp;lang=en_US&amp;offset=0&amp;query=any,contains,991004887989702656","Catalog Record")</f>
        <v/>
      </c>
      <c r="AT495">
        <f>HYPERLINK("http://www.worldcat.org/oclc/5846555","WorldCat Record")</f>
        <v/>
      </c>
      <c r="AU495" t="inlineStr">
        <is>
          <t>325897725:eng</t>
        </is>
      </c>
      <c r="AV495" t="inlineStr">
        <is>
          <t>5846555</t>
        </is>
      </c>
      <c r="AW495" t="inlineStr">
        <is>
          <t>991004887989702656</t>
        </is>
      </c>
      <c r="AX495" t="inlineStr">
        <is>
          <t>991004887989702656</t>
        </is>
      </c>
      <c r="AY495" t="inlineStr">
        <is>
          <t>2255208220002656</t>
        </is>
      </c>
      <c r="AZ495" t="inlineStr">
        <is>
          <t>BOOK</t>
        </is>
      </c>
      <c r="BB495" t="inlineStr">
        <is>
          <t>9780674780392</t>
        </is>
      </c>
      <c r="BC495" t="inlineStr">
        <is>
          <t>32285000152859</t>
        </is>
      </c>
      <c r="BD495" t="inlineStr">
        <is>
          <t>893883072</t>
        </is>
      </c>
    </row>
    <row r="496">
      <c r="A496" t="inlineStr">
        <is>
          <t>No</t>
        </is>
      </c>
      <c r="B496" t="inlineStr">
        <is>
          <t>PE3102.N42 O77 1987</t>
        </is>
      </c>
      <c r="C496" t="inlineStr">
        <is>
          <t>0                      PE 3102000N  42                 O  77          1987</t>
        </is>
      </c>
      <c r="D496" t="inlineStr">
        <is>
          <t>Twice as less : Black English and the performance of black students in mathematics and science / Eleanor Wilson Orr.</t>
        </is>
      </c>
      <c r="F496" t="inlineStr">
        <is>
          <t>No</t>
        </is>
      </c>
      <c r="G496" t="inlineStr">
        <is>
          <t>1</t>
        </is>
      </c>
      <c r="H496" t="inlineStr">
        <is>
          <t>No</t>
        </is>
      </c>
      <c r="I496" t="inlineStr">
        <is>
          <t>No</t>
        </is>
      </c>
      <c r="J496" t="inlineStr">
        <is>
          <t>0</t>
        </is>
      </c>
      <c r="K496" t="inlineStr">
        <is>
          <t>Orr, Eleanor Wilson.</t>
        </is>
      </c>
      <c r="L496" t="inlineStr">
        <is>
          <t>New York : Norton, c1987.</t>
        </is>
      </c>
      <c r="M496" t="inlineStr">
        <is>
          <t>1987</t>
        </is>
      </c>
      <c r="N496" t="inlineStr">
        <is>
          <t>1st ed.</t>
        </is>
      </c>
      <c r="O496" t="inlineStr">
        <is>
          <t>eng</t>
        </is>
      </c>
      <c r="P496" t="inlineStr">
        <is>
          <t>nyu</t>
        </is>
      </c>
      <c r="R496" t="inlineStr">
        <is>
          <t xml:space="preserve">PE </t>
        </is>
      </c>
      <c r="S496" t="n">
        <v>5</v>
      </c>
      <c r="T496" t="n">
        <v>5</v>
      </c>
      <c r="U496" t="inlineStr">
        <is>
          <t>1996-09-24</t>
        </is>
      </c>
      <c r="V496" t="inlineStr">
        <is>
          <t>1996-09-24</t>
        </is>
      </c>
      <c r="W496" t="inlineStr">
        <is>
          <t>1990-06-15</t>
        </is>
      </c>
      <c r="X496" t="inlineStr">
        <is>
          <t>1990-06-15</t>
        </is>
      </c>
      <c r="Y496" t="n">
        <v>1085</v>
      </c>
      <c r="Z496" t="n">
        <v>1026</v>
      </c>
      <c r="AA496" t="n">
        <v>1083</v>
      </c>
      <c r="AB496" t="n">
        <v>6</v>
      </c>
      <c r="AC496" t="n">
        <v>6</v>
      </c>
      <c r="AD496" t="n">
        <v>38</v>
      </c>
      <c r="AE496" t="n">
        <v>40</v>
      </c>
      <c r="AF496" t="n">
        <v>15</v>
      </c>
      <c r="AG496" t="n">
        <v>17</v>
      </c>
      <c r="AH496" t="n">
        <v>8</v>
      </c>
      <c r="AI496" t="n">
        <v>9</v>
      </c>
      <c r="AJ496" t="n">
        <v>19</v>
      </c>
      <c r="AK496" t="n">
        <v>19</v>
      </c>
      <c r="AL496" t="n">
        <v>5</v>
      </c>
      <c r="AM496" t="n">
        <v>5</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HYPERLINK("https://creighton-primo.hosted.exlibrisgroup.com/primo-explore/search?tab=default_tab&amp;search_scope=EVERYTHING&amp;vid=01CRU&amp;lang=en_US&amp;offset=0&amp;query=any,contains,991001020329702656","Catalog Record")</f>
        <v/>
      </c>
      <c r="AT496">
        <f>HYPERLINK("http://www.worldcat.org/oclc/15366616","WorldCat Record")</f>
        <v/>
      </c>
      <c r="AU496" t="inlineStr">
        <is>
          <t>537489:eng</t>
        </is>
      </c>
      <c r="AV496" t="inlineStr">
        <is>
          <t>15366616</t>
        </is>
      </c>
      <c r="AW496" t="inlineStr">
        <is>
          <t>991001020329702656</t>
        </is>
      </c>
      <c r="AX496" t="inlineStr">
        <is>
          <t>991001020329702656</t>
        </is>
      </c>
      <c r="AY496" t="inlineStr">
        <is>
          <t>2259843860002656</t>
        </is>
      </c>
      <c r="AZ496" t="inlineStr">
        <is>
          <t>BOOK</t>
        </is>
      </c>
      <c r="BB496" t="inlineStr">
        <is>
          <t>9780393023923</t>
        </is>
      </c>
      <c r="BC496" t="inlineStr">
        <is>
          <t>32285000197599</t>
        </is>
      </c>
      <c r="BD496" t="inlineStr">
        <is>
          <t>893522221</t>
        </is>
      </c>
    </row>
    <row r="497">
      <c r="A497" t="inlineStr">
        <is>
          <t>No</t>
        </is>
      </c>
      <c r="B497" t="inlineStr">
        <is>
          <t>PE3102.N42 S5</t>
        </is>
      </c>
      <c r="C497" t="inlineStr">
        <is>
          <t>0                      PE 3102000N  42                 S  5</t>
        </is>
      </c>
      <c r="D497" t="inlineStr">
        <is>
          <t>Talkin and testifyin : the language of Black America / Geneva Smitherman.</t>
        </is>
      </c>
      <c r="F497" t="inlineStr">
        <is>
          <t>No</t>
        </is>
      </c>
      <c r="G497" t="inlineStr">
        <is>
          <t>1</t>
        </is>
      </c>
      <c r="H497" t="inlineStr">
        <is>
          <t>No</t>
        </is>
      </c>
      <c r="I497" t="inlineStr">
        <is>
          <t>No</t>
        </is>
      </c>
      <c r="J497" t="inlineStr">
        <is>
          <t>0</t>
        </is>
      </c>
      <c r="K497" t="inlineStr">
        <is>
          <t>Smitherman, Geneva, 1940-</t>
        </is>
      </c>
      <c r="L497" t="inlineStr">
        <is>
          <t>Boston : Houghton Mifflin, 1977.</t>
        </is>
      </c>
      <c r="M497" t="inlineStr">
        <is>
          <t>1977</t>
        </is>
      </c>
      <c r="O497" t="inlineStr">
        <is>
          <t>eng</t>
        </is>
      </c>
      <c r="P497" t="inlineStr">
        <is>
          <t>mau</t>
        </is>
      </c>
      <c r="R497" t="inlineStr">
        <is>
          <t xml:space="preserve">PE </t>
        </is>
      </c>
      <c r="S497" t="n">
        <v>7</v>
      </c>
      <c r="T497" t="n">
        <v>7</v>
      </c>
      <c r="U497" t="inlineStr">
        <is>
          <t>2008-04-09</t>
        </is>
      </c>
      <c r="V497" t="inlineStr">
        <is>
          <t>2008-04-09</t>
        </is>
      </c>
      <c r="W497" t="inlineStr">
        <is>
          <t>1993-12-13</t>
        </is>
      </c>
      <c r="X497" t="inlineStr">
        <is>
          <t>1993-12-13</t>
        </is>
      </c>
      <c r="Y497" t="n">
        <v>877</v>
      </c>
      <c r="Z497" t="n">
        <v>813</v>
      </c>
      <c r="AA497" t="n">
        <v>820</v>
      </c>
      <c r="AB497" t="n">
        <v>9</v>
      </c>
      <c r="AC497" t="n">
        <v>9</v>
      </c>
      <c r="AD497" t="n">
        <v>23</v>
      </c>
      <c r="AE497" t="n">
        <v>23</v>
      </c>
      <c r="AF497" t="n">
        <v>8</v>
      </c>
      <c r="AG497" t="n">
        <v>8</v>
      </c>
      <c r="AH497" t="n">
        <v>4</v>
      </c>
      <c r="AI497" t="n">
        <v>4</v>
      </c>
      <c r="AJ497" t="n">
        <v>11</v>
      </c>
      <c r="AK497" t="n">
        <v>11</v>
      </c>
      <c r="AL497" t="n">
        <v>6</v>
      </c>
      <c r="AM497" t="n">
        <v>6</v>
      </c>
      <c r="AN497" t="n">
        <v>0</v>
      </c>
      <c r="AO497" t="n">
        <v>0</v>
      </c>
      <c r="AP497" t="inlineStr">
        <is>
          <t>No</t>
        </is>
      </c>
      <c r="AQ497" t="inlineStr">
        <is>
          <t>Yes</t>
        </is>
      </c>
      <c r="AR497">
        <f>HYPERLINK("http://catalog.hathitrust.org/Record/000739091","HathiTrust Record")</f>
        <v/>
      </c>
      <c r="AS497">
        <f>HYPERLINK("https://creighton-primo.hosted.exlibrisgroup.com/primo-explore/search?tab=default_tab&amp;search_scope=EVERYTHING&amp;vid=01CRU&amp;lang=en_US&amp;offset=0&amp;query=any,contains,991004281469702656","Catalog Record")</f>
        <v/>
      </c>
      <c r="AT497">
        <f>HYPERLINK("http://www.worldcat.org/oclc/2911934","WorldCat Record")</f>
        <v/>
      </c>
      <c r="AU497" t="inlineStr">
        <is>
          <t>5090454297:eng</t>
        </is>
      </c>
      <c r="AV497" t="inlineStr">
        <is>
          <t>2911934</t>
        </is>
      </c>
      <c r="AW497" t="inlineStr">
        <is>
          <t>991004281469702656</t>
        </is>
      </c>
      <c r="AX497" t="inlineStr">
        <is>
          <t>991004281469702656</t>
        </is>
      </c>
      <c r="AY497" t="inlineStr">
        <is>
          <t>2266160300002656</t>
        </is>
      </c>
      <c r="AZ497" t="inlineStr">
        <is>
          <t>BOOK</t>
        </is>
      </c>
      <c r="BB497" t="inlineStr">
        <is>
          <t>9780395253557</t>
        </is>
      </c>
      <c r="BC497" t="inlineStr">
        <is>
          <t>32285001808079</t>
        </is>
      </c>
      <c r="BD497" t="inlineStr">
        <is>
          <t>893605830</t>
        </is>
      </c>
    </row>
    <row r="498">
      <c r="A498" t="inlineStr">
        <is>
          <t>No</t>
        </is>
      </c>
      <c r="B498" t="inlineStr">
        <is>
          <t>PE3102.N44 A44 2004</t>
        </is>
      </c>
      <c r="C498" t="inlineStr">
        <is>
          <t>0                      PE 3102000N  44                 A  44          2004</t>
        </is>
      </c>
      <c r="D498" t="inlineStr">
        <is>
          <t>You know my steez : an ethnographic and sociolinguistic study of styleshifting in a Black American speech community / H. Samy Alim.</t>
        </is>
      </c>
      <c r="F498" t="inlineStr">
        <is>
          <t>No</t>
        </is>
      </c>
      <c r="G498" t="inlineStr">
        <is>
          <t>1</t>
        </is>
      </c>
      <c r="H498" t="inlineStr">
        <is>
          <t>No</t>
        </is>
      </c>
      <c r="I498" t="inlineStr">
        <is>
          <t>No</t>
        </is>
      </c>
      <c r="J498" t="inlineStr">
        <is>
          <t>0</t>
        </is>
      </c>
      <c r="K498" t="inlineStr">
        <is>
          <t>Alim, H. Samy.</t>
        </is>
      </c>
      <c r="L498" t="inlineStr">
        <is>
          <t>[Durham, N.C.] : Duke University Press for the American Dialect Society, c2004.</t>
        </is>
      </c>
      <c r="M498" t="inlineStr">
        <is>
          <t>2004</t>
        </is>
      </c>
      <c r="O498" t="inlineStr">
        <is>
          <t>eng</t>
        </is>
      </c>
      <c r="P498" t="inlineStr">
        <is>
          <t>ncu</t>
        </is>
      </c>
      <c r="Q498" t="inlineStr">
        <is>
          <t>Publication of the American Dialect Society ; no. 89</t>
        </is>
      </c>
      <c r="R498" t="inlineStr">
        <is>
          <t xml:space="preserve">PE </t>
        </is>
      </c>
      <c r="S498" t="n">
        <v>1</v>
      </c>
      <c r="T498" t="n">
        <v>1</v>
      </c>
      <c r="U498" t="inlineStr">
        <is>
          <t>2008-03-19</t>
        </is>
      </c>
      <c r="V498" t="inlineStr">
        <is>
          <t>2008-03-19</t>
        </is>
      </c>
      <c r="W498" t="inlineStr">
        <is>
          <t>2008-03-19</t>
        </is>
      </c>
      <c r="X498" t="inlineStr">
        <is>
          <t>2008-03-19</t>
        </is>
      </c>
      <c r="Y498" t="n">
        <v>415</v>
      </c>
      <c r="Z498" t="n">
        <v>357</v>
      </c>
      <c r="AA498" t="n">
        <v>364</v>
      </c>
      <c r="AB498" t="n">
        <v>4</v>
      </c>
      <c r="AC498" t="n">
        <v>4</v>
      </c>
      <c r="AD498" t="n">
        <v>20</v>
      </c>
      <c r="AE498" t="n">
        <v>20</v>
      </c>
      <c r="AF498" t="n">
        <v>9</v>
      </c>
      <c r="AG498" t="n">
        <v>9</v>
      </c>
      <c r="AH498" t="n">
        <v>6</v>
      </c>
      <c r="AI498" t="n">
        <v>6</v>
      </c>
      <c r="AJ498" t="n">
        <v>9</v>
      </c>
      <c r="AK498" t="n">
        <v>9</v>
      </c>
      <c r="AL498" t="n">
        <v>3</v>
      </c>
      <c r="AM498" t="n">
        <v>3</v>
      </c>
      <c r="AN498" t="n">
        <v>0</v>
      </c>
      <c r="AO498" t="n">
        <v>0</v>
      </c>
      <c r="AP498" t="inlineStr">
        <is>
          <t>No</t>
        </is>
      </c>
      <c r="AQ498" t="inlineStr">
        <is>
          <t>Yes</t>
        </is>
      </c>
      <c r="AR498">
        <f>HYPERLINK("http://catalog.hathitrust.org/Record/004732405","HathiTrust Record")</f>
        <v/>
      </c>
      <c r="AS498">
        <f>HYPERLINK("https://creighton-primo.hosted.exlibrisgroup.com/primo-explore/search?tab=default_tab&amp;search_scope=EVERYTHING&amp;vid=01CRU&amp;lang=en_US&amp;offset=0&amp;query=any,contains,991005194179702656","Catalog Record")</f>
        <v/>
      </c>
      <c r="AT498">
        <f>HYPERLINK("http://www.worldcat.org/oclc/56649224","WorldCat Record")</f>
        <v/>
      </c>
      <c r="AU498" t="inlineStr">
        <is>
          <t>326684431:eng</t>
        </is>
      </c>
      <c r="AV498" t="inlineStr">
        <is>
          <t>56649224</t>
        </is>
      </c>
      <c r="AW498" t="inlineStr">
        <is>
          <t>991005194179702656</t>
        </is>
      </c>
      <c r="AX498" t="inlineStr">
        <is>
          <t>991005194179702656</t>
        </is>
      </c>
      <c r="AY498" t="inlineStr">
        <is>
          <t>2263963020002656</t>
        </is>
      </c>
      <c r="AZ498" t="inlineStr">
        <is>
          <t>BOOK</t>
        </is>
      </c>
      <c r="BB498" t="inlineStr">
        <is>
          <t>9780822366089</t>
        </is>
      </c>
      <c r="BC498" t="inlineStr">
        <is>
          <t>32285005397822</t>
        </is>
      </c>
      <c r="BD498" t="inlineStr">
        <is>
          <t>893332574</t>
        </is>
      </c>
    </row>
    <row r="499">
      <c r="A499" t="inlineStr">
        <is>
          <t>No</t>
        </is>
      </c>
      <c r="B499" t="inlineStr">
        <is>
          <t>PE3301 .S96</t>
        </is>
      </c>
      <c r="C499" t="inlineStr">
        <is>
          <t>0                      PE 3301000S  96</t>
        </is>
      </c>
      <c r="D499" t="inlineStr">
        <is>
          <t>British black English / David Sutcliffe.</t>
        </is>
      </c>
      <c r="F499" t="inlineStr">
        <is>
          <t>No</t>
        </is>
      </c>
      <c r="G499" t="inlineStr">
        <is>
          <t>1</t>
        </is>
      </c>
      <c r="H499" t="inlineStr">
        <is>
          <t>No</t>
        </is>
      </c>
      <c r="I499" t="inlineStr">
        <is>
          <t>No</t>
        </is>
      </c>
      <c r="J499" t="inlineStr">
        <is>
          <t>0</t>
        </is>
      </c>
      <c r="K499" t="inlineStr">
        <is>
          <t>Sutcliffe, David, M. Ed.</t>
        </is>
      </c>
      <c r="L499" t="inlineStr">
        <is>
          <t>Oxford [Eng.] : Basil Blackwell, 1982.</t>
        </is>
      </c>
      <c r="M499" t="inlineStr">
        <is>
          <t>1982</t>
        </is>
      </c>
      <c r="O499" t="inlineStr">
        <is>
          <t>eng</t>
        </is>
      </c>
      <c r="P499" t="inlineStr">
        <is>
          <t>enk</t>
        </is>
      </c>
      <c r="R499" t="inlineStr">
        <is>
          <t xml:space="preserve">PE </t>
        </is>
      </c>
      <c r="S499" t="n">
        <v>3</v>
      </c>
      <c r="T499" t="n">
        <v>3</v>
      </c>
      <c r="U499" t="inlineStr">
        <is>
          <t>1994-04-19</t>
        </is>
      </c>
      <c r="V499" t="inlineStr">
        <is>
          <t>1994-04-19</t>
        </is>
      </c>
      <c r="W499" t="inlineStr">
        <is>
          <t>1993-04-27</t>
        </is>
      </c>
      <c r="X499" t="inlineStr">
        <is>
          <t>1993-04-27</t>
        </is>
      </c>
      <c r="Y499" t="n">
        <v>359</v>
      </c>
      <c r="Z499" t="n">
        <v>189</v>
      </c>
      <c r="AA499" t="n">
        <v>196</v>
      </c>
      <c r="AB499" t="n">
        <v>2</v>
      </c>
      <c r="AC499" t="n">
        <v>2</v>
      </c>
      <c r="AD499" t="n">
        <v>3</v>
      </c>
      <c r="AE499" t="n">
        <v>3</v>
      </c>
      <c r="AF499" t="n">
        <v>0</v>
      </c>
      <c r="AG499" t="n">
        <v>0</v>
      </c>
      <c r="AH499" t="n">
        <v>1</v>
      </c>
      <c r="AI499" t="n">
        <v>1</v>
      </c>
      <c r="AJ499" t="n">
        <v>2</v>
      </c>
      <c r="AK499" t="n">
        <v>2</v>
      </c>
      <c r="AL499" t="n">
        <v>1</v>
      </c>
      <c r="AM499" t="n">
        <v>1</v>
      </c>
      <c r="AN499" t="n">
        <v>0</v>
      </c>
      <c r="AO499" t="n">
        <v>0</v>
      </c>
      <c r="AP499" t="inlineStr">
        <is>
          <t>No</t>
        </is>
      </c>
      <c r="AQ499" t="inlineStr">
        <is>
          <t>Yes</t>
        </is>
      </c>
      <c r="AR499">
        <f>HYPERLINK("http://catalog.hathitrust.org/Record/000760483","HathiTrust Record")</f>
        <v/>
      </c>
      <c r="AS499">
        <f>HYPERLINK("https://creighton-primo.hosted.exlibrisgroup.com/primo-explore/search?tab=default_tab&amp;search_scope=EVERYTHING&amp;vid=01CRU&amp;lang=en_US&amp;offset=0&amp;query=any,contains,991000063049702656","Catalog Record")</f>
        <v/>
      </c>
      <c r="AT499">
        <f>HYPERLINK("http://www.worldcat.org/oclc/9684645","WorldCat Record")</f>
        <v/>
      </c>
      <c r="AU499" t="inlineStr">
        <is>
          <t>38018995:eng</t>
        </is>
      </c>
      <c r="AV499" t="inlineStr">
        <is>
          <t>9684645</t>
        </is>
      </c>
      <c r="AW499" t="inlineStr">
        <is>
          <t>991000063049702656</t>
        </is>
      </c>
      <c r="AX499" t="inlineStr">
        <is>
          <t>991000063049702656</t>
        </is>
      </c>
      <c r="AY499" t="inlineStr">
        <is>
          <t>2264399640002656</t>
        </is>
      </c>
      <c r="AZ499" t="inlineStr">
        <is>
          <t>BOOK</t>
        </is>
      </c>
      <c r="BB499" t="inlineStr">
        <is>
          <t>9780631127116</t>
        </is>
      </c>
      <c r="BC499" t="inlineStr">
        <is>
          <t>32285001647717</t>
        </is>
      </c>
      <c r="BD499" t="inlineStr">
        <is>
          <t>893783921</t>
        </is>
      </c>
    </row>
    <row r="500">
      <c r="A500" t="inlineStr">
        <is>
          <t>No</t>
        </is>
      </c>
      <c r="B500" t="inlineStr">
        <is>
          <t>PE525 .S26 1988</t>
        </is>
      </c>
      <c r="C500" t="inlineStr">
        <is>
          <t>0                      PE 0525000S  26          1988</t>
        </is>
      </c>
      <c r="D500" t="inlineStr">
        <is>
          <t>The English of Chaucer and his contemporaries / essays by M. L. Samuels and J. J. Smith ; edited by J. J. Smith.</t>
        </is>
      </c>
      <c r="F500" t="inlineStr">
        <is>
          <t>No</t>
        </is>
      </c>
      <c r="G500" t="inlineStr">
        <is>
          <t>1</t>
        </is>
      </c>
      <c r="H500" t="inlineStr">
        <is>
          <t>No</t>
        </is>
      </c>
      <c r="I500" t="inlineStr">
        <is>
          <t>No</t>
        </is>
      </c>
      <c r="J500" t="inlineStr">
        <is>
          <t>0</t>
        </is>
      </c>
      <c r="K500" t="inlineStr">
        <is>
          <t>Samuels, M. L.</t>
        </is>
      </c>
      <c r="L500" t="inlineStr">
        <is>
          <t>Aberdeen : Aberdeen University Press, 1988.</t>
        </is>
      </c>
      <c r="M500" t="inlineStr">
        <is>
          <t>1988</t>
        </is>
      </c>
      <c r="O500" t="inlineStr">
        <is>
          <t>eng</t>
        </is>
      </c>
      <c r="P500" t="inlineStr">
        <is>
          <t>stk</t>
        </is>
      </c>
      <c r="R500" t="inlineStr">
        <is>
          <t xml:space="preserve">PE </t>
        </is>
      </c>
      <c r="S500" t="n">
        <v>1</v>
      </c>
      <c r="T500" t="n">
        <v>1</v>
      </c>
      <c r="U500" t="inlineStr">
        <is>
          <t>2004-10-31</t>
        </is>
      </c>
      <c r="V500" t="inlineStr">
        <is>
          <t>2004-10-31</t>
        </is>
      </c>
      <c r="W500" t="inlineStr">
        <is>
          <t>1990-01-25</t>
        </is>
      </c>
      <c r="X500" t="inlineStr">
        <is>
          <t>1990-01-25</t>
        </is>
      </c>
      <c r="Y500" t="n">
        <v>212</v>
      </c>
      <c r="Z500" t="n">
        <v>117</v>
      </c>
      <c r="AA500" t="n">
        <v>119</v>
      </c>
      <c r="AB500" t="n">
        <v>2</v>
      </c>
      <c r="AC500" t="n">
        <v>2</v>
      </c>
      <c r="AD500" t="n">
        <v>10</v>
      </c>
      <c r="AE500" t="n">
        <v>10</v>
      </c>
      <c r="AF500" t="n">
        <v>2</v>
      </c>
      <c r="AG500" t="n">
        <v>2</v>
      </c>
      <c r="AH500" t="n">
        <v>3</v>
      </c>
      <c r="AI500" t="n">
        <v>3</v>
      </c>
      <c r="AJ500" t="n">
        <v>8</v>
      </c>
      <c r="AK500" t="n">
        <v>8</v>
      </c>
      <c r="AL500" t="n">
        <v>1</v>
      </c>
      <c r="AM500" t="n">
        <v>1</v>
      </c>
      <c r="AN500" t="n">
        <v>0</v>
      </c>
      <c r="AO500" t="n">
        <v>0</v>
      </c>
      <c r="AP500" t="inlineStr">
        <is>
          <t>No</t>
        </is>
      </c>
      <c r="AQ500" t="inlineStr">
        <is>
          <t>Yes</t>
        </is>
      </c>
      <c r="AR500">
        <f>HYPERLINK("http://catalog.hathitrust.org/Record/002185470","HathiTrust Record")</f>
        <v/>
      </c>
      <c r="AS500">
        <f>HYPERLINK("https://creighton-primo.hosted.exlibrisgroup.com/primo-explore/search?tab=default_tab&amp;search_scope=EVERYTHING&amp;vid=01CRU&amp;lang=en_US&amp;offset=0&amp;query=any,contains,991001377479702656","Catalog Record")</f>
        <v/>
      </c>
      <c r="AT500">
        <f>HYPERLINK("http://www.worldcat.org/oclc/18627988","WorldCat Record")</f>
        <v/>
      </c>
      <c r="AU500" t="inlineStr">
        <is>
          <t>836733152:eng</t>
        </is>
      </c>
      <c r="AV500" t="inlineStr">
        <is>
          <t>18627988</t>
        </is>
      </c>
      <c r="AW500" t="inlineStr">
        <is>
          <t>991001377479702656</t>
        </is>
      </c>
      <c r="AX500" t="inlineStr">
        <is>
          <t>991001377479702656</t>
        </is>
      </c>
      <c r="AY500" t="inlineStr">
        <is>
          <t>2268807730002656</t>
        </is>
      </c>
      <c r="AZ500" t="inlineStr">
        <is>
          <t>BOOK</t>
        </is>
      </c>
      <c r="BB500" t="inlineStr">
        <is>
          <t>9780080364032</t>
        </is>
      </c>
      <c r="BC500" t="inlineStr">
        <is>
          <t>32285000035393</t>
        </is>
      </c>
      <c r="BD500" t="inlineStr">
        <is>
          <t>893244092</t>
        </is>
      </c>
    </row>
    <row r="501">
      <c r="A501" t="inlineStr">
        <is>
          <t>No</t>
        </is>
      </c>
      <c r="B501" t="inlineStr">
        <is>
          <t>PE535 .B87 1996</t>
        </is>
      </c>
      <c r="C501" t="inlineStr">
        <is>
          <t>0                      PE 0535000B  87          1996</t>
        </is>
      </c>
      <c r="D501" t="inlineStr">
        <is>
          <t>A book of Middle English / J.A. Burrow and Thorlac Turville-Petre.</t>
        </is>
      </c>
      <c r="F501" t="inlineStr">
        <is>
          <t>No</t>
        </is>
      </c>
      <c r="G501" t="inlineStr">
        <is>
          <t>1</t>
        </is>
      </c>
      <c r="H501" t="inlineStr">
        <is>
          <t>No</t>
        </is>
      </c>
      <c r="I501" t="inlineStr">
        <is>
          <t>No</t>
        </is>
      </c>
      <c r="J501" t="inlineStr">
        <is>
          <t>0</t>
        </is>
      </c>
      <c r="K501" t="inlineStr">
        <is>
          <t>Burrow, J. A. (John Anthony)</t>
        </is>
      </c>
      <c r="L501" t="inlineStr">
        <is>
          <t>Oxford ; Cambridge, Mass., USA : Blackwell Publishers, 1996.</t>
        </is>
      </c>
      <c r="M501" t="inlineStr">
        <is>
          <t>1996</t>
        </is>
      </c>
      <c r="N501" t="inlineStr">
        <is>
          <t>2nd ed.</t>
        </is>
      </c>
      <c r="O501" t="inlineStr">
        <is>
          <t>eng</t>
        </is>
      </c>
      <c r="P501" t="inlineStr">
        <is>
          <t>enk</t>
        </is>
      </c>
      <c r="R501" t="inlineStr">
        <is>
          <t xml:space="preserve">PE </t>
        </is>
      </c>
      <c r="S501" t="n">
        <v>2</v>
      </c>
      <c r="T501" t="n">
        <v>2</v>
      </c>
      <c r="U501" t="inlineStr">
        <is>
          <t>2001-06-04</t>
        </is>
      </c>
      <c r="V501" t="inlineStr">
        <is>
          <t>2001-06-04</t>
        </is>
      </c>
      <c r="W501" t="inlineStr">
        <is>
          <t>2000-11-30</t>
        </is>
      </c>
      <c r="X501" t="inlineStr">
        <is>
          <t>2000-11-30</t>
        </is>
      </c>
      <c r="Y501" t="n">
        <v>452</v>
      </c>
      <c r="Z501" t="n">
        <v>327</v>
      </c>
      <c r="AA501" t="n">
        <v>494</v>
      </c>
      <c r="AB501" t="n">
        <v>3</v>
      </c>
      <c r="AC501" t="n">
        <v>4</v>
      </c>
      <c r="AD501" t="n">
        <v>20</v>
      </c>
      <c r="AE501" t="n">
        <v>24</v>
      </c>
      <c r="AF501" t="n">
        <v>6</v>
      </c>
      <c r="AG501" t="n">
        <v>8</v>
      </c>
      <c r="AH501" t="n">
        <v>6</v>
      </c>
      <c r="AI501" t="n">
        <v>7</v>
      </c>
      <c r="AJ501" t="n">
        <v>11</v>
      </c>
      <c r="AK501" t="n">
        <v>13</v>
      </c>
      <c r="AL501" t="n">
        <v>2</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HYPERLINK("https://creighton-primo.hosted.exlibrisgroup.com/primo-explore/search?tab=default_tab&amp;search_scope=EVERYTHING&amp;vid=01CRU&amp;lang=en_US&amp;offset=0&amp;query=any,contains,991003293319702656","Catalog Record")</f>
        <v/>
      </c>
      <c r="AT501">
        <f>HYPERLINK("http://www.worldcat.org/oclc/32625777","WorldCat Record")</f>
        <v/>
      </c>
      <c r="AU501" t="inlineStr">
        <is>
          <t>991955:eng</t>
        </is>
      </c>
      <c r="AV501" t="inlineStr">
        <is>
          <t>32625777</t>
        </is>
      </c>
      <c r="AW501" t="inlineStr">
        <is>
          <t>991003293319702656</t>
        </is>
      </c>
      <c r="AX501" t="inlineStr">
        <is>
          <t>991003293319702656</t>
        </is>
      </c>
      <c r="AY501" t="inlineStr">
        <is>
          <t>2269144190002656</t>
        </is>
      </c>
      <c r="AZ501" t="inlineStr">
        <is>
          <t>BOOK</t>
        </is>
      </c>
      <c r="BB501" t="inlineStr">
        <is>
          <t>9780631193524</t>
        </is>
      </c>
      <c r="BC501" t="inlineStr">
        <is>
          <t>32285004268594</t>
        </is>
      </c>
      <c r="BD501" t="inlineStr">
        <is>
          <t>893511791</t>
        </is>
      </c>
    </row>
    <row r="502">
      <c r="A502" t="inlineStr">
        <is>
          <t>No</t>
        </is>
      </c>
      <c r="B502" t="inlineStr">
        <is>
          <t>PE535 .M62</t>
        </is>
      </c>
      <c r="C502" t="inlineStr">
        <is>
          <t>0                      PE 0535000M  62</t>
        </is>
      </c>
      <c r="D502" t="inlineStr">
        <is>
          <t>A handbook of Middle English; translated by James A. Walker.</t>
        </is>
      </c>
      <c r="F502" t="inlineStr">
        <is>
          <t>No</t>
        </is>
      </c>
      <c r="G502" t="inlineStr">
        <is>
          <t>1</t>
        </is>
      </c>
      <c r="H502" t="inlineStr">
        <is>
          <t>No</t>
        </is>
      </c>
      <c r="I502" t="inlineStr">
        <is>
          <t>No</t>
        </is>
      </c>
      <c r="J502" t="inlineStr">
        <is>
          <t>0</t>
        </is>
      </c>
      <c r="K502" t="inlineStr">
        <is>
          <t>Mossé, Fernand.</t>
        </is>
      </c>
      <c r="L502" t="inlineStr">
        <is>
          <t>Baltimore, Johns Hopkins Press, 1952.</t>
        </is>
      </c>
      <c r="M502" t="inlineStr">
        <is>
          <t>1952</t>
        </is>
      </c>
      <c r="O502" t="inlineStr">
        <is>
          <t>eng</t>
        </is>
      </c>
      <c r="P502" t="inlineStr">
        <is>
          <t>mdu</t>
        </is>
      </c>
      <c r="R502" t="inlineStr">
        <is>
          <t xml:space="preserve">PE </t>
        </is>
      </c>
      <c r="S502" t="n">
        <v>1</v>
      </c>
      <c r="T502" t="n">
        <v>1</v>
      </c>
      <c r="U502" t="inlineStr">
        <is>
          <t>2007-11-13</t>
        </is>
      </c>
      <c r="V502" t="inlineStr">
        <is>
          <t>2007-11-13</t>
        </is>
      </c>
      <c r="W502" t="inlineStr">
        <is>
          <t>1997-09-15</t>
        </is>
      </c>
      <c r="X502" t="inlineStr">
        <is>
          <t>1997-09-15</t>
        </is>
      </c>
      <c r="Y502" t="n">
        <v>803</v>
      </c>
      <c r="Z502" t="n">
        <v>647</v>
      </c>
      <c r="AA502" t="n">
        <v>923</v>
      </c>
      <c r="AB502" t="n">
        <v>6</v>
      </c>
      <c r="AC502" t="n">
        <v>8</v>
      </c>
      <c r="AD502" t="n">
        <v>39</v>
      </c>
      <c r="AE502" t="n">
        <v>46</v>
      </c>
      <c r="AF502" t="n">
        <v>17</v>
      </c>
      <c r="AG502" t="n">
        <v>18</v>
      </c>
      <c r="AH502" t="n">
        <v>6</v>
      </c>
      <c r="AI502" t="n">
        <v>8</v>
      </c>
      <c r="AJ502" t="n">
        <v>20</v>
      </c>
      <c r="AK502" t="n">
        <v>23</v>
      </c>
      <c r="AL502" t="n">
        <v>5</v>
      </c>
      <c r="AM502" t="n">
        <v>7</v>
      </c>
      <c r="AN502" t="n">
        <v>0</v>
      </c>
      <c r="AO502" t="n">
        <v>0</v>
      </c>
      <c r="AP502" t="inlineStr">
        <is>
          <t>No</t>
        </is>
      </c>
      <c r="AQ502" t="inlineStr">
        <is>
          <t>Yes</t>
        </is>
      </c>
      <c r="AR502">
        <f>HYPERLINK("http://catalog.hathitrust.org/Record/001182883","HathiTrust Record")</f>
        <v/>
      </c>
      <c r="AS502">
        <f>HYPERLINK("https://creighton-primo.hosted.exlibrisgroup.com/primo-explore/search?tab=default_tab&amp;search_scope=EVERYTHING&amp;vid=01CRU&amp;lang=en_US&amp;offset=0&amp;query=any,contains,991002333209702656","Catalog Record")</f>
        <v/>
      </c>
      <c r="AT502">
        <f>HYPERLINK("http://www.worldcat.org/oclc/322654","WorldCat Record")</f>
        <v/>
      </c>
      <c r="AU502" t="inlineStr">
        <is>
          <t>3763313387:eng</t>
        </is>
      </c>
      <c r="AV502" t="inlineStr">
        <is>
          <t>322654</t>
        </is>
      </c>
      <c r="AW502" t="inlineStr">
        <is>
          <t>991002333209702656</t>
        </is>
      </c>
      <c r="AX502" t="inlineStr">
        <is>
          <t>991002333209702656</t>
        </is>
      </c>
      <c r="AY502" t="inlineStr">
        <is>
          <t>2257077560002656</t>
        </is>
      </c>
      <c r="AZ502" t="inlineStr">
        <is>
          <t>BOOK</t>
        </is>
      </c>
      <c r="BC502" t="inlineStr">
        <is>
          <t>32285003227476</t>
        </is>
      </c>
      <c r="BD502" t="inlineStr">
        <is>
          <t>893335181</t>
        </is>
      </c>
    </row>
    <row r="503">
      <c r="A503" t="inlineStr">
        <is>
          <t>No</t>
        </is>
      </c>
      <c r="B503" t="inlineStr">
        <is>
          <t>PE535 .R6 1970</t>
        </is>
      </c>
      <c r="C503" t="inlineStr">
        <is>
          <t>0                      PE 0535000R  6           1970</t>
        </is>
      </c>
      <c r="D503" t="inlineStr">
        <is>
          <t>An outline of Middle English grammar, by Margaret M. Roseborough.</t>
        </is>
      </c>
      <c r="F503" t="inlineStr">
        <is>
          <t>No</t>
        </is>
      </c>
      <c r="G503" t="inlineStr">
        <is>
          <t>1</t>
        </is>
      </c>
      <c r="H503" t="inlineStr">
        <is>
          <t>No</t>
        </is>
      </c>
      <c r="I503" t="inlineStr">
        <is>
          <t>No</t>
        </is>
      </c>
      <c r="J503" t="inlineStr">
        <is>
          <t>0</t>
        </is>
      </c>
      <c r="K503" t="inlineStr">
        <is>
          <t>Stobie, Margaret R., 1909-1990.</t>
        </is>
      </c>
      <c r="L503" t="inlineStr">
        <is>
          <t>Westport, Conn., Greenwood Press [1970]</t>
        </is>
      </c>
      <c r="M503" t="inlineStr">
        <is>
          <t>1970</t>
        </is>
      </c>
      <c r="O503" t="inlineStr">
        <is>
          <t>eng</t>
        </is>
      </c>
      <c r="P503" t="inlineStr">
        <is>
          <t>ctu</t>
        </is>
      </c>
      <c r="R503" t="inlineStr">
        <is>
          <t xml:space="preserve">PE </t>
        </is>
      </c>
      <c r="S503" t="n">
        <v>2</v>
      </c>
      <c r="T503" t="n">
        <v>2</v>
      </c>
      <c r="U503" t="inlineStr">
        <is>
          <t>2001-06-04</t>
        </is>
      </c>
      <c r="V503" t="inlineStr">
        <is>
          <t>2001-06-04</t>
        </is>
      </c>
      <c r="W503" t="inlineStr">
        <is>
          <t>1997-09-15</t>
        </is>
      </c>
      <c r="X503" t="inlineStr">
        <is>
          <t>1997-09-15</t>
        </is>
      </c>
      <c r="Y503" t="n">
        <v>183</v>
      </c>
      <c r="Z503" t="n">
        <v>151</v>
      </c>
      <c r="AA503" t="n">
        <v>305</v>
      </c>
      <c r="AB503" t="n">
        <v>1</v>
      </c>
      <c r="AC503" t="n">
        <v>3</v>
      </c>
      <c r="AD503" t="n">
        <v>11</v>
      </c>
      <c r="AE503" t="n">
        <v>21</v>
      </c>
      <c r="AF503" t="n">
        <v>3</v>
      </c>
      <c r="AG503" t="n">
        <v>8</v>
      </c>
      <c r="AH503" t="n">
        <v>4</v>
      </c>
      <c r="AI503" t="n">
        <v>6</v>
      </c>
      <c r="AJ503" t="n">
        <v>7</v>
      </c>
      <c r="AK503" t="n">
        <v>10</v>
      </c>
      <c r="AL503" t="n">
        <v>0</v>
      </c>
      <c r="AM503" t="n">
        <v>2</v>
      </c>
      <c r="AN503" t="n">
        <v>0</v>
      </c>
      <c r="AO503" t="n">
        <v>0</v>
      </c>
      <c r="AP503" t="inlineStr">
        <is>
          <t>No</t>
        </is>
      </c>
      <c r="AQ503" t="inlineStr">
        <is>
          <t>Yes</t>
        </is>
      </c>
      <c r="AR503">
        <f>HYPERLINK("http://catalog.hathitrust.org/Record/001441428","HathiTrust Record")</f>
        <v/>
      </c>
      <c r="AS503">
        <f>HYPERLINK("https://creighton-primo.hosted.exlibrisgroup.com/primo-explore/search?tab=default_tab&amp;search_scope=EVERYTHING&amp;vid=01CRU&amp;lang=en_US&amp;offset=0&amp;query=any,contains,991000648799702656","Catalog Record")</f>
        <v/>
      </c>
      <c r="AT503">
        <f>HYPERLINK("http://www.worldcat.org/oclc/112239","WorldCat Record")</f>
        <v/>
      </c>
      <c r="AU503" t="inlineStr">
        <is>
          <t>3943274143:eng</t>
        </is>
      </c>
      <c r="AV503" t="inlineStr">
        <is>
          <t>112239</t>
        </is>
      </c>
      <c r="AW503" t="inlineStr">
        <is>
          <t>991000648799702656</t>
        </is>
      </c>
      <c r="AX503" t="inlineStr">
        <is>
          <t>991000648799702656</t>
        </is>
      </c>
      <c r="AY503" t="inlineStr">
        <is>
          <t>2268111880002656</t>
        </is>
      </c>
      <c r="AZ503" t="inlineStr">
        <is>
          <t>BOOK</t>
        </is>
      </c>
      <c r="BB503" t="inlineStr">
        <is>
          <t>9780837143248</t>
        </is>
      </c>
      <c r="BC503" t="inlineStr">
        <is>
          <t>32285003227484</t>
        </is>
      </c>
      <c r="BD503" t="inlineStr">
        <is>
          <t>893796865</t>
        </is>
      </c>
    </row>
    <row r="504">
      <c r="A504" t="inlineStr">
        <is>
          <t>No</t>
        </is>
      </c>
      <c r="B504" t="inlineStr">
        <is>
          <t>PE537 .E5 1932</t>
        </is>
      </c>
      <c r="C504" t="inlineStr">
        <is>
          <t>0                      PE 0537000E  5           1932</t>
        </is>
      </c>
      <c r="D504" t="inlineStr">
        <is>
          <t>A Middle English reader / edited, with grammatical introduction, notes, and glossary by Oliver Farrar Emerson.</t>
        </is>
      </c>
      <c r="F504" t="inlineStr">
        <is>
          <t>No</t>
        </is>
      </c>
      <c r="G504" t="inlineStr">
        <is>
          <t>1</t>
        </is>
      </c>
      <c r="H504" t="inlineStr">
        <is>
          <t>No</t>
        </is>
      </c>
      <c r="I504" t="inlineStr">
        <is>
          <t>No</t>
        </is>
      </c>
      <c r="J504" t="inlineStr">
        <is>
          <t>0</t>
        </is>
      </c>
      <c r="K504" t="inlineStr">
        <is>
          <t>Emerson, Oliver Farrar, 1860-1927.</t>
        </is>
      </c>
      <c r="L504" t="inlineStr">
        <is>
          <t>London : Macmillan and Co., Ltd., 1932, c1915.</t>
        </is>
      </c>
      <c r="M504" t="inlineStr">
        <is>
          <t>1932</t>
        </is>
      </c>
      <c r="N504" t="inlineStr">
        <is>
          <t>New and rev. ed.</t>
        </is>
      </c>
      <c r="O504" t="inlineStr">
        <is>
          <t>enm</t>
        </is>
      </c>
      <c r="P504" t="inlineStr">
        <is>
          <t>enk</t>
        </is>
      </c>
      <c r="R504" t="inlineStr">
        <is>
          <t xml:space="preserve">PE </t>
        </is>
      </c>
      <c r="S504" t="n">
        <v>1</v>
      </c>
      <c r="T504" t="n">
        <v>1</v>
      </c>
      <c r="U504" t="inlineStr">
        <is>
          <t>2001-06-04</t>
        </is>
      </c>
      <c r="V504" t="inlineStr">
        <is>
          <t>2001-06-04</t>
        </is>
      </c>
      <c r="W504" t="inlineStr">
        <is>
          <t>1997-09-15</t>
        </is>
      </c>
      <c r="X504" t="inlineStr">
        <is>
          <t>1997-09-15</t>
        </is>
      </c>
      <c r="Y504" t="n">
        <v>48</v>
      </c>
      <c r="Z504" t="n">
        <v>41</v>
      </c>
      <c r="AA504" t="n">
        <v>42</v>
      </c>
      <c r="AB504" t="n">
        <v>1</v>
      </c>
      <c r="AC504" t="n">
        <v>1</v>
      </c>
      <c r="AD504" t="n">
        <v>1</v>
      </c>
      <c r="AE504" t="n">
        <v>1</v>
      </c>
      <c r="AF504" t="n">
        <v>1</v>
      </c>
      <c r="AG504" t="n">
        <v>1</v>
      </c>
      <c r="AH504" t="n">
        <v>1</v>
      </c>
      <c r="AI504" t="n">
        <v>1</v>
      </c>
      <c r="AJ504" t="n">
        <v>0</v>
      </c>
      <c r="AK504" t="n">
        <v>0</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HYPERLINK("https://creighton-primo.hosted.exlibrisgroup.com/primo-explore/search?tab=default_tab&amp;search_scope=EVERYTHING&amp;vid=01CRU&amp;lang=en_US&amp;offset=0&amp;query=any,contains,991000572639702656","Catalog Record")</f>
        <v/>
      </c>
      <c r="AT504">
        <f>HYPERLINK("http://www.worldcat.org/oclc/11668158","WorldCat Record")</f>
        <v/>
      </c>
      <c r="AU504" t="inlineStr">
        <is>
          <t>1396179:enm</t>
        </is>
      </c>
      <c r="AV504" t="inlineStr">
        <is>
          <t>11668158</t>
        </is>
      </c>
      <c r="AW504" t="inlineStr">
        <is>
          <t>991000572639702656</t>
        </is>
      </c>
      <c r="AX504" t="inlineStr">
        <is>
          <t>991000572639702656</t>
        </is>
      </c>
      <c r="AY504" t="inlineStr">
        <is>
          <t>2259503760002656</t>
        </is>
      </c>
      <c r="AZ504" t="inlineStr">
        <is>
          <t>BOOK</t>
        </is>
      </c>
      <c r="BC504" t="inlineStr">
        <is>
          <t>32285003227500</t>
        </is>
      </c>
      <c r="BD504" t="inlineStr">
        <is>
          <t>893865493</t>
        </is>
      </c>
    </row>
    <row r="505">
      <c r="A505" t="inlineStr">
        <is>
          <t>No</t>
        </is>
      </c>
      <c r="B505" t="inlineStr">
        <is>
          <t>PE621 .S85</t>
        </is>
      </c>
      <c r="C505" t="inlineStr">
        <is>
          <t>0                      PE 0621000S  85</t>
        </is>
      </c>
      <c r="D505" t="inlineStr">
        <is>
          <t>Word order patterning in Middle English; a quantitative study based on Piers Plowman and Middle English sermons.</t>
        </is>
      </c>
      <c r="F505" t="inlineStr">
        <is>
          <t>No</t>
        </is>
      </c>
      <c r="G505" t="inlineStr">
        <is>
          <t>1</t>
        </is>
      </c>
      <c r="H505" t="inlineStr">
        <is>
          <t>No</t>
        </is>
      </c>
      <c r="I505" t="inlineStr">
        <is>
          <t>No</t>
        </is>
      </c>
      <c r="J505" t="inlineStr">
        <is>
          <t>0</t>
        </is>
      </c>
      <c r="K505" t="inlineStr">
        <is>
          <t>Swieczkowski, Walerian.</t>
        </is>
      </c>
      <c r="L505" t="inlineStr">
        <is>
          <t>'S-Gravenhage, Mouton, 1962.</t>
        </is>
      </c>
      <c r="M505" t="inlineStr">
        <is>
          <t>1962</t>
        </is>
      </c>
      <c r="O505" t="inlineStr">
        <is>
          <t>eng</t>
        </is>
      </c>
      <c r="P505" t="inlineStr">
        <is>
          <t xml:space="preserve">ne </t>
        </is>
      </c>
      <c r="Q505" t="inlineStr">
        <is>
          <t>Janua linguarum, nr. 19</t>
        </is>
      </c>
      <c r="R505" t="inlineStr">
        <is>
          <t xml:space="preserve">PE </t>
        </is>
      </c>
      <c r="S505" t="n">
        <v>4</v>
      </c>
      <c r="T505" t="n">
        <v>4</v>
      </c>
      <c r="U505" t="inlineStr">
        <is>
          <t>2000-02-13</t>
        </is>
      </c>
      <c r="V505" t="inlineStr">
        <is>
          <t>2000-02-13</t>
        </is>
      </c>
      <c r="W505" t="inlineStr">
        <is>
          <t>1997-09-15</t>
        </is>
      </c>
      <c r="X505" t="inlineStr">
        <is>
          <t>1997-09-15</t>
        </is>
      </c>
      <c r="Y505" t="n">
        <v>323</v>
      </c>
      <c r="Z505" t="n">
        <v>222</v>
      </c>
      <c r="AA505" t="n">
        <v>225</v>
      </c>
      <c r="AB505" t="n">
        <v>3</v>
      </c>
      <c r="AC505" t="n">
        <v>3</v>
      </c>
      <c r="AD505" t="n">
        <v>12</v>
      </c>
      <c r="AE505" t="n">
        <v>12</v>
      </c>
      <c r="AF505" t="n">
        <v>1</v>
      </c>
      <c r="AG505" t="n">
        <v>1</v>
      </c>
      <c r="AH505" t="n">
        <v>5</v>
      </c>
      <c r="AI505" t="n">
        <v>5</v>
      </c>
      <c r="AJ505" t="n">
        <v>7</v>
      </c>
      <c r="AK505" t="n">
        <v>7</v>
      </c>
      <c r="AL505" t="n">
        <v>2</v>
      </c>
      <c r="AM505" t="n">
        <v>2</v>
      </c>
      <c r="AN505" t="n">
        <v>0</v>
      </c>
      <c r="AO505" t="n">
        <v>0</v>
      </c>
      <c r="AP505" t="inlineStr">
        <is>
          <t>No</t>
        </is>
      </c>
      <c r="AQ505" t="inlineStr">
        <is>
          <t>Yes</t>
        </is>
      </c>
      <c r="AR505">
        <f>HYPERLINK("http://catalog.hathitrust.org/Record/001657786","HathiTrust Record")</f>
        <v/>
      </c>
      <c r="AS505">
        <f>HYPERLINK("https://creighton-primo.hosted.exlibrisgroup.com/primo-explore/search?tab=default_tab&amp;search_scope=EVERYTHING&amp;vid=01CRU&amp;lang=en_US&amp;offset=0&amp;query=any,contains,991004044679702656","Catalog Record")</f>
        <v/>
      </c>
      <c r="AT505">
        <f>HYPERLINK("http://www.worldcat.org/oclc/2197393","WorldCat Record")</f>
        <v/>
      </c>
      <c r="AU505" t="inlineStr">
        <is>
          <t>10141835704:eng</t>
        </is>
      </c>
      <c r="AV505" t="inlineStr">
        <is>
          <t>2197393</t>
        </is>
      </c>
      <c r="AW505" t="inlineStr">
        <is>
          <t>991004044679702656</t>
        </is>
      </c>
      <c r="AX505" t="inlineStr">
        <is>
          <t>991004044679702656</t>
        </is>
      </c>
      <c r="AY505" t="inlineStr">
        <is>
          <t>2258279610002656</t>
        </is>
      </c>
      <c r="AZ505" t="inlineStr">
        <is>
          <t>BOOK</t>
        </is>
      </c>
      <c r="BC505" t="inlineStr">
        <is>
          <t>32285003227567</t>
        </is>
      </c>
      <c r="BD505" t="inlineStr">
        <is>
          <t>893712082</t>
        </is>
      </c>
    </row>
    <row r="506">
      <c r="A506" t="inlineStr">
        <is>
          <t>No</t>
        </is>
      </c>
      <c r="B506" t="inlineStr">
        <is>
          <t>PE635 .B57 1979</t>
        </is>
      </c>
      <c r="C506" t="inlineStr">
        <is>
          <t>0                      PE 0635000B  57          1979</t>
        </is>
      </c>
      <c r="D506" t="inlineStr">
        <is>
          <t>The English language in medieval literature / Norman Blake.</t>
        </is>
      </c>
      <c r="F506" t="inlineStr">
        <is>
          <t>No</t>
        </is>
      </c>
      <c r="G506" t="inlineStr">
        <is>
          <t>1</t>
        </is>
      </c>
      <c r="H506" t="inlineStr">
        <is>
          <t>No</t>
        </is>
      </c>
      <c r="I506" t="inlineStr">
        <is>
          <t>No</t>
        </is>
      </c>
      <c r="J506" t="inlineStr">
        <is>
          <t>0</t>
        </is>
      </c>
      <c r="K506" t="inlineStr">
        <is>
          <t>Blake, N. F. (Norman Francis)</t>
        </is>
      </c>
      <c r="L506" t="inlineStr">
        <is>
          <t>London ; New York : Methuen, 1979.</t>
        </is>
      </c>
      <c r="M506" t="inlineStr">
        <is>
          <t>1979</t>
        </is>
      </c>
      <c r="O506" t="inlineStr">
        <is>
          <t>eng</t>
        </is>
      </c>
      <c r="P506" t="inlineStr">
        <is>
          <t>enk</t>
        </is>
      </c>
      <c r="Q506" t="inlineStr">
        <is>
          <t>University paperbacks ; 670</t>
        </is>
      </c>
      <c r="R506" t="inlineStr">
        <is>
          <t xml:space="preserve">PE </t>
        </is>
      </c>
      <c r="S506" t="n">
        <v>4</v>
      </c>
      <c r="T506" t="n">
        <v>4</v>
      </c>
      <c r="U506" t="inlineStr">
        <is>
          <t>1999-11-29</t>
        </is>
      </c>
      <c r="V506" t="inlineStr">
        <is>
          <t>1999-11-29</t>
        </is>
      </c>
      <c r="W506" t="inlineStr">
        <is>
          <t>1992-12-10</t>
        </is>
      </c>
      <c r="X506" t="inlineStr">
        <is>
          <t>1992-12-10</t>
        </is>
      </c>
      <c r="Y506" t="n">
        <v>118</v>
      </c>
      <c r="Z506" t="n">
        <v>100</v>
      </c>
      <c r="AA506" t="n">
        <v>550</v>
      </c>
      <c r="AB506" t="n">
        <v>4</v>
      </c>
      <c r="AC506" t="n">
        <v>8</v>
      </c>
      <c r="AD506" t="n">
        <v>4</v>
      </c>
      <c r="AE506" t="n">
        <v>31</v>
      </c>
      <c r="AF506" t="n">
        <v>0</v>
      </c>
      <c r="AG506" t="n">
        <v>8</v>
      </c>
      <c r="AH506" t="n">
        <v>1</v>
      </c>
      <c r="AI506" t="n">
        <v>8</v>
      </c>
      <c r="AJ506" t="n">
        <v>1</v>
      </c>
      <c r="AK506" t="n">
        <v>15</v>
      </c>
      <c r="AL506" t="n">
        <v>3</v>
      </c>
      <c r="AM506" t="n">
        <v>7</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HYPERLINK("https://creighton-primo.hosted.exlibrisgroup.com/primo-explore/search?tab=default_tab&amp;search_scope=EVERYTHING&amp;vid=01CRU&amp;lang=en_US&amp;offset=0&amp;query=any,contains,991004908959702656","Catalog Record")</f>
        <v/>
      </c>
      <c r="AT506">
        <f>HYPERLINK("http://www.worldcat.org/oclc/5975401","WorldCat Record")</f>
        <v/>
      </c>
      <c r="AU506" t="inlineStr">
        <is>
          <t>9318036:eng</t>
        </is>
      </c>
      <c r="AV506" t="inlineStr">
        <is>
          <t>5975401</t>
        </is>
      </c>
      <c r="AW506" t="inlineStr">
        <is>
          <t>991004908959702656</t>
        </is>
      </c>
      <c r="AX506" t="inlineStr">
        <is>
          <t>991004908959702656</t>
        </is>
      </c>
      <c r="AY506" t="inlineStr">
        <is>
          <t>2266454210002656</t>
        </is>
      </c>
      <c r="AZ506" t="inlineStr">
        <is>
          <t>BOOK</t>
        </is>
      </c>
      <c r="BB506" t="inlineStr">
        <is>
          <t>9780416724707</t>
        </is>
      </c>
      <c r="BC506" t="inlineStr">
        <is>
          <t>32285001440717</t>
        </is>
      </c>
      <c r="BD506" t="inlineStr">
        <is>
          <t>893501077</t>
        </is>
      </c>
    </row>
    <row r="507">
      <c r="A507" t="inlineStr">
        <is>
          <t>No</t>
        </is>
      </c>
      <c r="B507" t="inlineStr">
        <is>
          <t>PE64.A78 W47 2002</t>
        </is>
      </c>
      <c r="C507" t="inlineStr">
        <is>
          <t>0                      PE 0064000A  78                 W  47          2002</t>
        </is>
      </c>
      <c r="D507" t="inlineStr">
        <is>
          <t>The scarlet professor : Newton Arvin, a literary life shattered by scandal / Barry Werth.</t>
        </is>
      </c>
      <c r="F507" t="inlineStr">
        <is>
          <t>No</t>
        </is>
      </c>
      <c r="G507" t="inlineStr">
        <is>
          <t>1</t>
        </is>
      </c>
      <c r="H507" t="inlineStr">
        <is>
          <t>No</t>
        </is>
      </c>
      <c r="I507" t="inlineStr">
        <is>
          <t>No</t>
        </is>
      </c>
      <c r="J507" t="inlineStr">
        <is>
          <t>0</t>
        </is>
      </c>
      <c r="K507" t="inlineStr">
        <is>
          <t>Werth, Barry.</t>
        </is>
      </c>
      <c r="L507" t="inlineStr">
        <is>
          <t>New York : Anchor Books, c2002.</t>
        </is>
      </c>
      <c r="M507" t="inlineStr">
        <is>
          <t>2002</t>
        </is>
      </c>
      <c r="N507" t="inlineStr">
        <is>
          <t>First Anchor Books ed.</t>
        </is>
      </c>
      <c r="O507" t="inlineStr">
        <is>
          <t>eng</t>
        </is>
      </c>
      <c r="P507" t="inlineStr">
        <is>
          <t>nyu</t>
        </is>
      </c>
      <c r="R507" t="inlineStr">
        <is>
          <t xml:space="preserve">PE </t>
        </is>
      </c>
      <c r="S507" t="n">
        <v>3</v>
      </c>
      <c r="T507" t="n">
        <v>3</v>
      </c>
      <c r="U507" t="inlineStr">
        <is>
          <t>2002-08-12</t>
        </is>
      </c>
      <c r="V507" t="inlineStr">
        <is>
          <t>2002-08-12</t>
        </is>
      </c>
      <c r="W507" t="inlineStr">
        <is>
          <t>2002-04-02</t>
        </is>
      </c>
      <c r="X507" t="inlineStr">
        <is>
          <t>2002-04-02</t>
        </is>
      </c>
      <c r="Y507" t="n">
        <v>19</v>
      </c>
      <c r="Z507" t="n">
        <v>16</v>
      </c>
      <c r="AA507" t="n">
        <v>590</v>
      </c>
      <c r="AB507" t="n">
        <v>1</v>
      </c>
      <c r="AC507" t="n">
        <v>4</v>
      </c>
      <c r="AD507" t="n">
        <v>1</v>
      </c>
      <c r="AE507" t="n">
        <v>25</v>
      </c>
      <c r="AF507" t="n">
        <v>1</v>
      </c>
      <c r="AG507" t="n">
        <v>10</v>
      </c>
      <c r="AH507" t="n">
        <v>0</v>
      </c>
      <c r="AI507" t="n">
        <v>8</v>
      </c>
      <c r="AJ507" t="n">
        <v>1</v>
      </c>
      <c r="AK507" t="n">
        <v>12</v>
      </c>
      <c r="AL507" t="n">
        <v>0</v>
      </c>
      <c r="AM507" t="n">
        <v>3</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HYPERLINK("https://creighton-primo.hosted.exlibrisgroup.com/primo-explore/search?tab=default_tab&amp;search_scope=EVERYTHING&amp;vid=01CRU&amp;lang=en_US&amp;offset=0&amp;query=any,contains,991003762579702656","Catalog Record")</f>
        <v/>
      </c>
      <c r="AT507">
        <f>HYPERLINK("http://www.worldcat.org/oclc/49402636","WorldCat Record")</f>
        <v/>
      </c>
      <c r="AU507" t="inlineStr">
        <is>
          <t>34394328:eng</t>
        </is>
      </c>
      <c r="AV507" t="inlineStr">
        <is>
          <t>49402636</t>
        </is>
      </c>
      <c r="AW507" t="inlineStr">
        <is>
          <t>991003762579702656</t>
        </is>
      </c>
      <c r="AX507" t="inlineStr">
        <is>
          <t>991003762579702656</t>
        </is>
      </c>
      <c r="AY507" t="inlineStr">
        <is>
          <t>2258945530002656</t>
        </is>
      </c>
      <c r="AZ507" t="inlineStr">
        <is>
          <t>BOOK</t>
        </is>
      </c>
      <c r="BB507" t="inlineStr">
        <is>
          <t>9780385494694</t>
        </is>
      </c>
      <c r="BC507" t="inlineStr">
        <is>
          <t>32285004461769</t>
        </is>
      </c>
      <c r="BD507" t="inlineStr">
        <is>
          <t>893592864</t>
        </is>
      </c>
    </row>
    <row r="508">
      <c r="A508" t="inlineStr">
        <is>
          <t>No</t>
        </is>
      </c>
      <c r="B508" t="inlineStr">
        <is>
          <t>PE64.F85 A3 1998</t>
        </is>
      </c>
      <c r="C508" t="inlineStr">
        <is>
          <t>0                      PE 0064000F  85                 A  3           1998</t>
        </is>
      </c>
      <c r="D508" t="inlineStr">
        <is>
          <t>Doing battle : the making of a skeptic / Paul Fussell.</t>
        </is>
      </c>
      <c r="F508" t="inlineStr">
        <is>
          <t>No</t>
        </is>
      </c>
      <c r="G508" t="inlineStr">
        <is>
          <t>1</t>
        </is>
      </c>
      <c r="H508" t="inlineStr">
        <is>
          <t>No</t>
        </is>
      </c>
      <c r="I508" t="inlineStr">
        <is>
          <t>No</t>
        </is>
      </c>
      <c r="J508" t="inlineStr">
        <is>
          <t>0</t>
        </is>
      </c>
      <c r="K508" t="inlineStr">
        <is>
          <t>Fussell, Paul, 1924-2012.</t>
        </is>
      </c>
      <c r="L508" t="inlineStr">
        <is>
          <t>Boston : Little, Brown and Co., 1998, c1996.</t>
        </is>
      </c>
      <c r="M508" t="inlineStr">
        <is>
          <t>1998</t>
        </is>
      </c>
      <c r="N508" t="inlineStr">
        <is>
          <t>1st Back Bay pbk. ed.</t>
        </is>
      </c>
      <c r="O508" t="inlineStr">
        <is>
          <t>eng</t>
        </is>
      </c>
      <c r="P508" t="inlineStr">
        <is>
          <t>mau</t>
        </is>
      </c>
      <c r="R508" t="inlineStr">
        <is>
          <t xml:space="preserve">PE </t>
        </is>
      </c>
      <c r="S508" t="n">
        <v>1</v>
      </c>
      <c r="T508" t="n">
        <v>1</v>
      </c>
      <c r="U508" t="inlineStr">
        <is>
          <t>2010-08-30</t>
        </is>
      </c>
      <c r="V508" t="inlineStr">
        <is>
          <t>2010-08-30</t>
        </is>
      </c>
      <c r="W508" t="inlineStr">
        <is>
          <t>2010-08-30</t>
        </is>
      </c>
      <c r="X508" t="inlineStr">
        <is>
          <t>2010-08-30</t>
        </is>
      </c>
      <c r="Y508" t="n">
        <v>70</v>
      </c>
      <c r="Z508" t="n">
        <v>59</v>
      </c>
      <c r="AA508" t="n">
        <v>942</v>
      </c>
      <c r="AB508" t="n">
        <v>1</v>
      </c>
      <c r="AC508" t="n">
        <v>8</v>
      </c>
      <c r="AD508" t="n">
        <v>3</v>
      </c>
      <c r="AE508" t="n">
        <v>33</v>
      </c>
      <c r="AF508" t="n">
        <v>2</v>
      </c>
      <c r="AG508" t="n">
        <v>12</v>
      </c>
      <c r="AH508" t="n">
        <v>0</v>
      </c>
      <c r="AI508" t="n">
        <v>6</v>
      </c>
      <c r="AJ508" t="n">
        <v>2</v>
      </c>
      <c r="AK508" t="n">
        <v>14</v>
      </c>
      <c r="AL508" t="n">
        <v>0</v>
      </c>
      <c r="AM508" t="n">
        <v>6</v>
      </c>
      <c r="AN508" t="n">
        <v>0</v>
      </c>
      <c r="AO508" t="n">
        <v>2</v>
      </c>
      <c r="AP508" t="inlineStr">
        <is>
          <t>No</t>
        </is>
      </c>
      <c r="AQ508" t="inlineStr">
        <is>
          <t>No</t>
        </is>
      </c>
      <c r="AS508">
        <f>HYPERLINK("https://creighton-primo.hosted.exlibrisgroup.com/primo-explore/search?tab=default_tab&amp;search_scope=EVERYTHING&amp;vid=01CRU&amp;lang=en_US&amp;offset=0&amp;query=any,contains,991000057169702656","Catalog Record")</f>
        <v/>
      </c>
      <c r="AT508">
        <f>HYPERLINK("http://www.worldcat.org/oclc/38464477","WorldCat Record")</f>
        <v/>
      </c>
      <c r="AU508" t="inlineStr">
        <is>
          <t>837059780:eng</t>
        </is>
      </c>
      <c r="AV508" t="inlineStr">
        <is>
          <t>38464477</t>
        </is>
      </c>
      <c r="AW508" t="inlineStr">
        <is>
          <t>991000057169702656</t>
        </is>
      </c>
      <c r="AX508" t="inlineStr">
        <is>
          <t>991000057169702656</t>
        </is>
      </c>
      <c r="AY508" t="inlineStr">
        <is>
          <t>2260982970002656</t>
        </is>
      </c>
      <c r="AZ508" t="inlineStr">
        <is>
          <t>BOOK</t>
        </is>
      </c>
      <c r="BB508" t="inlineStr">
        <is>
          <t>9780316290616</t>
        </is>
      </c>
      <c r="BC508" t="inlineStr">
        <is>
          <t>32285005593461</t>
        </is>
      </c>
      <c r="BD508" t="inlineStr">
        <is>
          <t>893595227</t>
        </is>
      </c>
    </row>
    <row r="509">
      <c r="A509" t="inlineStr">
        <is>
          <t>No</t>
        </is>
      </c>
      <c r="B509" t="inlineStr">
        <is>
          <t>PE64.P74 A3 1995</t>
        </is>
      </c>
      <c r="C509" t="inlineStr">
        <is>
          <t>0                      PE 0064000P  74                 A  3           1995</t>
        </is>
      </c>
      <c r="D509" t="inlineStr">
        <is>
          <t>English papers : a teaching life / William H. Pritchard.</t>
        </is>
      </c>
      <c r="F509" t="inlineStr">
        <is>
          <t>No</t>
        </is>
      </c>
      <c r="G509" t="inlineStr">
        <is>
          <t>1</t>
        </is>
      </c>
      <c r="H509" t="inlineStr">
        <is>
          <t>No</t>
        </is>
      </c>
      <c r="I509" t="inlineStr">
        <is>
          <t>No</t>
        </is>
      </c>
      <c r="J509" t="inlineStr">
        <is>
          <t>0</t>
        </is>
      </c>
      <c r="K509" t="inlineStr">
        <is>
          <t>Pritchard, William H.</t>
        </is>
      </c>
      <c r="L509" t="inlineStr">
        <is>
          <t>St. Paul, MN : Graywolf Press, 1995.</t>
        </is>
      </c>
      <c r="M509" t="inlineStr">
        <is>
          <t>1995</t>
        </is>
      </c>
      <c r="O509" t="inlineStr">
        <is>
          <t>eng</t>
        </is>
      </c>
      <c r="P509" t="inlineStr">
        <is>
          <t>mnu</t>
        </is>
      </c>
      <c r="R509" t="inlineStr">
        <is>
          <t xml:space="preserve">PE </t>
        </is>
      </c>
      <c r="S509" t="n">
        <v>1</v>
      </c>
      <c r="T509" t="n">
        <v>1</v>
      </c>
      <c r="U509" t="inlineStr">
        <is>
          <t>2006-11-16</t>
        </is>
      </c>
      <c r="V509" t="inlineStr">
        <is>
          <t>2006-11-16</t>
        </is>
      </c>
      <c r="W509" t="inlineStr">
        <is>
          <t>2006-11-16</t>
        </is>
      </c>
      <c r="X509" t="inlineStr">
        <is>
          <t>2006-11-16</t>
        </is>
      </c>
      <c r="Y509" t="n">
        <v>303</v>
      </c>
      <c r="Z509" t="n">
        <v>288</v>
      </c>
      <c r="AA509" t="n">
        <v>295</v>
      </c>
      <c r="AB509" t="n">
        <v>3</v>
      </c>
      <c r="AC509" t="n">
        <v>3</v>
      </c>
      <c r="AD509" t="n">
        <v>19</v>
      </c>
      <c r="AE509" t="n">
        <v>19</v>
      </c>
      <c r="AF509" t="n">
        <v>6</v>
      </c>
      <c r="AG509" t="n">
        <v>6</v>
      </c>
      <c r="AH509" t="n">
        <v>8</v>
      </c>
      <c r="AI509" t="n">
        <v>8</v>
      </c>
      <c r="AJ509" t="n">
        <v>8</v>
      </c>
      <c r="AK509" t="n">
        <v>8</v>
      </c>
      <c r="AL509" t="n">
        <v>2</v>
      </c>
      <c r="AM509" t="n">
        <v>2</v>
      </c>
      <c r="AN509" t="n">
        <v>0</v>
      </c>
      <c r="AO509" t="n">
        <v>0</v>
      </c>
      <c r="AP509" t="inlineStr">
        <is>
          <t>No</t>
        </is>
      </c>
      <c r="AQ509" t="inlineStr">
        <is>
          <t>Yes</t>
        </is>
      </c>
      <c r="AR509">
        <f>HYPERLINK("http://catalog.hathitrust.org/Record/003019934","HathiTrust Record")</f>
        <v/>
      </c>
      <c r="AS509">
        <f>HYPERLINK("https://creighton-primo.hosted.exlibrisgroup.com/primo-explore/search?tab=default_tab&amp;search_scope=EVERYTHING&amp;vid=01CRU&amp;lang=en_US&amp;offset=0&amp;query=any,contains,991004983499702656","Catalog Record")</f>
        <v/>
      </c>
      <c r="AT509">
        <f>HYPERLINK("http://www.worldcat.org/oclc/33411019","WorldCat Record")</f>
        <v/>
      </c>
      <c r="AU509" t="inlineStr">
        <is>
          <t>889952040:eng</t>
        </is>
      </c>
      <c r="AV509" t="inlineStr">
        <is>
          <t>33411019</t>
        </is>
      </c>
      <c r="AW509" t="inlineStr">
        <is>
          <t>991004983499702656</t>
        </is>
      </c>
      <c r="AX509" t="inlineStr">
        <is>
          <t>991004983499702656</t>
        </is>
      </c>
      <c r="AY509" t="inlineStr">
        <is>
          <t>2268306870002656</t>
        </is>
      </c>
      <c r="AZ509" t="inlineStr">
        <is>
          <t>BOOK</t>
        </is>
      </c>
      <c r="BB509" t="inlineStr">
        <is>
          <t>9781555972349</t>
        </is>
      </c>
      <c r="BC509" t="inlineStr">
        <is>
          <t>32285005260061</t>
        </is>
      </c>
      <c r="BD509" t="inlineStr">
        <is>
          <t>893326008</t>
        </is>
      </c>
    </row>
    <row r="510">
      <c r="A510" t="inlineStr">
        <is>
          <t>No</t>
        </is>
      </c>
      <c r="B510" t="inlineStr">
        <is>
          <t>PE65 .K66 1985</t>
        </is>
      </c>
      <c r="C510" t="inlineStr">
        <is>
          <t>0                      PE 0065000K  66          1985</t>
        </is>
      </c>
      <c r="D510" t="inlineStr">
        <is>
          <t>The English department in a changing world / Richard Knott.</t>
        </is>
      </c>
      <c r="F510" t="inlineStr">
        <is>
          <t>No</t>
        </is>
      </c>
      <c r="G510" t="inlineStr">
        <is>
          <t>1</t>
        </is>
      </c>
      <c r="H510" t="inlineStr">
        <is>
          <t>No</t>
        </is>
      </c>
      <c r="I510" t="inlineStr">
        <is>
          <t>No</t>
        </is>
      </c>
      <c r="J510" t="inlineStr">
        <is>
          <t>0</t>
        </is>
      </c>
      <c r="K510" t="inlineStr">
        <is>
          <t>Knott, Richard.</t>
        </is>
      </c>
      <c r="L510" t="inlineStr">
        <is>
          <t>Milton Keynes ; Philadelphia : Open University Press, 1985.</t>
        </is>
      </c>
      <c r="M510" t="inlineStr">
        <is>
          <t>1985</t>
        </is>
      </c>
      <c r="O510" t="inlineStr">
        <is>
          <t>eng</t>
        </is>
      </c>
      <c r="P510" t="inlineStr">
        <is>
          <t>enk</t>
        </is>
      </c>
      <c r="Q510" t="inlineStr">
        <is>
          <t>English, language, and education series</t>
        </is>
      </c>
      <c r="R510" t="inlineStr">
        <is>
          <t xml:space="preserve">PE </t>
        </is>
      </c>
      <c r="S510" t="n">
        <v>5</v>
      </c>
      <c r="T510" t="n">
        <v>5</v>
      </c>
      <c r="U510" t="inlineStr">
        <is>
          <t>2000-02-20</t>
        </is>
      </c>
      <c r="V510" t="inlineStr">
        <is>
          <t>2000-02-20</t>
        </is>
      </c>
      <c r="W510" t="inlineStr">
        <is>
          <t>1993-04-21</t>
        </is>
      </c>
      <c r="X510" t="inlineStr">
        <is>
          <t>1993-04-21</t>
        </is>
      </c>
      <c r="Y510" t="n">
        <v>192</v>
      </c>
      <c r="Z510" t="n">
        <v>98</v>
      </c>
      <c r="AA510" t="n">
        <v>99</v>
      </c>
      <c r="AB510" t="n">
        <v>1</v>
      </c>
      <c r="AC510" t="n">
        <v>1</v>
      </c>
      <c r="AD510" t="n">
        <v>1</v>
      </c>
      <c r="AE510" t="n">
        <v>1</v>
      </c>
      <c r="AF510" t="n">
        <v>0</v>
      </c>
      <c r="AG510" t="n">
        <v>0</v>
      </c>
      <c r="AH510" t="n">
        <v>1</v>
      </c>
      <c r="AI510" t="n">
        <v>1</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HYPERLINK("https://creighton-primo.hosted.exlibrisgroup.com/primo-explore/search?tab=default_tab&amp;search_scope=EVERYTHING&amp;vid=01CRU&amp;lang=en_US&amp;offset=0&amp;query=any,contains,991000570329702656","Catalog Record")</f>
        <v/>
      </c>
      <c r="AT510">
        <f>HYPERLINK("http://www.worldcat.org/oclc/11649317","WorldCat Record")</f>
        <v/>
      </c>
      <c r="AU510" t="inlineStr">
        <is>
          <t>4752547:eng</t>
        </is>
      </c>
      <c r="AV510" t="inlineStr">
        <is>
          <t>11649317</t>
        </is>
      </c>
      <c r="AW510" t="inlineStr">
        <is>
          <t>991000570329702656</t>
        </is>
      </c>
      <c r="AX510" t="inlineStr">
        <is>
          <t>991000570329702656</t>
        </is>
      </c>
      <c r="AY510" t="inlineStr">
        <is>
          <t>2261293780002656</t>
        </is>
      </c>
      <c r="AZ510" t="inlineStr">
        <is>
          <t>BOOK</t>
        </is>
      </c>
      <c r="BB510" t="inlineStr">
        <is>
          <t>9780335150335</t>
        </is>
      </c>
      <c r="BC510" t="inlineStr">
        <is>
          <t>32285001645802</t>
        </is>
      </c>
      <c r="BD510" t="inlineStr">
        <is>
          <t>893620590</t>
        </is>
      </c>
    </row>
    <row r="511">
      <c r="A511" t="inlineStr">
        <is>
          <t>No</t>
        </is>
      </c>
      <c r="B511" t="inlineStr">
        <is>
          <t>PE65 .M54 1993</t>
        </is>
      </c>
      <c r="C511" t="inlineStr">
        <is>
          <t>0                      PE 0065000M  54          1993</t>
        </is>
      </c>
      <c r="D511" t="inlineStr">
        <is>
          <t>Bridging English / Joseph O'Beirne Milner, Lucy Floyd Morcock Milner.</t>
        </is>
      </c>
      <c r="F511" t="inlineStr">
        <is>
          <t>No</t>
        </is>
      </c>
      <c r="G511" t="inlineStr">
        <is>
          <t>1</t>
        </is>
      </c>
      <c r="H511" t="inlineStr">
        <is>
          <t>No</t>
        </is>
      </c>
      <c r="I511" t="inlineStr">
        <is>
          <t>No</t>
        </is>
      </c>
      <c r="J511" t="inlineStr">
        <is>
          <t>0</t>
        </is>
      </c>
      <c r="K511" t="inlineStr">
        <is>
          <t>Milner, Joseph O'Beirne, 1937-</t>
        </is>
      </c>
      <c r="L511" t="inlineStr">
        <is>
          <t>New York : Merrill ; Toronto : Maxwell Macmillan Canada ; New York : Maxwell Macmillan International, c1993.</t>
        </is>
      </c>
      <c r="M511" t="inlineStr">
        <is>
          <t>1993</t>
        </is>
      </c>
      <c r="O511" t="inlineStr">
        <is>
          <t>eng</t>
        </is>
      </c>
      <c r="P511" t="inlineStr">
        <is>
          <t>nyu</t>
        </is>
      </c>
      <c r="R511" t="inlineStr">
        <is>
          <t xml:space="preserve">PE </t>
        </is>
      </c>
      <c r="S511" t="n">
        <v>5</v>
      </c>
      <c r="T511" t="n">
        <v>5</v>
      </c>
      <c r="U511" t="inlineStr">
        <is>
          <t>2007-08-16</t>
        </is>
      </c>
      <c r="V511" t="inlineStr">
        <is>
          <t>2007-08-16</t>
        </is>
      </c>
      <c r="W511" t="inlineStr">
        <is>
          <t>1997-02-26</t>
        </is>
      </c>
      <c r="X511" t="inlineStr">
        <is>
          <t>1997-02-26</t>
        </is>
      </c>
      <c r="Y511" t="n">
        <v>114</v>
      </c>
      <c r="Z511" t="n">
        <v>96</v>
      </c>
      <c r="AA511" t="n">
        <v>284</v>
      </c>
      <c r="AB511" t="n">
        <v>2</v>
      </c>
      <c r="AC511" t="n">
        <v>2</v>
      </c>
      <c r="AD511" t="n">
        <v>6</v>
      </c>
      <c r="AE511" t="n">
        <v>11</v>
      </c>
      <c r="AF511" t="n">
        <v>2</v>
      </c>
      <c r="AG511" t="n">
        <v>4</v>
      </c>
      <c r="AH511" t="n">
        <v>1</v>
      </c>
      <c r="AI511" t="n">
        <v>3</v>
      </c>
      <c r="AJ511" t="n">
        <v>4</v>
      </c>
      <c r="AK511" t="n">
        <v>7</v>
      </c>
      <c r="AL511" t="n">
        <v>1</v>
      </c>
      <c r="AM511" t="n">
        <v>1</v>
      </c>
      <c r="AN511" t="n">
        <v>0</v>
      </c>
      <c r="AO511" t="n">
        <v>0</v>
      </c>
      <c r="AP511" t="inlineStr">
        <is>
          <t>No</t>
        </is>
      </c>
      <c r="AQ511" t="inlineStr">
        <is>
          <t>Yes</t>
        </is>
      </c>
      <c r="AR511">
        <f>HYPERLINK("http://catalog.hathitrust.org/Record/002645357","HathiTrust Record")</f>
        <v/>
      </c>
      <c r="AS511">
        <f>HYPERLINK("https://creighton-primo.hosted.exlibrisgroup.com/primo-explore/search?tab=default_tab&amp;search_scope=EVERYTHING&amp;vid=01CRU&amp;lang=en_US&amp;offset=0&amp;query=any,contains,991002077609702656","Catalog Record")</f>
        <v/>
      </c>
      <c r="AT511">
        <f>HYPERLINK("http://www.worldcat.org/oclc/26634520","WorldCat Record")</f>
        <v/>
      </c>
      <c r="AU511" t="inlineStr">
        <is>
          <t>29151683:eng</t>
        </is>
      </c>
      <c r="AV511" t="inlineStr">
        <is>
          <t>26634520</t>
        </is>
      </c>
      <c r="AW511" t="inlineStr">
        <is>
          <t>991002077609702656</t>
        </is>
      </c>
      <c r="AX511" t="inlineStr">
        <is>
          <t>991002077609702656</t>
        </is>
      </c>
      <c r="AY511" t="inlineStr">
        <is>
          <t>2264318080002656</t>
        </is>
      </c>
      <c r="AZ511" t="inlineStr">
        <is>
          <t>BOOK</t>
        </is>
      </c>
      <c r="BB511" t="inlineStr">
        <is>
          <t>9780675214124</t>
        </is>
      </c>
      <c r="BC511" t="inlineStr">
        <is>
          <t>32285002433760</t>
        </is>
      </c>
      <c r="BD511" t="inlineStr">
        <is>
          <t>893590881</t>
        </is>
      </c>
    </row>
    <row r="512">
      <c r="A512" t="inlineStr">
        <is>
          <t>No</t>
        </is>
      </c>
      <c r="B512" t="inlineStr">
        <is>
          <t>PE65 .T5</t>
        </is>
      </c>
      <c r="C512" t="inlineStr">
        <is>
          <t>0                      PE 0065000T  5</t>
        </is>
      </c>
      <c r="D512" t="inlineStr">
        <is>
          <t>Thematic units in teaching English and the humanities / edited by Sylvia Spann and Mary Beth Culp.</t>
        </is>
      </c>
      <c r="F512" t="inlineStr">
        <is>
          <t>No</t>
        </is>
      </c>
      <c r="G512" t="inlineStr">
        <is>
          <t>1</t>
        </is>
      </c>
      <c r="H512" t="inlineStr">
        <is>
          <t>No</t>
        </is>
      </c>
      <c r="I512" t="inlineStr">
        <is>
          <t>No</t>
        </is>
      </c>
      <c r="J512" t="inlineStr">
        <is>
          <t>0</t>
        </is>
      </c>
      <c r="L512" t="inlineStr">
        <is>
          <t>Urbana, Ill. : National Council of Teachers of English, c1975.</t>
        </is>
      </c>
      <c r="M512" t="inlineStr">
        <is>
          <t>1975</t>
        </is>
      </c>
      <c r="O512" t="inlineStr">
        <is>
          <t>eng</t>
        </is>
      </c>
      <c r="P512" t="inlineStr">
        <is>
          <t>ilu</t>
        </is>
      </c>
      <c r="R512" t="inlineStr">
        <is>
          <t xml:space="preserve">PE </t>
        </is>
      </c>
      <c r="S512" t="n">
        <v>1</v>
      </c>
      <c r="T512" t="n">
        <v>1</v>
      </c>
      <c r="U512" t="inlineStr">
        <is>
          <t>2007-12-03</t>
        </is>
      </c>
      <c r="V512" t="inlineStr">
        <is>
          <t>2007-12-03</t>
        </is>
      </c>
      <c r="W512" t="inlineStr">
        <is>
          <t>1997-09-15</t>
        </is>
      </c>
      <c r="X512" t="inlineStr">
        <is>
          <t>1997-09-15</t>
        </is>
      </c>
      <c r="Y512" t="n">
        <v>208</v>
      </c>
      <c r="Z512" t="n">
        <v>183</v>
      </c>
      <c r="AA512" t="n">
        <v>192</v>
      </c>
      <c r="AB512" t="n">
        <v>3</v>
      </c>
      <c r="AC512" t="n">
        <v>3</v>
      </c>
      <c r="AD512" t="n">
        <v>8</v>
      </c>
      <c r="AE512" t="n">
        <v>8</v>
      </c>
      <c r="AF512" t="n">
        <v>3</v>
      </c>
      <c r="AG512" t="n">
        <v>3</v>
      </c>
      <c r="AH512" t="n">
        <v>1</v>
      </c>
      <c r="AI512" t="n">
        <v>1</v>
      </c>
      <c r="AJ512" t="n">
        <v>5</v>
      </c>
      <c r="AK512" t="n">
        <v>5</v>
      </c>
      <c r="AL512" t="n">
        <v>2</v>
      </c>
      <c r="AM512" t="n">
        <v>2</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HYPERLINK("https://creighton-primo.hosted.exlibrisgroup.com/primo-explore/search?tab=default_tab&amp;search_scope=EVERYTHING&amp;vid=01CRU&amp;lang=en_US&amp;offset=0&amp;query=any,contains,991003917809702656","Catalog Record")</f>
        <v/>
      </c>
      <c r="AT512">
        <f>HYPERLINK("http://www.worldcat.org/oclc/1863486","WorldCat Record")</f>
        <v/>
      </c>
      <c r="AU512" t="inlineStr">
        <is>
          <t>5090742036:eng</t>
        </is>
      </c>
      <c r="AV512" t="inlineStr">
        <is>
          <t>1863486</t>
        </is>
      </c>
      <c r="AW512" t="inlineStr">
        <is>
          <t>991003917809702656</t>
        </is>
      </c>
      <c r="AX512" t="inlineStr">
        <is>
          <t>991003917809702656</t>
        </is>
      </c>
      <c r="AY512" t="inlineStr">
        <is>
          <t>2263148060002656</t>
        </is>
      </c>
      <c r="AZ512" t="inlineStr">
        <is>
          <t>BOOK</t>
        </is>
      </c>
      <c r="BB512" t="inlineStr">
        <is>
          <t>9780814153727</t>
        </is>
      </c>
      <c r="BC512" t="inlineStr">
        <is>
          <t>32285003227088</t>
        </is>
      </c>
      <c r="BD512" t="inlineStr">
        <is>
          <t>893416996</t>
        </is>
      </c>
    </row>
    <row r="513">
      <c r="A513" t="inlineStr">
        <is>
          <t>No</t>
        </is>
      </c>
      <c r="B513" t="inlineStr">
        <is>
          <t>PE66 .D53 1998</t>
        </is>
      </c>
      <c r="C513" t="inlineStr">
        <is>
          <t>0                      PE 0066000D  53          1998</t>
        </is>
      </c>
      <c r="D513" t="inlineStr">
        <is>
          <t>The dialogic classroom : teachers integrating computer technology, pedagogy, and research / edited by Jeffrey R. Galin and Joan Latchaw.</t>
        </is>
      </c>
      <c r="F513" t="inlineStr">
        <is>
          <t>No</t>
        </is>
      </c>
      <c r="G513" t="inlineStr">
        <is>
          <t>1</t>
        </is>
      </c>
      <c r="H513" t="inlineStr">
        <is>
          <t>No</t>
        </is>
      </c>
      <c r="I513" t="inlineStr">
        <is>
          <t>No</t>
        </is>
      </c>
      <c r="J513" t="inlineStr">
        <is>
          <t>0</t>
        </is>
      </c>
      <c r="L513" t="inlineStr">
        <is>
          <t>Urbana, Ill. : National Council of Teachers of English, c1998.</t>
        </is>
      </c>
      <c r="M513" t="inlineStr">
        <is>
          <t>1998</t>
        </is>
      </c>
      <c r="O513" t="inlineStr">
        <is>
          <t>eng</t>
        </is>
      </c>
      <c r="P513" t="inlineStr">
        <is>
          <t>ilu</t>
        </is>
      </c>
      <c r="R513" t="inlineStr">
        <is>
          <t xml:space="preserve">PE </t>
        </is>
      </c>
      <c r="S513" t="n">
        <v>4</v>
      </c>
      <c r="T513" t="n">
        <v>4</v>
      </c>
      <c r="U513" t="inlineStr">
        <is>
          <t>2005-08-29</t>
        </is>
      </c>
      <c r="V513" t="inlineStr">
        <is>
          <t>2005-08-29</t>
        </is>
      </c>
      <c r="W513" t="inlineStr">
        <is>
          <t>1999-04-12</t>
        </is>
      </c>
      <c r="X513" t="inlineStr">
        <is>
          <t>1999-04-12</t>
        </is>
      </c>
      <c r="Y513" t="n">
        <v>312</v>
      </c>
      <c r="Z513" t="n">
        <v>282</v>
      </c>
      <c r="AA513" t="n">
        <v>291</v>
      </c>
      <c r="AB513" t="n">
        <v>4</v>
      </c>
      <c r="AC513" t="n">
        <v>4</v>
      </c>
      <c r="AD513" t="n">
        <v>16</v>
      </c>
      <c r="AE513" t="n">
        <v>16</v>
      </c>
      <c r="AF513" t="n">
        <v>8</v>
      </c>
      <c r="AG513" t="n">
        <v>8</v>
      </c>
      <c r="AH513" t="n">
        <v>1</v>
      </c>
      <c r="AI513" t="n">
        <v>1</v>
      </c>
      <c r="AJ513" t="n">
        <v>6</v>
      </c>
      <c r="AK513" t="n">
        <v>6</v>
      </c>
      <c r="AL513" t="n">
        <v>3</v>
      </c>
      <c r="AM513" t="n">
        <v>3</v>
      </c>
      <c r="AN513" t="n">
        <v>0</v>
      </c>
      <c r="AO513" t="n">
        <v>0</v>
      </c>
      <c r="AP513" t="inlineStr">
        <is>
          <t>No</t>
        </is>
      </c>
      <c r="AQ513" t="inlineStr">
        <is>
          <t>Yes</t>
        </is>
      </c>
      <c r="AR513">
        <f>HYPERLINK("http://catalog.hathitrust.org/Record/009924700","HathiTrust Record")</f>
        <v/>
      </c>
      <c r="AS513">
        <f>HYPERLINK("https://creighton-primo.hosted.exlibrisgroup.com/primo-explore/search?tab=default_tab&amp;search_scope=EVERYTHING&amp;vid=01CRU&amp;lang=en_US&amp;offset=0&amp;query=any,contains,991002968559702656","Catalog Record")</f>
        <v/>
      </c>
      <c r="AT513">
        <f>HYPERLINK("http://www.worldcat.org/oclc/39733049","WorldCat Record")</f>
        <v/>
      </c>
      <c r="AU513" t="inlineStr">
        <is>
          <t>940886275:eng</t>
        </is>
      </c>
      <c r="AV513" t="inlineStr">
        <is>
          <t>39733049</t>
        </is>
      </c>
      <c r="AW513" t="inlineStr">
        <is>
          <t>991002968559702656</t>
        </is>
      </c>
      <c r="AX513" t="inlineStr">
        <is>
          <t>991002968559702656</t>
        </is>
      </c>
      <c r="AY513" t="inlineStr">
        <is>
          <t>2255789490002656</t>
        </is>
      </c>
      <c r="AZ513" t="inlineStr">
        <is>
          <t>BOOK</t>
        </is>
      </c>
      <c r="BB513" t="inlineStr">
        <is>
          <t>9780814111451</t>
        </is>
      </c>
      <c r="BC513" t="inlineStr">
        <is>
          <t>32285003551263</t>
        </is>
      </c>
      <c r="BD513" t="inlineStr">
        <is>
          <t>893627393</t>
        </is>
      </c>
    </row>
    <row r="514">
      <c r="A514" t="inlineStr">
        <is>
          <t>No</t>
        </is>
      </c>
      <c r="B514" t="inlineStr">
        <is>
          <t>PE66 .S74 2005</t>
        </is>
      </c>
      <c r="C514" t="inlineStr">
        <is>
          <t>0                      PE 0066000S  74          2005</t>
        </is>
      </c>
      <c r="D514" t="inlineStr">
        <is>
          <t>Professing and pedagogy : learning the teaching of English / Shari J. Stenberg.</t>
        </is>
      </c>
      <c r="F514" t="inlineStr">
        <is>
          <t>No</t>
        </is>
      </c>
      <c r="G514" t="inlineStr">
        <is>
          <t>1</t>
        </is>
      </c>
      <c r="H514" t="inlineStr">
        <is>
          <t>No</t>
        </is>
      </c>
      <c r="I514" t="inlineStr">
        <is>
          <t>No</t>
        </is>
      </c>
      <c r="J514" t="inlineStr">
        <is>
          <t>0</t>
        </is>
      </c>
      <c r="K514" t="inlineStr">
        <is>
          <t>Stenberg, Shari J.</t>
        </is>
      </c>
      <c r="L514" t="inlineStr">
        <is>
          <t>Urbana, Ill. : National Council of Teachers of English, c2005.</t>
        </is>
      </c>
      <c r="M514" t="inlineStr">
        <is>
          <t>2005</t>
        </is>
      </c>
      <c r="O514" t="inlineStr">
        <is>
          <t>eng</t>
        </is>
      </c>
      <c r="P514" t="inlineStr">
        <is>
          <t>ilu</t>
        </is>
      </c>
      <c r="Q514" t="inlineStr">
        <is>
          <t>Refiguring English studies, 1073-9637</t>
        </is>
      </c>
      <c r="R514" t="inlineStr">
        <is>
          <t xml:space="preserve">PE </t>
        </is>
      </c>
      <c r="S514" t="n">
        <v>12</v>
      </c>
      <c r="T514" t="n">
        <v>12</v>
      </c>
      <c r="U514" t="inlineStr">
        <is>
          <t>2008-03-24</t>
        </is>
      </c>
      <c r="V514" t="inlineStr">
        <is>
          <t>2008-03-24</t>
        </is>
      </c>
      <c r="W514" t="inlineStr">
        <is>
          <t>2005-07-07</t>
        </is>
      </c>
      <c r="X514" t="inlineStr">
        <is>
          <t>2005-07-07</t>
        </is>
      </c>
      <c r="Y514" t="n">
        <v>207</v>
      </c>
      <c r="Z514" t="n">
        <v>182</v>
      </c>
      <c r="AA514" t="n">
        <v>184</v>
      </c>
      <c r="AB514" t="n">
        <v>3</v>
      </c>
      <c r="AC514" t="n">
        <v>3</v>
      </c>
      <c r="AD514" t="n">
        <v>9</v>
      </c>
      <c r="AE514" t="n">
        <v>9</v>
      </c>
      <c r="AF514" t="n">
        <v>5</v>
      </c>
      <c r="AG514" t="n">
        <v>5</v>
      </c>
      <c r="AH514" t="n">
        <v>1</v>
      </c>
      <c r="AI514" t="n">
        <v>1</v>
      </c>
      <c r="AJ514" t="n">
        <v>2</v>
      </c>
      <c r="AK514" t="n">
        <v>2</v>
      </c>
      <c r="AL514" t="n">
        <v>2</v>
      </c>
      <c r="AM514" t="n">
        <v>2</v>
      </c>
      <c r="AN514" t="n">
        <v>0</v>
      </c>
      <c r="AO514" t="n">
        <v>0</v>
      </c>
      <c r="AP514" t="inlineStr">
        <is>
          <t>No</t>
        </is>
      </c>
      <c r="AQ514" t="inlineStr">
        <is>
          <t>Yes</t>
        </is>
      </c>
      <c r="AR514">
        <f>HYPERLINK("http://catalog.hathitrust.org/Record/007145494","HathiTrust Record")</f>
        <v/>
      </c>
      <c r="AS514">
        <f>HYPERLINK("https://creighton-primo.hosted.exlibrisgroup.com/primo-explore/search?tab=default_tab&amp;search_scope=EVERYTHING&amp;vid=01CRU&amp;lang=en_US&amp;offset=0&amp;query=any,contains,991004599519702656","Catalog Record")</f>
        <v/>
      </c>
      <c r="AT514">
        <f>HYPERLINK("http://www.worldcat.org/oclc/56753415","WorldCat Record")</f>
        <v/>
      </c>
      <c r="AU514" t="inlineStr">
        <is>
          <t>16876361:eng</t>
        </is>
      </c>
      <c r="AV514" t="inlineStr">
        <is>
          <t>56753415</t>
        </is>
      </c>
      <c r="AW514" t="inlineStr">
        <is>
          <t>991004599519702656</t>
        </is>
      </c>
      <c r="AX514" t="inlineStr">
        <is>
          <t>991004599519702656</t>
        </is>
      </c>
      <c r="AY514" t="inlineStr">
        <is>
          <t>2271297850002656</t>
        </is>
      </c>
      <c r="AZ514" t="inlineStr">
        <is>
          <t>BOOK</t>
        </is>
      </c>
      <c r="BB514" t="inlineStr">
        <is>
          <t>9780814137413</t>
        </is>
      </c>
      <c r="BC514" t="inlineStr">
        <is>
          <t>32285005095541</t>
        </is>
      </c>
      <c r="BD514" t="inlineStr">
        <is>
          <t>893904930</t>
        </is>
      </c>
    </row>
    <row r="515">
      <c r="A515" t="inlineStr">
        <is>
          <t>No</t>
        </is>
      </c>
      <c r="B515" t="inlineStr">
        <is>
          <t>PE664.A3 L36 2003</t>
        </is>
      </c>
      <c r="C515" t="inlineStr">
        <is>
          <t>0                      PE 0664000A  3                  L  36          2003</t>
        </is>
      </c>
      <c r="D515" t="inlineStr">
        <is>
          <t>Language contact in the history of English / Dieter Kastovsky, Arthur Mettinger, eds.</t>
        </is>
      </c>
      <c r="F515" t="inlineStr">
        <is>
          <t>No</t>
        </is>
      </c>
      <c r="G515" t="inlineStr">
        <is>
          <t>1</t>
        </is>
      </c>
      <c r="H515" t="inlineStr">
        <is>
          <t>No</t>
        </is>
      </c>
      <c r="I515" t="inlineStr">
        <is>
          <t>No</t>
        </is>
      </c>
      <c r="J515" t="inlineStr">
        <is>
          <t>0</t>
        </is>
      </c>
      <c r="L515" t="inlineStr">
        <is>
          <t>Frankfurt am Main ; New York : P. Lang, 2003.</t>
        </is>
      </c>
      <c r="M515" t="inlineStr">
        <is>
          <t>2003</t>
        </is>
      </c>
      <c r="N515" t="inlineStr">
        <is>
          <t>2nd, rev. ed.</t>
        </is>
      </c>
      <c r="O515" t="inlineStr">
        <is>
          <t>eng</t>
        </is>
      </c>
      <c r="P515" t="inlineStr">
        <is>
          <t xml:space="preserve">gw </t>
        </is>
      </c>
      <c r="Q515" t="inlineStr">
        <is>
          <t>Studies in English medieval language and literature ; Bd. 1</t>
        </is>
      </c>
      <c r="R515" t="inlineStr">
        <is>
          <t xml:space="preserve">PE </t>
        </is>
      </c>
      <c r="S515" t="n">
        <v>1</v>
      </c>
      <c r="T515" t="n">
        <v>1</v>
      </c>
      <c r="U515" t="inlineStr">
        <is>
          <t>2004-05-10</t>
        </is>
      </c>
      <c r="V515" t="inlineStr">
        <is>
          <t>2004-05-10</t>
        </is>
      </c>
      <c r="W515" t="inlineStr">
        <is>
          <t>2004-05-10</t>
        </is>
      </c>
      <c r="X515" t="inlineStr">
        <is>
          <t>2004-05-10</t>
        </is>
      </c>
      <c r="Y515" t="n">
        <v>55</v>
      </c>
      <c r="Z515" t="n">
        <v>23</v>
      </c>
      <c r="AA515" t="n">
        <v>62</v>
      </c>
      <c r="AB515" t="n">
        <v>2</v>
      </c>
      <c r="AC515" t="n">
        <v>2</v>
      </c>
      <c r="AD515" t="n">
        <v>2</v>
      </c>
      <c r="AE515" t="n">
        <v>5</v>
      </c>
      <c r="AF515" t="n">
        <v>1</v>
      </c>
      <c r="AG515" t="n">
        <v>1</v>
      </c>
      <c r="AH515" t="n">
        <v>0</v>
      </c>
      <c r="AI515" t="n">
        <v>2</v>
      </c>
      <c r="AJ515" t="n">
        <v>0</v>
      </c>
      <c r="AK515" t="n">
        <v>2</v>
      </c>
      <c r="AL515" t="n">
        <v>1</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HYPERLINK("https://creighton-primo.hosted.exlibrisgroup.com/primo-explore/search?tab=default_tab&amp;search_scope=EVERYTHING&amp;vid=01CRU&amp;lang=en_US&amp;offset=0&amp;query=any,contains,991004252259702656","Catalog Record")</f>
        <v/>
      </c>
      <c r="AT515">
        <f>HYPERLINK("http://www.worldcat.org/oclc/51912613","WorldCat Record")</f>
        <v/>
      </c>
      <c r="AU515" t="inlineStr">
        <is>
          <t>350879476:eng</t>
        </is>
      </c>
      <c r="AV515" t="inlineStr">
        <is>
          <t>51912613</t>
        </is>
      </c>
      <c r="AW515" t="inlineStr">
        <is>
          <t>991004252259702656</t>
        </is>
      </c>
      <c r="AX515" t="inlineStr">
        <is>
          <t>991004252259702656</t>
        </is>
      </c>
      <c r="AY515" t="inlineStr">
        <is>
          <t>2263979700002656</t>
        </is>
      </c>
      <c r="AZ515" t="inlineStr">
        <is>
          <t>BOOK</t>
        </is>
      </c>
      <c r="BB515" t="inlineStr">
        <is>
          <t>9780820460864</t>
        </is>
      </c>
      <c r="BC515" t="inlineStr">
        <is>
          <t>32285004904743</t>
        </is>
      </c>
      <c r="BD515" t="inlineStr">
        <is>
          <t>893337494</t>
        </is>
      </c>
    </row>
    <row r="516">
      <c r="A516" t="inlineStr">
        <is>
          <t>No</t>
        </is>
      </c>
      <c r="B516" t="inlineStr">
        <is>
          <t>PE664.O43 D36 2003</t>
        </is>
      </c>
      <c r="C516" t="inlineStr">
        <is>
          <t>0                      PE 0664000O  43                 D  36          2003</t>
        </is>
      </c>
      <c r="D516" t="inlineStr">
        <is>
          <t>Words derived from Old Norse in early Middle English : studies in the vocabulary of the South-West Midland texts / by Richard Dance.</t>
        </is>
      </c>
      <c r="F516" t="inlineStr">
        <is>
          <t>No</t>
        </is>
      </c>
      <c r="G516" t="inlineStr">
        <is>
          <t>1</t>
        </is>
      </c>
      <c r="H516" t="inlineStr">
        <is>
          <t>No</t>
        </is>
      </c>
      <c r="I516" t="inlineStr">
        <is>
          <t>No</t>
        </is>
      </c>
      <c r="J516" t="inlineStr">
        <is>
          <t>0</t>
        </is>
      </c>
      <c r="K516" t="inlineStr">
        <is>
          <t>Dance, Richard, 1971-</t>
        </is>
      </c>
      <c r="L516" t="inlineStr">
        <is>
          <t>Tempe, AZ : Arizona Center for Medieval and Renaissance Studies, 2003.</t>
        </is>
      </c>
      <c r="M516" t="inlineStr">
        <is>
          <t>2003</t>
        </is>
      </c>
      <c r="O516" t="inlineStr">
        <is>
          <t>eng</t>
        </is>
      </c>
      <c r="P516" t="inlineStr">
        <is>
          <t>azu</t>
        </is>
      </c>
      <c r="Q516" t="inlineStr">
        <is>
          <t>Medieval and Renaissance texts and studies ; 246</t>
        </is>
      </c>
      <c r="R516" t="inlineStr">
        <is>
          <t xml:space="preserve">PE </t>
        </is>
      </c>
      <c r="S516" t="n">
        <v>1</v>
      </c>
      <c r="T516" t="n">
        <v>1</v>
      </c>
      <c r="U516" t="inlineStr">
        <is>
          <t>2010-05-19</t>
        </is>
      </c>
      <c r="V516" t="inlineStr">
        <is>
          <t>2010-05-19</t>
        </is>
      </c>
      <c r="W516" t="inlineStr">
        <is>
          <t>2010-05-19</t>
        </is>
      </c>
      <c r="X516" t="inlineStr">
        <is>
          <t>2010-05-19</t>
        </is>
      </c>
      <c r="Y516" t="n">
        <v>126</v>
      </c>
      <c r="Z516" t="n">
        <v>90</v>
      </c>
      <c r="AA516" t="n">
        <v>95</v>
      </c>
      <c r="AB516" t="n">
        <v>2</v>
      </c>
      <c r="AC516" t="n">
        <v>2</v>
      </c>
      <c r="AD516" t="n">
        <v>7</v>
      </c>
      <c r="AE516" t="n">
        <v>7</v>
      </c>
      <c r="AF516" t="n">
        <v>0</v>
      </c>
      <c r="AG516" t="n">
        <v>0</v>
      </c>
      <c r="AH516" t="n">
        <v>3</v>
      </c>
      <c r="AI516" t="n">
        <v>3</v>
      </c>
      <c r="AJ516" t="n">
        <v>5</v>
      </c>
      <c r="AK516" t="n">
        <v>5</v>
      </c>
      <c r="AL516" t="n">
        <v>1</v>
      </c>
      <c r="AM516" t="n">
        <v>1</v>
      </c>
      <c r="AN516" t="n">
        <v>0</v>
      </c>
      <c r="AO516" t="n">
        <v>0</v>
      </c>
      <c r="AP516" t="inlineStr">
        <is>
          <t>No</t>
        </is>
      </c>
      <c r="AQ516" t="inlineStr">
        <is>
          <t>Yes</t>
        </is>
      </c>
      <c r="AR516">
        <f>HYPERLINK("http://catalog.hathitrust.org/Record/004731175","HathiTrust Record")</f>
        <v/>
      </c>
      <c r="AS516">
        <f>HYPERLINK("https://creighton-primo.hosted.exlibrisgroup.com/primo-explore/search?tab=default_tab&amp;search_scope=EVERYTHING&amp;vid=01CRU&amp;lang=en_US&amp;offset=0&amp;query=any,contains,991005386539702656","Catalog Record")</f>
        <v/>
      </c>
      <c r="AT516">
        <f>HYPERLINK("http://www.worldcat.org/oclc/48951349","WorldCat Record")</f>
        <v/>
      </c>
      <c r="AU516" t="inlineStr">
        <is>
          <t>367852178:eng</t>
        </is>
      </c>
      <c r="AV516" t="inlineStr">
        <is>
          <t>48951349</t>
        </is>
      </c>
      <c r="AW516" t="inlineStr">
        <is>
          <t>991005386539702656</t>
        </is>
      </c>
      <c r="AX516" t="inlineStr">
        <is>
          <t>991005386539702656</t>
        </is>
      </c>
      <c r="AY516" t="inlineStr">
        <is>
          <t>2268910780002656</t>
        </is>
      </c>
      <c r="AZ516" t="inlineStr">
        <is>
          <t>BOOK</t>
        </is>
      </c>
      <c r="BB516" t="inlineStr">
        <is>
          <t>9780866982887</t>
        </is>
      </c>
      <c r="BC516" t="inlineStr">
        <is>
          <t>32285005584718</t>
        </is>
      </c>
      <c r="BD516" t="inlineStr">
        <is>
          <t>893514640</t>
        </is>
      </c>
    </row>
    <row r="517">
      <c r="A517" t="inlineStr">
        <is>
          <t>No</t>
        </is>
      </c>
      <c r="B517" t="inlineStr">
        <is>
          <t>PE68.U5 B66 1991</t>
        </is>
      </c>
      <c r="C517" t="inlineStr">
        <is>
          <t>0                      PE 0068000U  5                  B  66          1991</t>
        </is>
      </c>
      <c r="D517" t="inlineStr">
        <is>
          <t>The vocation of a teacher : rhetorical occasions, 1967-1988 / Wayne C. Booth.</t>
        </is>
      </c>
      <c r="F517" t="inlineStr">
        <is>
          <t>No</t>
        </is>
      </c>
      <c r="G517" t="inlineStr">
        <is>
          <t>1</t>
        </is>
      </c>
      <c r="H517" t="inlineStr">
        <is>
          <t>No</t>
        </is>
      </c>
      <c r="I517" t="inlineStr">
        <is>
          <t>No</t>
        </is>
      </c>
      <c r="J517" t="inlineStr">
        <is>
          <t>0</t>
        </is>
      </c>
      <c r="K517" t="inlineStr">
        <is>
          <t>Booth, Wayne C.</t>
        </is>
      </c>
      <c r="L517" t="inlineStr">
        <is>
          <t>Chicago : University of Chicago Press, 1991, c1988.</t>
        </is>
      </c>
      <c r="M517" t="inlineStr">
        <is>
          <t>1991</t>
        </is>
      </c>
      <c r="N517" t="inlineStr">
        <is>
          <t>Paperback ed.</t>
        </is>
      </c>
      <c r="O517" t="inlineStr">
        <is>
          <t>eng</t>
        </is>
      </c>
      <c r="P517" t="inlineStr">
        <is>
          <t>ilu</t>
        </is>
      </c>
      <c r="R517" t="inlineStr">
        <is>
          <t xml:space="preserve">PE </t>
        </is>
      </c>
      <c r="S517" t="n">
        <v>1</v>
      </c>
      <c r="T517" t="n">
        <v>1</v>
      </c>
      <c r="U517" t="inlineStr">
        <is>
          <t>2004-11-18</t>
        </is>
      </c>
      <c r="V517" t="inlineStr">
        <is>
          <t>2004-11-18</t>
        </is>
      </c>
      <c r="W517" t="inlineStr">
        <is>
          <t>2004-11-18</t>
        </is>
      </c>
      <c r="X517" t="inlineStr">
        <is>
          <t>2004-11-18</t>
        </is>
      </c>
      <c r="Y517" t="n">
        <v>12</v>
      </c>
      <c r="Z517" t="n">
        <v>10</v>
      </c>
      <c r="AA517" t="n">
        <v>950</v>
      </c>
      <c r="AB517" t="n">
        <v>1</v>
      </c>
      <c r="AC517" t="n">
        <v>7</v>
      </c>
      <c r="AD517" t="n">
        <v>1</v>
      </c>
      <c r="AE517" t="n">
        <v>40</v>
      </c>
      <c r="AF517" t="n">
        <v>1</v>
      </c>
      <c r="AG517" t="n">
        <v>17</v>
      </c>
      <c r="AH517" t="n">
        <v>0</v>
      </c>
      <c r="AI517" t="n">
        <v>9</v>
      </c>
      <c r="AJ517" t="n">
        <v>0</v>
      </c>
      <c r="AK517" t="n">
        <v>18</v>
      </c>
      <c r="AL517" t="n">
        <v>0</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HYPERLINK("https://creighton-primo.hosted.exlibrisgroup.com/primo-explore/search?tab=default_tab&amp;search_scope=EVERYTHING&amp;vid=01CRU&amp;lang=en_US&amp;offset=0&amp;query=any,contains,991004426109702656","Catalog Record")</f>
        <v/>
      </c>
      <c r="AT517">
        <f>HYPERLINK("http://www.worldcat.org/oclc/23166969","WorldCat Record")</f>
        <v/>
      </c>
      <c r="AU517" t="inlineStr">
        <is>
          <t>836874309:eng</t>
        </is>
      </c>
      <c r="AV517" t="inlineStr">
        <is>
          <t>23166969</t>
        </is>
      </c>
      <c r="AW517" t="inlineStr">
        <is>
          <t>991004426109702656</t>
        </is>
      </c>
      <c r="AX517" t="inlineStr">
        <is>
          <t>991004426109702656</t>
        </is>
      </c>
      <c r="AY517" t="inlineStr">
        <is>
          <t>2265681640002656</t>
        </is>
      </c>
      <c r="AZ517" t="inlineStr">
        <is>
          <t>BOOK</t>
        </is>
      </c>
      <c r="BB517" t="inlineStr">
        <is>
          <t>9780226065823</t>
        </is>
      </c>
      <c r="BC517" t="inlineStr">
        <is>
          <t>32285005012082</t>
        </is>
      </c>
      <c r="BD517" t="inlineStr">
        <is>
          <t>893423782</t>
        </is>
      </c>
    </row>
    <row r="518">
      <c r="A518" t="inlineStr">
        <is>
          <t>No</t>
        </is>
      </c>
      <c r="B518" t="inlineStr">
        <is>
          <t>PE68.U5 C4 1994</t>
        </is>
      </c>
      <c r="C518" t="inlineStr">
        <is>
          <t>0                      PE 0068000U  5                  C  4           1994</t>
        </is>
      </c>
      <c r="D518" t="inlineStr">
        <is>
          <t>Changing classroom practices : resources for literary and cultural studies / edited by David B. Downing.</t>
        </is>
      </c>
      <c r="F518" t="inlineStr">
        <is>
          <t>No</t>
        </is>
      </c>
      <c r="G518" t="inlineStr">
        <is>
          <t>1</t>
        </is>
      </c>
      <c r="H518" t="inlineStr">
        <is>
          <t>No</t>
        </is>
      </c>
      <c r="I518" t="inlineStr">
        <is>
          <t>No</t>
        </is>
      </c>
      <c r="J518" t="inlineStr">
        <is>
          <t>0</t>
        </is>
      </c>
      <c r="L518" t="inlineStr">
        <is>
          <t>Urbana, Ill. : National Council of Teachers of English, c1994.</t>
        </is>
      </c>
      <c r="M518" t="inlineStr">
        <is>
          <t>1994</t>
        </is>
      </c>
      <c r="O518" t="inlineStr">
        <is>
          <t>eng</t>
        </is>
      </c>
      <c r="P518" t="inlineStr">
        <is>
          <t>ilu</t>
        </is>
      </c>
      <c r="Q518" t="inlineStr">
        <is>
          <t>Refiguring English studies</t>
        </is>
      </c>
      <c r="R518" t="inlineStr">
        <is>
          <t xml:space="preserve">PE </t>
        </is>
      </c>
      <c r="S518" t="n">
        <v>5</v>
      </c>
      <c r="T518" t="n">
        <v>5</v>
      </c>
      <c r="U518" t="inlineStr">
        <is>
          <t>2008-02-06</t>
        </is>
      </c>
      <c r="V518" t="inlineStr">
        <is>
          <t>2008-02-06</t>
        </is>
      </c>
      <c r="W518" t="inlineStr">
        <is>
          <t>2001-03-27</t>
        </is>
      </c>
      <c r="X518" t="inlineStr">
        <is>
          <t>2001-03-27</t>
        </is>
      </c>
      <c r="Y518" t="n">
        <v>364</v>
      </c>
      <c r="Z518" t="n">
        <v>331</v>
      </c>
      <c r="AA518" t="n">
        <v>333</v>
      </c>
      <c r="AB518" t="n">
        <v>3</v>
      </c>
      <c r="AC518" t="n">
        <v>3</v>
      </c>
      <c r="AD518" t="n">
        <v>13</v>
      </c>
      <c r="AE518" t="n">
        <v>13</v>
      </c>
      <c r="AF518" t="n">
        <v>4</v>
      </c>
      <c r="AG518" t="n">
        <v>4</v>
      </c>
      <c r="AH518" t="n">
        <v>3</v>
      </c>
      <c r="AI518" t="n">
        <v>3</v>
      </c>
      <c r="AJ518" t="n">
        <v>6</v>
      </c>
      <c r="AK518" t="n">
        <v>6</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HYPERLINK("https://creighton-primo.hosted.exlibrisgroup.com/primo-explore/search?tab=default_tab&amp;search_scope=EVERYTHING&amp;vid=01CRU&amp;lang=en_US&amp;offset=0&amp;query=any,contains,991003470729702656","Catalog Record")</f>
        <v/>
      </c>
      <c r="AT518">
        <f>HYPERLINK("http://www.worldcat.org/oclc/29667687","WorldCat Record")</f>
        <v/>
      </c>
      <c r="AU518" t="inlineStr">
        <is>
          <t>1070267484:eng</t>
        </is>
      </c>
      <c r="AV518" t="inlineStr">
        <is>
          <t>29667687</t>
        </is>
      </c>
      <c r="AW518" t="inlineStr">
        <is>
          <t>991003470729702656</t>
        </is>
      </c>
      <c r="AX518" t="inlineStr">
        <is>
          <t>991003470729702656</t>
        </is>
      </c>
      <c r="AY518" t="inlineStr">
        <is>
          <t>2271637290002656</t>
        </is>
      </c>
      <c r="AZ518" t="inlineStr">
        <is>
          <t>BOOK</t>
        </is>
      </c>
      <c r="BB518" t="inlineStr">
        <is>
          <t>9780814105283</t>
        </is>
      </c>
      <c r="BC518" t="inlineStr">
        <is>
          <t>32285004307848</t>
        </is>
      </c>
      <c r="BD518" t="inlineStr">
        <is>
          <t>893511972</t>
        </is>
      </c>
    </row>
    <row r="519">
      <c r="A519" t="inlineStr">
        <is>
          <t>No</t>
        </is>
      </c>
      <c r="B519" t="inlineStr">
        <is>
          <t>PE68.U5 E57 1994</t>
        </is>
      </c>
      <c r="C519" t="inlineStr">
        <is>
          <t>0                      PE 0068000U  5                  E  57          1994</t>
        </is>
      </c>
      <c r="D519" t="inlineStr">
        <is>
          <t>English studies/culture studies : institutionalizing dissent / edited by Isaiah Smithson and Nancy Ruff.</t>
        </is>
      </c>
      <c r="F519" t="inlineStr">
        <is>
          <t>No</t>
        </is>
      </c>
      <c r="G519" t="inlineStr">
        <is>
          <t>1</t>
        </is>
      </c>
      <c r="H519" t="inlineStr">
        <is>
          <t>No</t>
        </is>
      </c>
      <c r="I519" t="inlineStr">
        <is>
          <t>No</t>
        </is>
      </c>
      <c r="J519" t="inlineStr">
        <is>
          <t>0</t>
        </is>
      </c>
      <c r="L519" t="inlineStr">
        <is>
          <t>Urbana : University of Illinois Press, 1994.</t>
        </is>
      </c>
      <c r="M519" t="inlineStr">
        <is>
          <t>1994</t>
        </is>
      </c>
      <c r="O519" t="inlineStr">
        <is>
          <t>eng</t>
        </is>
      </c>
      <c r="P519" t="inlineStr">
        <is>
          <t>ilu</t>
        </is>
      </c>
      <c r="R519" t="inlineStr">
        <is>
          <t xml:space="preserve">PE </t>
        </is>
      </c>
      <c r="S519" t="n">
        <v>1</v>
      </c>
      <c r="T519" t="n">
        <v>1</v>
      </c>
      <c r="U519" t="inlineStr">
        <is>
          <t>2006-11-20</t>
        </is>
      </c>
      <c r="V519" t="inlineStr">
        <is>
          <t>2006-11-20</t>
        </is>
      </c>
      <c r="W519" t="inlineStr">
        <is>
          <t>2006-11-20</t>
        </is>
      </c>
      <c r="X519" t="inlineStr">
        <is>
          <t>2006-11-20</t>
        </is>
      </c>
      <c r="Y519" t="n">
        <v>403</v>
      </c>
      <c r="Z519" t="n">
        <v>338</v>
      </c>
      <c r="AA519" t="n">
        <v>340</v>
      </c>
      <c r="AB519" t="n">
        <v>3</v>
      </c>
      <c r="AC519" t="n">
        <v>3</v>
      </c>
      <c r="AD519" t="n">
        <v>19</v>
      </c>
      <c r="AE519" t="n">
        <v>19</v>
      </c>
      <c r="AF519" t="n">
        <v>7</v>
      </c>
      <c r="AG519" t="n">
        <v>7</v>
      </c>
      <c r="AH519" t="n">
        <v>6</v>
      </c>
      <c r="AI519" t="n">
        <v>6</v>
      </c>
      <c r="AJ519" t="n">
        <v>9</v>
      </c>
      <c r="AK519" t="n">
        <v>9</v>
      </c>
      <c r="AL519" t="n">
        <v>2</v>
      </c>
      <c r="AM519" t="n">
        <v>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HYPERLINK("https://creighton-primo.hosted.exlibrisgroup.com/primo-explore/search?tab=default_tab&amp;search_scope=EVERYTHING&amp;vid=01CRU&amp;lang=en_US&amp;offset=0&amp;query=any,contains,991004984899702656","Catalog Record")</f>
        <v/>
      </c>
      <c r="AT519">
        <f>HYPERLINK("http://www.worldcat.org/oclc/29596875","WorldCat Record")</f>
        <v/>
      </c>
      <c r="AU519" t="inlineStr">
        <is>
          <t>908379120:eng</t>
        </is>
      </c>
      <c r="AV519" t="inlineStr">
        <is>
          <t>29596875</t>
        </is>
      </c>
      <c r="AW519" t="inlineStr">
        <is>
          <t>991004984899702656</t>
        </is>
      </c>
      <c r="AX519" t="inlineStr">
        <is>
          <t>991004984899702656</t>
        </is>
      </c>
      <c r="AY519" t="inlineStr">
        <is>
          <t>2261716110002656</t>
        </is>
      </c>
      <c r="AZ519" t="inlineStr">
        <is>
          <t>BOOK</t>
        </is>
      </c>
      <c r="BB519" t="inlineStr">
        <is>
          <t>9780252021084</t>
        </is>
      </c>
      <c r="BC519" t="inlineStr">
        <is>
          <t>32285005260442</t>
        </is>
      </c>
      <c r="BD519" t="inlineStr">
        <is>
          <t>893707079</t>
        </is>
      </c>
    </row>
    <row r="520">
      <c r="A520" t="inlineStr">
        <is>
          <t>No</t>
        </is>
      </c>
      <c r="B520" t="inlineStr">
        <is>
          <t>PE68.U5 S54 1996</t>
        </is>
      </c>
      <c r="C520" t="inlineStr">
        <is>
          <t>0                      PE 0068000U  5                  S  54          1996</t>
        </is>
      </c>
      <c r="D520" t="inlineStr">
        <is>
          <t>Situating college English : lessons from an American university / edited by Evan Carton and Alan W. Friedman.</t>
        </is>
      </c>
      <c r="F520" t="inlineStr">
        <is>
          <t>No</t>
        </is>
      </c>
      <c r="G520" t="inlineStr">
        <is>
          <t>1</t>
        </is>
      </c>
      <c r="H520" t="inlineStr">
        <is>
          <t>No</t>
        </is>
      </c>
      <c r="I520" t="inlineStr">
        <is>
          <t>No</t>
        </is>
      </c>
      <c r="J520" t="inlineStr">
        <is>
          <t>0</t>
        </is>
      </c>
      <c r="L520" t="inlineStr">
        <is>
          <t>Westport, Conn. : Bergin &amp; Garvey, 1996.</t>
        </is>
      </c>
      <c r="M520" t="inlineStr">
        <is>
          <t>1996</t>
        </is>
      </c>
      <c r="O520" t="inlineStr">
        <is>
          <t>eng</t>
        </is>
      </c>
      <c r="P520" t="inlineStr">
        <is>
          <t>ctu</t>
        </is>
      </c>
      <c r="Q520" t="inlineStr">
        <is>
          <t>Series in language and ideology, 1069-6806</t>
        </is>
      </c>
      <c r="R520" t="inlineStr">
        <is>
          <t xml:space="preserve">PE </t>
        </is>
      </c>
      <c r="S520" t="n">
        <v>4</v>
      </c>
      <c r="T520" t="n">
        <v>4</v>
      </c>
      <c r="U520" t="inlineStr">
        <is>
          <t>2000-03-19</t>
        </is>
      </c>
      <c r="V520" t="inlineStr">
        <is>
          <t>2000-03-19</t>
        </is>
      </c>
      <c r="W520" t="inlineStr">
        <is>
          <t>1997-09-22</t>
        </is>
      </c>
      <c r="X520" t="inlineStr">
        <is>
          <t>1997-09-22</t>
        </is>
      </c>
      <c r="Y520" t="n">
        <v>182</v>
      </c>
      <c r="Z520" t="n">
        <v>163</v>
      </c>
      <c r="AA520" t="n">
        <v>687</v>
      </c>
      <c r="AB520" t="n">
        <v>1</v>
      </c>
      <c r="AC520" t="n">
        <v>4</v>
      </c>
      <c r="AD520" t="n">
        <v>8</v>
      </c>
      <c r="AE520" t="n">
        <v>18</v>
      </c>
      <c r="AF520" t="n">
        <v>3</v>
      </c>
      <c r="AG520" t="n">
        <v>8</v>
      </c>
      <c r="AH520" t="n">
        <v>3</v>
      </c>
      <c r="AI520" t="n">
        <v>4</v>
      </c>
      <c r="AJ520" t="n">
        <v>5</v>
      </c>
      <c r="AK520" t="n">
        <v>8</v>
      </c>
      <c r="AL520" t="n">
        <v>0</v>
      </c>
      <c r="AM520" t="n">
        <v>3</v>
      </c>
      <c r="AN520" t="n">
        <v>0</v>
      </c>
      <c r="AO520" t="n">
        <v>0</v>
      </c>
      <c r="AP520" t="inlineStr">
        <is>
          <t>No</t>
        </is>
      </c>
      <c r="AQ520" t="inlineStr">
        <is>
          <t>Yes</t>
        </is>
      </c>
      <c r="AR520">
        <f>HYPERLINK("http://catalog.hathitrust.org/Record/003079333","HathiTrust Record")</f>
        <v/>
      </c>
      <c r="AS520">
        <f>HYPERLINK("https://creighton-primo.hosted.exlibrisgroup.com/primo-explore/search?tab=default_tab&amp;search_scope=EVERYTHING&amp;vid=01CRU&amp;lang=en_US&amp;offset=0&amp;query=any,contains,991002562749702656","Catalog Record")</f>
        <v/>
      </c>
      <c r="AT520">
        <f>HYPERLINK("http://www.worldcat.org/oclc/33333681","WorldCat Record")</f>
        <v/>
      </c>
      <c r="AU520" t="inlineStr">
        <is>
          <t>797144015:eng</t>
        </is>
      </c>
      <c r="AV520" t="inlineStr">
        <is>
          <t>33333681</t>
        </is>
      </c>
      <c r="AW520" t="inlineStr">
        <is>
          <t>991002562749702656</t>
        </is>
      </c>
      <c r="AX520" t="inlineStr">
        <is>
          <t>991002562749702656</t>
        </is>
      </c>
      <c r="AY520" t="inlineStr">
        <is>
          <t>2259764020002656</t>
        </is>
      </c>
      <c r="AZ520" t="inlineStr">
        <is>
          <t>BOOK</t>
        </is>
      </c>
      <c r="BB520" t="inlineStr">
        <is>
          <t>9780897894609</t>
        </is>
      </c>
      <c r="BC520" t="inlineStr">
        <is>
          <t>32285003176806</t>
        </is>
      </c>
      <c r="BD520" t="inlineStr">
        <is>
          <t>893610001</t>
        </is>
      </c>
    </row>
    <row r="521">
      <c r="A521" t="inlineStr">
        <is>
          <t>No</t>
        </is>
      </c>
      <c r="B521" t="inlineStr">
        <is>
          <t>PE68.U5 S63 1995</t>
        </is>
      </c>
      <c r="C521" t="inlineStr">
        <is>
          <t>0                      PE 0068000U  5                  S  63          1995</t>
        </is>
      </c>
      <c r="D521" t="inlineStr">
        <is>
          <t>How English teachers get taught : methods of teaching the methods class / Peter Smagorinsky, Melissa E. Whiting.</t>
        </is>
      </c>
      <c r="F521" t="inlineStr">
        <is>
          <t>No</t>
        </is>
      </c>
      <c r="G521" t="inlineStr">
        <is>
          <t>1</t>
        </is>
      </c>
      <c r="H521" t="inlineStr">
        <is>
          <t>No</t>
        </is>
      </c>
      <c r="I521" t="inlineStr">
        <is>
          <t>No</t>
        </is>
      </c>
      <c r="J521" t="inlineStr">
        <is>
          <t>0</t>
        </is>
      </c>
      <c r="K521" t="inlineStr">
        <is>
          <t>Smagorinsky, Peter.</t>
        </is>
      </c>
      <c r="L521" t="inlineStr">
        <is>
          <t>Urbana, Ill. : National Council of Teachers of English, c1995.</t>
        </is>
      </c>
      <c r="M521" t="inlineStr">
        <is>
          <t>1995</t>
        </is>
      </c>
      <c r="O521" t="inlineStr">
        <is>
          <t>eng</t>
        </is>
      </c>
      <c r="P521" t="inlineStr">
        <is>
          <t>ilu</t>
        </is>
      </c>
      <c r="R521" t="inlineStr">
        <is>
          <t xml:space="preserve">PE </t>
        </is>
      </c>
      <c r="S521" t="n">
        <v>1</v>
      </c>
      <c r="T521" t="n">
        <v>1</v>
      </c>
      <c r="U521" t="inlineStr">
        <is>
          <t>2003-03-27</t>
        </is>
      </c>
      <c r="V521" t="inlineStr">
        <is>
          <t>2003-03-27</t>
        </is>
      </c>
      <c r="W521" t="inlineStr">
        <is>
          <t>2003-03-27</t>
        </is>
      </c>
      <c r="X521" t="inlineStr">
        <is>
          <t>2003-03-27</t>
        </is>
      </c>
      <c r="Y521" t="n">
        <v>246</v>
      </c>
      <c r="Z521" t="n">
        <v>226</v>
      </c>
      <c r="AA521" t="n">
        <v>231</v>
      </c>
      <c r="AB521" t="n">
        <v>2</v>
      </c>
      <c r="AC521" t="n">
        <v>2</v>
      </c>
      <c r="AD521" t="n">
        <v>8</v>
      </c>
      <c r="AE521" t="n">
        <v>8</v>
      </c>
      <c r="AF521" t="n">
        <v>3</v>
      </c>
      <c r="AG521" t="n">
        <v>3</v>
      </c>
      <c r="AH521" t="n">
        <v>3</v>
      </c>
      <c r="AI521" t="n">
        <v>3</v>
      </c>
      <c r="AJ521" t="n">
        <v>2</v>
      </c>
      <c r="AK521" t="n">
        <v>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HYPERLINK("https://creighton-primo.hosted.exlibrisgroup.com/primo-explore/search?tab=default_tab&amp;search_scope=EVERYTHING&amp;vid=01CRU&amp;lang=en_US&amp;offset=0&amp;query=any,contains,991004030919702656","Catalog Record")</f>
        <v/>
      </c>
      <c r="AT521">
        <f>HYPERLINK("http://www.worldcat.org/oclc/31738588","WorldCat Record")</f>
        <v/>
      </c>
      <c r="AU521" t="inlineStr">
        <is>
          <t>34389991:eng</t>
        </is>
      </c>
      <c r="AV521" t="inlineStr">
        <is>
          <t>31738588</t>
        </is>
      </c>
      <c r="AW521" t="inlineStr">
        <is>
          <t>991004030919702656</t>
        </is>
      </c>
      <c r="AX521" t="inlineStr">
        <is>
          <t>991004030919702656</t>
        </is>
      </c>
      <c r="AY521" t="inlineStr">
        <is>
          <t>2260822700002656</t>
        </is>
      </c>
      <c r="AZ521" t="inlineStr">
        <is>
          <t>BOOK</t>
        </is>
      </c>
      <c r="BB521" t="inlineStr">
        <is>
          <t>9780814121504</t>
        </is>
      </c>
      <c r="BC521" t="inlineStr">
        <is>
          <t>32285004687835</t>
        </is>
      </c>
      <c r="BD521" t="inlineStr">
        <is>
          <t>893259238</t>
        </is>
      </c>
    </row>
    <row r="522">
      <c r="A522" t="inlineStr">
        <is>
          <t>No</t>
        </is>
      </c>
      <c r="B522" t="inlineStr">
        <is>
          <t>PE68.U5 T39 1998</t>
        </is>
      </c>
      <c r="C522" t="inlineStr">
        <is>
          <t>0                      PE 0068000U  5                  T  39          1998</t>
        </is>
      </c>
      <c r="D522" t="inlineStr">
        <is>
          <t>Teaching college English and English education : reflective stories / edited by H. Thomas McCracken, Richard L. Larson with Judith Entes ; Conference on English Education.</t>
        </is>
      </c>
      <c r="F522" t="inlineStr">
        <is>
          <t>No</t>
        </is>
      </c>
      <c r="G522" t="inlineStr">
        <is>
          <t>1</t>
        </is>
      </c>
      <c r="H522" t="inlineStr">
        <is>
          <t>No</t>
        </is>
      </c>
      <c r="I522" t="inlineStr">
        <is>
          <t>No</t>
        </is>
      </c>
      <c r="J522" t="inlineStr">
        <is>
          <t>0</t>
        </is>
      </c>
      <c r="L522" t="inlineStr">
        <is>
          <t>Urbana, Ill. : National Council of Teachers of English, c1998.</t>
        </is>
      </c>
      <c r="M522" t="inlineStr">
        <is>
          <t>1998</t>
        </is>
      </c>
      <c r="O522" t="inlineStr">
        <is>
          <t>eng</t>
        </is>
      </c>
      <c r="P522" t="inlineStr">
        <is>
          <t>ilu</t>
        </is>
      </c>
      <c r="Q522" t="inlineStr">
        <is>
          <t>CEE monographs</t>
        </is>
      </c>
      <c r="R522" t="inlineStr">
        <is>
          <t xml:space="preserve">PE </t>
        </is>
      </c>
      <c r="S522" t="n">
        <v>3</v>
      </c>
      <c r="T522" t="n">
        <v>3</v>
      </c>
      <c r="U522" t="inlineStr">
        <is>
          <t>2003-01-23</t>
        </is>
      </c>
      <c r="V522" t="inlineStr">
        <is>
          <t>2003-01-23</t>
        </is>
      </c>
      <c r="W522" t="inlineStr">
        <is>
          <t>1999-04-13</t>
        </is>
      </c>
      <c r="X522" t="inlineStr">
        <is>
          <t>1999-04-13</t>
        </is>
      </c>
      <c r="Y522" t="n">
        <v>290</v>
      </c>
      <c r="Z522" t="n">
        <v>268</v>
      </c>
      <c r="AA522" t="n">
        <v>276</v>
      </c>
      <c r="AB522" t="n">
        <v>4</v>
      </c>
      <c r="AC522" t="n">
        <v>4</v>
      </c>
      <c r="AD522" t="n">
        <v>13</v>
      </c>
      <c r="AE522" t="n">
        <v>13</v>
      </c>
      <c r="AF522" t="n">
        <v>3</v>
      </c>
      <c r="AG522" t="n">
        <v>3</v>
      </c>
      <c r="AH522" t="n">
        <v>2</v>
      </c>
      <c r="AI522" t="n">
        <v>2</v>
      </c>
      <c r="AJ522" t="n">
        <v>6</v>
      </c>
      <c r="AK522" t="n">
        <v>6</v>
      </c>
      <c r="AL522" t="n">
        <v>3</v>
      </c>
      <c r="AM522" t="n">
        <v>3</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HYPERLINK("https://creighton-primo.hosted.exlibrisgroup.com/primo-explore/search?tab=default_tab&amp;search_scope=EVERYTHING&amp;vid=01CRU&amp;lang=en_US&amp;offset=0&amp;query=any,contains,991002898539702656","Catalog Record")</f>
        <v/>
      </c>
      <c r="AT522">
        <f>HYPERLINK("http://www.worldcat.org/oclc/38207609","WorldCat Record")</f>
        <v/>
      </c>
      <c r="AU522" t="inlineStr">
        <is>
          <t>477395934:eng</t>
        </is>
      </c>
      <c r="AV522" t="inlineStr">
        <is>
          <t>38207609</t>
        </is>
      </c>
      <c r="AW522" t="inlineStr">
        <is>
          <t>991002898539702656</t>
        </is>
      </c>
      <c r="AX522" t="inlineStr">
        <is>
          <t>991002898539702656</t>
        </is>
      </c>
      <c r="AY522" t="inlineStr">
        <is>
          <t>2270992150002656</t>
        </is>
      </c>
      <c r="AZ522" t="inlineStr">
        <is>
          <t>BOOK</t>
        </is>
      </c>
      <c r="BB522" t="inlineStr">
        <is>
          <t>9780814150375</t>
        </is>
      </c>
      <c r="BC522" t="inlineStr">
        <is>
          <t>32285003552063</t>
        </is>
      </c>
      <c r="BD522" t="inlineStr">
        <is>
          <t>893880553</t>
        </is>
      </c>
    </row>
    <row r="523">
      <c r="A523" t="inlineStr">
        <is>
          <t>No</t>
        </is>
      </c>
      <c r="B523" t="inlineStr">
        <is>
          <t>PE69.A47 N67 2000</t>
        </is>
      </c>
      <c r="C523" t="inlineStr">
        <is>
          <t>0                      PE 0069000A  47                 N  67          2000</t>
        </is>
      </c>
      <c r="D523" t="inlineStr">
        <is>
          <t>Refiguring the Ph.D. in English studies : writing, doctoral education, and the fusion-based curriculum / Stephen M. North ; with Barbara A. Chepaitis ... [et al.].</t>
        </is>
      </c>
      <c r="F523" t="inlineStr">
        <is>
          <t>No</t>
        </is>
      </c>
      <c r="G523" t="inlineStr">
        <is>
          <t>1</t>
        </is>
      </c>
      <c r="H523" t="inlineStr">
        <is>
          <t>No</t>
        </is>
      </c>
      <c r="I523" t="inlineStr">
        <is>
          <t>No</t>
        </is>
      </c>
      <c r="J523" t="inlineStr">
        <is>
          <t>0</t>
        </is>
      </c>
      <c r="K523" t="inlineStr">
        <is>
          <t>North, Stephen M.</t>
        </is>
      </c>
      <c r="L523" t="inlineStr">
        <is>
          <t>Urbana, Ill. : National Council of Teachers of English, c2000.</t>
        </is>
      </c>
      <c r="M523" t="inlineStr">
        <is>
          <t>2000</t>
        </is>
      </c>
      <c r="O523" t="inlineStr">
        <is>
          <t>eng</t>
        </is>
      </c>
      <c r="P523" t="inlineStr">
        <is>
          <t>ilu</t>
        </is>
      </c>
      <c r="Q523" t="inlineStr">
        <is>
          <t>Refiguring English studies</t>
        </is>
      </c>
      <c r="R523" t="inlineStr">
        <is>
          <t xml:space="preserve">PE </t>
        </is>
      </c>
      <c r="S523" t="n">
        <v>5</v>
      </c>
      <c r="T523" t="n">
        <v>5</v>
      </c>
      <c r="U523" t="inlineStr">
        <is>
          <t>2004-09-09</t>
        </is>
      </c>
      <c r="V523" t="inlineStr">
        <is>
          <t>2004-09-09</t>
        </is>
      </c>
      <c r="W523" t="inlineStr">
        <is>
          <t>2003-10-09</t>
        </is>
      </c>
      <c r="X523" t="inlineStr">
        <is>
          <t>2003-10-09</t>
        </is>
      </c>
      <c r="Y523" t="n">
        <v>259</v>
      </c>
      <c r="Z523" t="n">
        <v>238</v>
      </c>
      <c r="AA523" t="n">
        <v>244</v>
      </c>
      <c r="AB523" t="n">
        <v>4</v>
      </c>
      <c r="AC523" t="n">
        <v>4</v>
      </c>
      <c r="AD523" t="n">
        <v>12</v>
      </c>
      <c r="AE523" t="n">
        <v>12</v>
      </c>
      <c r="AF523" t="n">
        <v>2</v>
      </c>
      <c r="AG523" t="n">
        <v>2</v>
      </c>
      <c r="AH523" t="n">
        <v>4</v>
      </c>
      <c r="AI523" t="n">
        <v>4</v>
      </c>
      <c r="AJ523" t="n">
        <v>4</v>
      </c>
      <c r="AK523" t="n">
        <v>4</v>
      </c>
      <c r="AL523" t="n">
        <v>3</v>
      </c>
      <c r="AM523" t="n">
        <v>3</v>
      </c>
      <c r="AN523" t="n">
        <v>0</v>
      </c>
      <c r="AO523" t="n">
        <v>0</v>
      </c>
      <c r="AP523" t="inlineStr">
        <is>
          <t>No</t>
        </is>
      </c>
      <c r="AQ523" t="inlineStr">
        <is>
          <t>Yes</t>
        </is>
      </c>
      <c r="AR523">
        <f>HYPERLINK("http://catalog.hathitrust.org/Record/007139279","HathiTrust Record")</f>
        <v/>
      </c>
      <c r="AS523">
        <f>HYPERLINK("https://creighton-primo.hosted.exlibrisgroup.com/primo-explore/search?tab=default_tab&amp;search_scope=EVERYTHING&amp;vid=01CRU&amp;lang=en_US&amp;offset=0&amp;query=any,contains,991004140619702656","Catalog Record")</f>
        <v/>
      </c>
      <c r="AT523">
        <f>HYPERLINK("http://www.worldcat.org/oclc/42680374","WorldCat Record")</f>
        <v/>
      </c>
      <c r="AU523" t="inlineStr">
        <is>
          <t>475418941:eng</t>
        </is>
      </c>
      <c r="AV523" t="inlineStr">
        <is>
          <t>42680374</t>
        </is>
      </c>
      <c r="AW523" t="inlineStr">
        <is>
          <t>991004140619702656</t>
        </is>
      </c>
      <c r="AX523" t="inlineStr">
        <is>
          <t>991004140619702656</t>
        </is>
      </c>
      <c r="AY523" t="inlineStr">
        <is>
          <t>2264049650002656</t>
        </is>
      </c>
      <c r="AZ523" t="inlineStr">
        <is>
          <t>BOOK</t>
        </is>
      </c>
      <c r="BB523" t="inlineStr">
        <is>
          <t>9780814139776</t>
        </is>
      </c>
      <c r="BC523" t="inlineStr">
        <is>
          <t>32285004787627</t>
        </is>
      </c>
      <c r="BD523" t="inlineStr">
        <is>
          <t>893794532</t>
        </is>
      </c>
    </row>
    <row r="524">
      <c r="A524" t="inlineStr">
        <is>
          <t>No</t>
        </is>
      </c>
      <c r="B524" t="inlineStr">
        <is>
          <t>PE877 .F57 2001</t>
        </is>
      </c>
      <c r="C524" t="inlineStr">
        <is>
          <t>0                      PE 0877000F  57          2001</t>
        </is>
      </c>
      <c r="D524" t="inlineStr">
        <is>
          <t>Graffiti and the writing arts of early modern England / Juliet Fleming.</t>
        </is>
      </c>
      <c r="F524" t="inlineStr">
        <is>
          <t>No</t>
        </is>
      </c>
      <c r="G524" t="inlineStr">
        <is>
          <t>1</t>
        </is>
      </c>
      <c r="H524" t="inlineStr">
        <is>
          <t>No</t>
        </is>
      </c>
      <c r="I524" t="inlineStr">
        <is>
          <t>No</t>
        </is>
      </c>
      <c r="J524" t="inlineStr">
        <is>
          <t>0</t>
        </is>
      </c>
      <c r="K524" t="inlineStr">
        <is>
          <t>Fleming, Juliet.</t>
        </is>
      </c>
      <c r="L524" t="inlineStr">
        <is>
          <t>London : Reaktion, 2001.</t>
        </is>
      </c>
      <c r="M524" t="inlineStr">
        <is>
          <t>2001</t>
        </is>
      </c>
      <c r="O524" t="inlineStr">
        <is>
          <t>eng</t>
        </is>
      </c>
      <c r="P524" t="inlineStr">
        <is>
          <t>enk</t>
        </is>
      </c>
      <c r="R524" t="inlineStr">
        <is>
          <t xml:space="preserve">PE </t>
        </is>
      </c>
      <c r="S524" t="n">
        <v>1</v>
      </c>
      <c r="T524" t="n">
        <v>1</v>
      </c>
      <c r="U524" t="inlineStr">
        <is>
          <t>2003-10-27</t>
        </is>
      </c>
      <c r="V524" t="inlineStr">
        <is>
          <t>2003-10-27</t>
        </is>
      </c>
      <c r="W524" t="inlineStr">
        <is>
          <t>2003-10-27</t>
        </is>
      </c>
      <c r="X524" t="inlineStr">
        <is>
          <t>2003-10-27</t>
        </is>
      </c>
      <c r="Y524" t="n">
        <v>108</v>
      </c>
      <c r="Z524" t="n">
        <v>44</v>
      </c>
      <c r="AA524" t="n">
        <v>642</v>
      </c>
      <c r="AB524" t="n">
        <v>1</v>
      </c>
      <c r="AC524" t="n">
        <v>6</v>
      </c>
      <c r="AD524" t="n">
        <v>0</v>
      </c>
      <c r="AE524" t="n">
        <v>32</v>
      </c>
      <c r="AF524" t="n">
        <v>0</v>
      </c>
      <c r="AG524" t="n">
        <v>10</v>
      </c>
      <c r="AH524" t="n">
        <v>0</v>
      </c>
      <c r="AI524" t="n">
        <v>9</v>
      </c>
      <c r="AJ524" t="n">
        <v>0</v>
      </c>
      <c r="AK524" t="n">
        <v>13</v>
      </c>
      <c r="AL524" t="n">
        <v>0</v>
      </c>
      <c r="AM524" t="n">
        <v>5</v>
      </c>
      <c r="AN524" t="n">
        <v>0</v>
      </c>
      <c r="AO524" t="n">
        <v>1</v>
      </c>
      <c r="AP524" t="inlineStr">
        <is>
          <t>No</t>
        </is>
      </c>
      <c r="AQ524" t="inlineStr">
        <is>
          <t>Yes</t>
        </is>
      </c>
      <c r="AR524">
        <f>HYPERLINK("http://catalog.hathitrust.org/Record/004180218","HathiTrust Record")</f>
        <v/>
      </c>
      <c r="AS524">
        <f>HYPERLINK("https://creighton-primo.hosted.exlibrisgroup.com/primo-explore/search?tab=default_tab&amp;search_scope=EVERYTHING&amp;vid=01CRU&amp;lang=en_US&amp;offset=0&amp;query=any,contains,991004153539702656","Catalog Record")</f>
        <v/>
      </c>
      <c r="AT524">
        <f>HYPERLINK("http://www.worldcat.org/oclc/45592323","WorldCat Record")</f>
        <v/>
      </c>
      <c r="AU524" t="inlineStr">
        <is>
          <t>35006689:eng</t>
        </is>
      </c>
      <c r="AV524" t="inlineStr">
        <is>
          <t>45592323</t>
        </is>
      </c>
      <c r="AW524" t="inlineStr">
        <is>
          <t>991004153539702656</t>
        </is>
      </c>
      <c r="AX524" t="inlineStr">
        <is>
          <t>991004153539702656</t>
        </is>
      </c>
      <c r="AY524" t="inlineStr">
        <is>
          <t>2256828420002656</t>
        </is>
      </c>
      <c r="AZ524" t="inlineStr">
        <is>
          <t>BOOK</t>
        </is>
      </c>
      <c r="BB524" t="inlineStr">
        <is>
          <t>9781861890894</t>
        </is>
      </c>
      <c r="BC524" t="inlineStr">
        <is>
          <t>32285004790506</t>
        </is>
      </c>
      <c r="BD524" t="inlineStr">
        <is>
          <t>893718553</t>
        </is>
      </c>
    </row>
    <row r="525">
      <c r="A525" t="inlineStr">
        <is>
          <t>No</t>
        </is>
      </c>
      <c r="B525" t="inlineStr">
        <is>
          <t>PE877 .M83 1984</t>
        </is>
      </c>
      <c r="C525" t="inlineStr">
        <is>
          <t>0                      PE 0877000M  83          1984</t>
        </is>
      </c>
      <c r="D525" t="inlineStr">
        <is>
          <t>The native tongue and the word : developments in English prose style, 1380-1580 / /Janel M. Mueller.</t>
        </is>
      </c>
      <c r="F525" t="inlineStr">
        <is>
          <t>No</t>
        </is>
      </c>
      <c r="G525" t="inlineStr">
        <is>
          <t>1</t>
        </is>
      </c>
      <c r="H525" t="inlineStr">
        <is>
          <t>No</t>
        </is>
      </c>
      <c r="I525" t="inlineStr">
        <is>
          <t>No</t>
        </is>
      </c>
      <c r="J525" t="inlineStr">
        <is>
          <t>0</t>
        </is>
      </c>
      <c r="K525" t="inlineStr">
        <is>
          <t>Mueller, Janel M., 1938-</t>
        </is>
      </c>
      <c r="L525" t="inlineStr">
        <is>
          <t>Chicago : University of Chicago Press, 1984.</t>
        </is>
      </c>
      <c r="M525" t="inlineStr">
        <is>
          <t>1984</t>
        </is>
      </c>
      <c r="O525" t="inlineStr">
        <is>
          <t>eng</t>
        </is>
      </c>
      <c r="P525" t="inlineStr">
        <is>
          <t>ilu</t>
        </is>
      </c>
      <c r="R525" t="inlineStr">
        <is>
          <t xml:space="preserve">PE </t>
        </is>
      </c>
      <c r="S525" t="n">
        <v>1</v>
      </c>
      <c r="T525" t="n">
        <v>1</v>
      </c>
      <c r="U525" t="inlineStr">
        <is>
          <t>1998-09-21</t>
        </is>
      </c>
      <c r="V525" t="inlineStr">
        <is>
          <t>1998-09-21</t>
        </is>
      </c>
      <c r="W525" t="inlineStr">
        <is>
          <t>1993-04-21</t>
        </is>
      </c>
      <c r="X525" t="inlineStr">
        <is>
          <t>1993-04-21</t>
        </is>
      </c>
      <c r="Y525" t="n">
        <v>444</v>
      </c>
      <c r="Z525" t="n">
        <v>333</v>
      </c>
      <c r="AA525" t="n">
        <v>338</v>
      </c>
      <c r="AB525" t="n">
        <v>2</v>
      </c>
      <c r="AC525" t="n">
        <v>2</v>
      </c>
      <c r="AD525" t="n">
        <v>18</v>
      </c>
      <c r="AE525" t="n">
        <v>18</v>
      </c>
      <c r="AF525" t="n">
        <v>6</v>
      </c>
      <c r="AG525" t="n">
        <v>6</v>
      </c>
      <c r="AH525" t="n">
        <v>5</v>
      </c>
      <c r="AI525" t="n">
        <v>5</v>
      </c>
      <c r="AJ525" t="n">
        <v>11</v>
      </c>
      <c r="AK525" t="n">
        <v>11</v>
      </c>
      <c r="AL525" t="n">
        <v>1</v>
      </c>
      <c r="AM525" t="n">
        <v>1</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HYPERLINK("https://creighton-primo.hosted.exlibrisgroup.com/primo-explore/search?tab=default_tab&amp;search_scope=EVERYTHING&amp;vid=01CRU&amp;lang=en_US&amp;offset=0&amp;query=any,contains,991000273929702656","Catalog Record")</f>
        <v/>
      </c>
      <c r="AT525">
        <f>HYPERLINK("http://www.worldcat.org/oclc/9893534","WorldCat Record")</f>
        <v/>
      </c>
      <c r="AU525" t="inlineStr">
        <is>
          <t>19958279:eng</t>
        </is>
      </c>
      <c r="AV525" t="inlineStr">
        <is>
          <t>9893534</t>
        </is>
      </c>
      <c r="AW525" t="inlineStr">
        <is>
          <t>991000273929702656</t>
        </is>
      </c>
      <c r="AX525" t="inlineStr">
        <is>
          <t>991000273929702656</t>
        </is>
      </c>
      <c r="AY525" t="inlineStr">
        <is>
          <t>2265840120002656</t>
        </is>
      </c>
      <c r="AZ525" t="inlineStr">
        <is>
          <t>BOOK</t>
        </is>
      </c>
      <c r="BB525" t="inlineStr">
        <is>
          <t>9780226545622</t>
        </is>
      </c>
      <c r="BC525" t="inlineStr">
        <is>
          <t>32285001645968</t>
        </is>
      </c>
      <c r="BD525" t="inlineStr">
        <is>
          <t>893802651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