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0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PS1004.A4 Z6</t>
        </is>
      </c>
      <c r="C2" t="inlineStr">
        <is>
          <t>0                      PS 1004000A  4                  Z  6</t>
        </is>
      </c>
      <c r="D2" t="inlineStr">
        <is>
          <t>Henry Adams / Ferman Bishop.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Bishop, Ferman.</t>
        </is>
      </c>
      <c r="L2" t="inlineStr">
        <is>
          <t>Boston : Twayne Publishers, 1979.</t>
        </is>
      </c>
      <c r="M2" t="inlineStr">
        <is>
          <t>1979</t>
        </is>
      </c>
      <c r="O2" t="inlineStr">
        <is>
          <t>eng</t>
        </is>
      </c>
      <c r="P2" t="inlineStr">
        <is>
          <t>mau</t>
        </is>
      </c>
      <c r="Q2" t="inlineStr">
        <is>
          <t>Twayne's United States authors series ; TUSAS 293</t>
        </is>
      </c>
      <c r="R2" t="inlineStr">
        <is>
          <t xml:space="preserve">PS </t>
        </is>
      </c>
      <c r="S2" t="n">
        <v>6</v>
      </c>
      <c r="T2" t="n">
        <v>6</v>
      </c>
      <c r="U2" t="inlineStr">
        <is>
          <t>1998-10-06</t>
        </is>
      </c>
      <c r="V2" t="inlineStr">
        <is>
          <t>1998-10-06</t>
        </is>
      </c>
      <c r="W2" t="inlineStr">
        <is>
          <t>1990-10-23</t>
        </is>
      </c>
      <c r="X2" t="inlineStr">
        <is>
          <t>1990-10-23</t>
        </is>
      </c>
      <c r="Y2" t="n">
        <v>794</v>
      </c>
      <c r="Z2" t="n">
        <v>716</v>
      </c>
      <c r="AA2" t="n">
        <v>849</v>
      </c>
      <c r="AB2" t="n">
        <v>6</v>
      </c>
      <c r="AC2" t="n">
        <v>8</v>
      </c>
      <c r="AD2" t="n">
        <v>36</v>
      </c>
      <c r="AE2" t="n">
        <v>39</v>
      </c>
      <c r="AF2" t="n">
        <v>17</v>
      </c>
      <c r="AG2" t="n">
        <v>18</v>
      </c>
      <c r="AH2" t="n">
        <v>8</v>
      </c>
      <c r="AI2" t="n">
        <v>8</v>
      </c>
      <c r="AJ2" t="n">
        <v>15</v>
      </c>
      <c r="AK2" t="n">
        <v>15</v>
      </c>
      <c r="AL2" t="n">
        <v>4</v>
      </c>
      <c r="AM2" t="n">
        <v>6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HYPERLINK("http://catalog.hathitrust.org/Record/000216525","HathiTrust Record")</f>
        <v/>
      </c>
      <c r="AS2">
        <f>HYPERLINK("https://creighton-primo.hosted.exlibrisgroup.com/primo-explore/search?tab=default_tab&amp;search_scope=EVERYTHING&amp;vid=01CRU&amp;lang=en_US&amp;offset=0&amp;query=any,contains,991004610449702656","Catalog Record")</f>
        <v/>
      </c>
      <c r="AT2">
        <f>HYPERLINK("http://www.worldcat.org/oclc/4211192","WorldCat Record")</f>
        <v/>
      </c>
      <c r="AU2" t="inlineStr">
        <is>
          <t>14512080:eng</t>
        </is>
      </c>
      <c r="AV2" t="inlineStr">
        <is>
          <t>4211192</t>
        </is>
      </c>
      <c r="AW2" t="inlineStr">
        <is>
          <t>991004610449702656</t>
        </is>
      </c>
      <c r="AX2" t="inlineStr">
        <is>
          <t>991004610449702656</t>
        </is>
      </c>
      <c r="AY2" t="inlineStr">
        <is>
          <t>2256545270002656</t>
        </is>
      </c>
      <c r="AZ2" t="inlineStr">
        <is>
          <t>BOOK</t>
        </is>
      </c>
      <c r="BB2" t="inlineStr">
        <is>
          <t>9780805772579</t>
        </is>
      </c>
      <c r="BC2" t="inlineStr">
        <is>
          <t>32285000362177</t>
        </is>
      </c>
      <c r="BD2" t="inlineStr">
        <is>
          <t>893513455</t>
        </is>
      </c>
    </row>
    <row r="3">
      <c r="A3" t="inlineStr">
        <is>
          <t>No</t>
        </is>
      </c>
      <c r="B3" t="inlineStr">
        <is>
          <t>PS1004.A4 Z63</t>
        </is>
      </c>
      <c r="C3" t="inlineStr">
        <is>
          <t>0                      PS 1004000A  4                  Z  63</t>
        </is>
      </c>
      <c r="D3" t="inlineStr">
        <is>
          <t>Critical essays on Henry Adams / [collected by] Earl N. Harbert.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Boston, Mass. : G.K. Hall, c1981.</t>
        </is>
      </c>
      <c r="M3" t="inlineStr">
        <is>
          <t>1981</t>
        </is>
      </c>
      <c r="O3" t="inlineStr">
        <is>
          <t>eng</t>
        </is>
      </c>
      <c r="P3" t="inlineStr">
        <is>
          <t>mau</t>
        </is>
      </c>
      <c r="Q3" t="inlineStr">
        <is>
          <t>Critical essays on American literature</t>
        </is>
      </c>
      <c r="R3" t="inlineStr">
        <is>
          <t xml:space="preserve">PS </t>
        </is>
      </c>
      <c r="S3" t="n">
        <v>13</v>
      </c>
      <c r="T3" t="n">
        <v>13</v>
      </c>
      <c r="U3" t="inlineStr">
        <is>
          <t>1999-09-27</t>
        </is>
      </c>
      <c r="V3" t="inlineStr">
        <is>
          <t>1999-09-27</t>
        </is>
      </c>
      <c r="W3" t="inlineStr">
        <is>
          <t>1990-10-23</t>
        </is>
      </c>
      <c r="X3" t="inlineStr">
        <is>
          <t>1990-10-23</t>
        </is>
      </c>
      <c r="Y3" t="n">
        <v>524</v>
      </c>
      <c r="Z3" t="n">
        <v>468</v>
      </c>
      <c r="AA3" t="n">
        <v>474</v>
      </c>
      <c r="AB3" t="n">
        <v>5</v>
      </c>
      <c r="AC3" t="n">
        <v>5</v>
      </c>
      <c r="AD3" t="n">
        <v>26</v>
      </c>
      <c r="AE3" t="n">
        <v>26</v>
      </c>
      <c r="AF3" t="n">
        <v>9</v>
      </c>
      <c r="AG3" t="n">
        <v>9</v>
      </c>
      <c r="AH3" t="n">
        <v>8</v>
      </c>
      <c r="AI3" t="n">
        <v>8</v>
      </c>
      <c r="AJ3" t="n">
        <v>12</v>
      </c>
      <c r="AK3" t="n">
        <v>12</v>
      </c>
      <c r="AL3" t="n">
        <v>4</v>
      </c>
      <c r="AM3" t="n">
        <v>4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HYPERLINK("http://catalog.hathitrust.org/Record/000189994","HathiTrust Record")</f>
        <v/>
      </c>
      <c r="AS3">
        <f>HYPERLINK("https://creighton-primo.hosted.exlibrisgroup.com/primo-explore/search?tab=default_tab&amp;search_scope=EVERYTHING&amp;vid=01CRU&amp;lang=en_US&amp;offset=0&amp;query=any,contains,991005105329702656","Catalog Record")</f>
        <v/>
      </c>
      <c r="AT3">
        <f>HYPERLINK("http://www.worldcat.org/oclc/7329039","WorldCat Record")</f>
        <v/>
      </c>
      <c r="AU3" t="inlineStr">
        <is>
          <t>42836898:eng</t>
        </is>
      </c>
      <c r="AV3" t="inlineStr">
        <is>
          <t>7329039</t>
        </is>
      </c>
      <c r="AW3" t="inlineStr">
        <is>
          <t>991005105329702656</t>
        </is>
      </c>
      <c r="AX3" t="inlineStr">
        <is>
          <t>991005105329702656</t>
        </is>
      </c>
      <c r="AY3" t="inlineStr">
        <is>
          <t>2271410220002656</t>
        </is>
      </c>
      <c r="AZ3" t="inlineStr">
        <is>
          <t>BOOK</t>
        </is>
      </c>
      <c r="BB3" t="inlineStr">
        <is>
          <t>9780816182800</t>
        </is>
      </c>
      <c r="BC3" t="inlineStr">
        <is>
          <t>32285000362185</t>
        </is>
      </c>
      <c r="BD3" t="inlineStr">
        <is>
          <t>893443403</t>
        </is>
      </c>
    </row>
    <row r="4">
      <c r="A4" t="inlineStr">
        <is>
          <t>No</t>
        </is>
      </c>
      <c r="B4" t="inlineStr">
        <is>
          <t>PS1026 .G7</t>
        </is>
      </c>
      <c r="C4" t="inlineStr">
        <is>
          <t>0                      PS 1026000G  7</t>
        </is>
      </c>
      <c r="D4" t="inlineStr">
        <is>
          <t>The life of Thomas Bailey Aldrich.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Greenslet, Ferris, 1875-1959.</t>
        </is>
      </c>
      <c r="L4" t="inlineStr">
        <is>
          <t>Boston, Houghton, Mifflin, 1908.</t>
        </is>
      </c>
      <c r="M4" t="inlineStr">
        <is>
          <t>1908</t>
        </is>
      </c>
      <c r="O4" t="inlineStr">
        <is>
          <t>eng</t>
        </is>
      </c>
      <c r="P4" t="inlineStr">
        <is>
          <t>mau</t>
        </is>
      </c>
      <c r="R4" t="inlineStr">
        <is>
          <t xml:space="preserve">PS </t>
        </is>
      </c>
      <c r="S4" t="n">
        <v>3</v>
      </c>
      <c r="T4" t="n">
        <v>3</v>
      </c>
      <c r="U4" t="inlineStr">
        <is>
          <t>2003-09-26</t>
        </is>
      </c>
      <c r="V4" t="inlineStr">
        <is>
          <t>2003-09-26</t>
        </is>
      </c>
      <c r="W4" t="inlineStr">
        <is>
          <t>1997-05-07</t>
        </is>
      </c>
      <c r="X4" t="inlineStr">
        <is>
          <t>1997-05-07</t>
        </is>
      </c>
      <c r="Y4" t="n">
        <v>398</v>
      </c>
      <c r="Z4" t="n">
        <v>382</v>
      </c>
      <c r="AA4" t="n">
        <v>731</v>
      </c>
      <c r="AB4" t="n">
        <v>3</v>
      </c>
      <c r="AC4" t="n">
        <v>6</v>
      </c>
      <c r="AD4" t="n">
        <v>27</v>
      </c>
      <c r="AE4" t="n">
        <v>40</v>
      </c>
      <c r="AF4" t="n">
        <v>10</v>
      </c>
      <c r="AG4" t="n">
        <v>15</v>
      </c>
      <c r="AH4" t="n">
        <v>5</v>
      </c>
      <c r="AI4" t="n">
        <v>9</v>
      </c>
      <c r="AJ4" t="n">
        <v>16</v>
      </c>
      <c r="AK4" t="n">
        <v>19</v>
      </c>
      <c r="AL4" t="n">
        <v>2</v>
      </c>
      <c r="AM4" t="n">
        <v>5</v>
      </c>
      <c r="AN4" t="n">
        <v>0</v>
      </c>
      <c r="AO4" t="n">
        <v>0</v>
      </c>
      <c r="AP4" t="inlineStr">
        <is>
          <t>Yes</t>
        </is>
      </c>
      <c r="AQ4" t="inlineStr">
        <is>
          <t>No</t>
        </is>
      </c>
      <c r="AR4">
        <f>HYPERLINK("http://catalog.hathitrust.org/Record/002931684","HathiTrust Record")</f>
        <v/>
      </c>
      <c r="AS4">
        <f>HYPERLINK("https://creighton-primo.hosted.exlibrisgroup.com/primo-explore/search?tab=default_tab&amp;search_scope=EVERYTHING&amp;vid=01CRU&amp;lang=en_US&amp;offset=0&amp;query=any,contains,991003585749702656","Catalog Record")</f>
        <v/>
      </c>
      <c r="AT4">
        <f>HYPERLINK("http://www.worldcat.org/oclc/1166271","WorldCat Record")</f>
        <v/>
      </c>
      <c r="AU4" t="inlineStr">
        <is>
          <t>1398158:eng</t>
        </is>
      </c>
      <c r="AV4" t="inlineStr">
        <is>
          <t>1166271</t>
        </is>
      </c>
      <c r="AW4" t="inlineStr">
        <is>
          <t>991003585749702656</t>
        </is>
      </c>
      <c r="AX4" t="inlineStr">
        <is>
          <t>991003585749702656</t>
        </is>
      </c>
      <c r="AY4" t="inlineStr">
        <is>
          <t>2266293620002656</t>
        </is>
      </c>
      <c r="AZ4" t="inlineStr">
        <is>
          <t>BOOK</t>
        </is>
      </c>
      <c r="BC4" t="inlineStr">
        <is>
          <t>32285002656444</t>
        </is>
      </c>
      <c r="BD4" t="inlineStr">
        <is>
          <t>893686684</t>
        </is>
      </c>
    </row>
    <row r="5">
      <c r="A5" t="inlineStr">
        <is>
          <t>No</t>
        </is>
      </c>
      <c r="B5" t="inlineStr">
        <is>
          <t>PS1026 .S3 1966</t>
        </is>
      </c>
      <c r="C5" t="inlineStr">
        <is>
          <t>0                      PS 1026000S  3           1966</t>
        </is>
      </c>
      <c r="D5" t="inlineStr">
        <is>
          <t>Thomas Bailey Aldrich / by Charles E. Samuels.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Samuels, Charles E.</t>
        </is>
      </c>
      <c r="L5" t="inlineStr">
        <is>
          <t>New York : Twayne Publishers, [1966, c1965]</t>
        </is>
      </c>
      <c r="M5" t="inlineStr">
        <is>
          <t>1966</t>
        </is>
      </c>
      <c r="O5" t="inlineStr">
        <is>
          <t>eng</t>
        </is>
      </c>
      <c r="P5" t="inlineStr">
        <is>
          <t>nyu</t>
        </is>
      </c>
      <c r="Q5" t="inlineStr">
        <is>
          <t>Twayne's United States authors series ; TUSAS 94</t>
        </is>
      </c>
      <c r="R5" t="inlineStr">
        <is>
          <t xml:space="preserve">PS </t>
        </is>
      </c>
      <c r="S5" t="n">
        <v>3</v>
      </c>
      <c r="T5" t="n">
        <v>3</v>
      </c>
      <c r="U5" t="inlineStr">
        <is>
          <t>2003-09-26</t>
        </is>
      </c>
      <c r="V5" t="inlineStr">
        <is>
          <t>2003-09-26</t>
        </is>
      </c>
      <c r="W5" t="inlineStr">
        <is>
          <t>1994-10-12</t>
        </is>
      </c>
      <c r="X5" t="inlineStr">
        <is>
          <t>1994-10-12</t>
        </is>
      </c>
      <c r="Y5" t="n">
        <v>849</v>
      </c>
      <c r="Z5" t="n">
        <v>811</v>
      </c>
      <c r="AA5" t="n">
        <v>961</v>
      </c>
      <c r="AB5" t="n">
        <v>8</v>
      </c>
      <c r="AC5" t="n">
        <v>10</v>
      </c>
      <c r="AD5" t="n">
        <v>33</v>
      </c>
      <c r="AE5" t="n">
        <v>40</v>
      </c>
      <c r="AF5" t="n">
        <v>11</v>
      </c>
      <c r="AG5" t="n">
        <v>12</v>
      </c>
      <c r="AH5" t="n">
        <v>7</v>
      </c>
      <c r="AI5" t="n">
        <v>8</v>
      </c>
      <c r="AJ5" t="n">
        <v>16</v>
      </c>
      <c r="AK5" t="n">
        <v>20</v>
      </c>
      <c r="AL5" t="n">
        <v>6</v>
      </c>
      <c r="AM5" t="n">
        <v>8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HYPERLINK("http://catalog.hathitrust.org/Record/000621637","HathiTrust Record")</f>
        <v/>
      </c>
      <c r="AS5">
        <f>HYPERLINK("https://creighton-primo.hosted.exlibrisgroup.com/primo-explore/search?tab=default_tab&amp;search_scope=EVERYTHING&amp;vid=01CRU&amp;lang=en_US&amp;offset=0&amp;query=any,contains,991002142399702656","Catalog Record")</f>
        <v/>
      </c>
      <c r="AT5">
        <f>HYPERLINK("http://www.worldcat.org/oclc/270655","WorldCat Record")</f>
        <v/>
      </c>
      <c r="AU5" t="inlineStr">
        <is>
          <t>579433:eng</t>
        </is>
      </c>
      <c r="AV5" t="inlineStr">
        <is>
          <t>270655</t>
        </is>
      </c>
      <c r="AW5" t="inlineStr">
        <is>
          <t>991002142399702656</t>
        </is>
      </c>
      <c r="AX5" t="inlineStr">
        <is>
          <t>991002142399702656</t>
        </is>
      </c>
      <c r="AY5" t="inlineStr">
        <is>
          <t>2263774560002656</t>
        </is>
      </c>
      <c r="AZ5" t="inlineStr">
        <is>
          <t>BOOK</t>
        </is>
      </c>
      <c r="BC5" t="inlineStr">
        <is>
          <t>32285001961142</t>
        </is>
      </c>
      <c r="BD5" t="inlineStr">
        <is>
          <t>893250863</t>
        </is>
      </c>
    </row>
    <row r="6">
      <c r="A6" t="inlineStr">
        <is>
          <t>No</t>
        </is>
      </c>
      <c r="B6" t="inlineStr">
        <is>
          <t>PS1029.A3 Z83</t>
        </is>
      </c>
      <c r="C6" t="inlineStr">
        <is>
          <t>0                      PS 1029000A  3                  Z  83</t>
        </is>
      </c>
      <c r="D6" t="inlineStr">
        <is>
          <t>Horatio Alger, Jr. / by Gary Scharnhorst.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Scharnhorst, Gary.</t>
        </is>
      </c>
      <c r="L6" t="inlineStr">
        <is>
          <t>Boston : Twayne Publishers, 1980.</t>
        </is>
      </c>
      <c r="M6" t="inlineStr">
        <is>
          <t>1980</t>
        </is>
      </c>
      <c r="O6" t="inlineStr">
        <is>
          <t>eng</t>
        </is>
      </c>
      <c r="P6" t="inlineStr">
        <is>
          <t>mau</t>
        </is>
      </c>
      <c r="Q6" t="inlineStr">
        <is>
          <t>Twayne's United States authors series ; TUSAS 363</t>
        </is>
      </c>
      <c r="R6" t="inlineStr">
        <is>
          <t xml:space="preserve">PS </t>
        </is>
      </c>
      <c r="S6" t="n">
        <v>7</v>
      </c>
      <c r="T6" t="n">
        <v>7</v>
      </c>
      <c r="U6" t="inlineStr">
        <is>
          <t>2005-01-24</t>
        </is>
      </c>
      <c r="V6" t="inlineStr">
        <is>
          <t>2005-01-24</t>
        </is>
      </c>
      <c r="W6" t="inlineStr">
        <is>
          <t>1990-10-23</t>
        </is>
      </c>
      <c r="X6" t="inlineStr">
        <is>
          <t>1990-10-23</t>
        </is>
      </c>
      <c r="Y6" t="n">
        <v>614</v>
      </c>
      <c r="Z6" t="n">
        <v>554</v>
      </c>
      <c r="AA6" t="n">
        <v>710</v>
      </c>
      <c r="AB6" t="n">
        <v>5</v>
      </c>
      <c r="AC6" t="n">
        <v>7</v>
      </c>
      <c r="AD6" t="n">
        <v>27</v>
      </c>
      <c r="AE6" t="n">
        <v>31</v>
      </c>
      <c r="AF6" t="n">
        <v>11</v>
      </c>
      <c r="AG6" t="n">
        <v>12</v>
      </c>
      <c r="AH6" t="n">
        <v>5</v>
      </c>
      <c r="AI6" t="n">
        <v>5</v>
      </c>
      <c r="AJ6" t="n">
        <v>14</v>
      </c>
      <c r="AK6" t="n">
        <v>15</v>
      </c>
      <c r="AL6" t="n">
        <v>4</v>
      </c>
      <c r="AM6" t="n">
        <v>6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HYPERLINK("http://catalog.hathitrust.org/Record/000709646","HathiTrust Record")</f>
        <v/>
      </c>
      <c r="AS6">
        <f>HYPERLINK("https://creighton-primo.hosted.exlibrisgroup.com/primo-explore/search?tab=default_tab&amp;search_scope=EVERYTHING&amp;vid=01CRU&amp;lang=en_US&amp;offset=0&amp;query=any,contains,991004915719702656","Catalog Record")</f>
        <v/>
      </c>
      <c r="AT6">
        <f>HYPERLINK("http://www.worldcat.org/oclc/6016153","WorldCat Record")</f>
        <v/>
      </c>
      <c r="AU6" t="inlineStr">
        <is>
          <t>17661722:eng</t>
        </is>
      </c>
      <c r="AV6" t="inlineStr">
        <is>
          <t>6016153</t>
        </is>
      </c>
      <c r="AW6" t="inlineStr">
        <is>
          <t>991004915719702656</t>
        </is>
      </c>
      <c r="AX6" t="inlineStr">
        <is>
          <t>991004915719702656</t>
        </is>
      </c>
      <c r="AY6" t="inlineStr">
        <is>
          <t>2269546430002656</t>
        </is>
      </c>
      <c r="AZ6" t="inlineStr">
        <is>
          <t>BOOK</t>
        </is>
      </c>
      <c r="BB6" t="inlineStr">
        <is>
          <t>9780805772524</t>
        </is>
      </c>
      <c r="BC6" t="inlineStr">
        <is>
          <t>32285000362250</t>
        </is>
      </c>
      <c r="BD6" t="inlineStr">
        <is>
          <t>893807627</t>
        </is>
      </c>
    </row>
    <row r="7">
      <c r="A7" t="inlineStr">
        <is>
          <t>No</t>
        </is>
      </c>
      <c r="B7" t="inlineStr">
        <is>
          <t>PS1087 .B58 1986</t>
        </is>
      </c>
      <c r="C7" t="inlineStr">
        <is>
          <t>0                      PS 1087000B  58          1986</t>
        </is>
      </c>
      <c r="D7" t="inlineStr">
        <is>
          <t>Edward Bellamy / by Sylvia E. Bowman.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Bowman, Sylvia E.</t>
        </is>
      </c>
      <c r="L7" t="inlineStr">
        <is>
          <t>Boston : Twayne Publishers, c1986.</t>
        </is>
      </c>
      <c r="M7" t="inlineStr">
        <is>
          <t>1986</t>
        </is>
      </c>
      <c r="O7" t="inlineStr">
        <is>
          <t>eng</t>
        </is>
      </c>
      <c r="P7" t="inlineStr">
        <is>
          <t>mau</t>
        </is>
      </c>
      <c r="Q7" t="inlineStr">
        <is>
          <t>Twayne's United States authors series ; TUSAS 500</t>
        </is>
      </c>
      <c r="R7" t="inlineStr">
        <is>
          <t xml:space="preserve">PS </t>
        </is>
      </c>
      <c r="S7" t="n">
        <v>2</v>
      </c>
      <c r="T7" t="n">
        <v>2</v>
      </c>
      <c r="U7" t="inlineStr">
        <is>
          <t>1997-01-28</t>
        </is>
      </c>
      <c r="V7" t="inlineStr">
        <is>
          <t>1997-01-28</t>
        </is>
      </c>
      <c r="W7" t="inlineStr">
        <is>
          <t>1990-10-24</t>
        </is>
      </c>
      <c r="X7" t="inlineStr">
        <is>
          <t>1990-10-24</t>
        </is>
      </c>
      <c r="Y7" t="n">
        <v>716</v>
      </c>
      <c r="Z7" t="n">
        <v>641</v>
      </c>
      <c r="AA7" t="n">
        <v>646</v>
      </c>
      <c r="AB7" t="n">
        <v>6</v>
      </c>
      <c r="AC7" t="n">
        <v>6</v>
      </c>
      <c r="AD7" t="n">
        <v>30</v>
      </c>
      <c r="AE7" t="n">
        <v>30</v>
      </c>
      <c r="AF7" t="n">
        <v>10</v>
      </c>
      <c r="AG7" t="n">
        <v>10</v>
      </c>
      <c r="AH7" t="n">
        <v>7</v>
      </c>
      <c r="AI7" t="n">
        <v>7</v>
      </c>
      <c r="AJ7" t="n">
        <v>18</v>
      </c>
      <c r="AK7" t="n">
        <v>18</v>
      </c>
      <c r="AL7" t="n">
        <v>5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HYPERLINK("https://creighton-primo.hosted.exlibrisgroup.com/primo-explore/search?tab=default_tab&amp;search_scope=EVERYTHING&amp;vid=01CRU&amp;lang=en_US&amp;offset=0&amp;query=any,contains,991000783969702656","Catalog Record")</f>
        <v/>
      </c>
      <c r="AT7">
        <f>HYPERLINK("http://www.worldcat.org/oclc/13122055","WorldCat Record")</f>
        <v/>
      </c>
      <c r="AU7" t="inlineStr">
        <is>
          <t>2838029816:eng</t>
        </is>
      </c>
      <c r="AV7" t="inlineStr">
        <is>
          <t>13122055</t>
        </is>
      </c>
      <c r="AW7" t="inlineStr">
        <is>
          <t>991000783969702656</t>
        </is>
      </c>
      <c r="AX7" t="inlineStr">
        <is>
          <t>991000783969702656</t>
        </is>
      </c>
      <c r="AY7" t="inlineStr">
        <is>
          <t>2255228040002656</t>
        </is>
      </c>
      <c r="AZ7" t="inlineStr">
        <is>
          <t>BOOK</t>
        </is>
      </c>
      <c r="BB7" t="inlineStr">
        <is>
          <t>9780805774603</t>
        </is>
      </c>
      <c r="BC7" t="inlineStr">
        <is>
          <t>32285000362284</t>
        </is>
      </c>
      <c r="BD7" t="inlineStr">
        <is>
          <t>893438595</t>
        </is>
      </c>
    </row>
    <row r="8">
      <c r="A8" t="inlineStr">
        <is>
          <t>No</t>
        </is>
      </c>
      <c r="B8" t="inlineStr">
        <is>
          <t>PS1097.O33 B3 1973</t>
        </is>
      </c>
      <c r="C8" t="inlineStr">
        <is>
          <t>0                      PS 1097000O  33                 B  3           1973</t>
        </is>
      </c>
      <c r="D8" t="inlineStr">
        <is>
          <t>From fiction to film : Ambrose Bierce's "An occurrence at Owl Creek Bridge" / [compiled by] Gerald R. Barrett [and] Thomas L. Erskine.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Barrett, Gerald R., compiler.</t>
        </is>
      </c>
      <c r="L8" t="inlineStr">
        <is>
          <t>Encino, Calif. : Dickenson Pub. Co., [1973]</t>
        </is>
      </c>
      <c r="M8" t="inlineStr">
        <is>
          <t>1973</t>
        </is>
      </c>
      <c r="O8" t="inlineStr">
        <is>
          <t>eng</t>
        </is>
      </c>
      <c r="P8" t="inlineStr">
        <is>
          <t>cau</t>
        </is>
      </c>
      <c r="Q8" t="inlineStr">
        <is>
          <t>The Dickenson literature and film series</t>
        </is>
      </c>
      <c r="R8" t="inlineStr">
        <is>
          <t xml:space="preserve">PS </t>
        </is>
      </c>
      <c r="S8" t="n">
        <v>1</v>
      </c>
      <c r="T8" t="n">
        <v>1</v>
      </c>
      <c r="U8" t="inlineStr">
        <is>
          <t>2003-09-10</t>
        </is>
      </c>
      <c r="V8" t="inlineStr">
        <is>
          <t>2003-09-10</t>
        </is>
      </c>
      <c r="W8" t="inlineStr">
        <is>
          <t>2003-09-10</t>
        </is>
      </c>
      <c r="X8" t="inlineStr">
        <is>
          <t>2003-09-10</t>
        </is>
      </c>
      <c r="Y8" t="n">
        <v>261</v>
      </c>
      <c r="Z8" t="n">
        <v>235</v>
      </c>
      <c r="AA8" t="n">
        <v>235</v>
      </c>
      <c r="AB8" t="n">
        <v>3</v>
      </c>
      <c r="AC8" t="n">
        <v>3</v>
      </c>
      <c r="AD8" t="n">
        <v>12</v>
      </c>
      <c r="AE8" t="n">
        <v>12</v>
      </c>
      <c r="AF8" t="n">
        <v>6</v>
      </c>
      <c r="AG8" t="n">
        <v>6</v>
      </c>
      <c r="AH8" t="n">
        <v>2</v>
      </c>
      <c r="AI8" t="n">
        <v>2</v>
      </c>
      <c r="AJ8" t="n">
        <v>5</v>
      </c>
      <c r="AK8" t="n">
        <v>5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HYPERLINK("https://creighton-primo.hosted.exlibrisgroup.com/primo-explore/search?tab=default_tab&amp;search_scope=EVERYTHING&amp;vid=01CRU&amp;lang=en_US&amp;offset=0&amp;query=any,contains,991004119779702656","Catalog Record")</f>
        <v/>
      </c>
      <c r="AT8">
        <f>HYPERLINK("http://www.worldcat.org/oclc/595430","WorldCat Record")</f>
        <v/>
      </c>
      <c r="AU8" t="inlineStr">
        <is>
          <t>10792337470:eng</t>
        </is>
      </c>
      <c r="AV8" t="inlineStr">
        <is>
          <t>595430</t>
        </is>
      </c>
      <c r="AW8" t="inlineStr">
        <is>
          <t>991004119779702656</t>
        </is>
      </c>
      <c r="AX8" t="inlineStr">
        <is>
          <t>991004119779702656</t>
        </is>
      </c>
      <c r="AY8" t="inlineStr">
        <is>
          <t>2272338020002656</t>
        </is>
      </c>
      <c r="AZ8" t="inlineStr">
        <is>
          <t>BOOK</t>
        </is>
      </c>
      <c r="BB8" t="inlineStr">
        <is>
          <t>9780822100836</t>
        </is>
      </c>
      <c r="BC8" t="inlineStr">
        <is>
          <t>32285004781851</t>
        </is>
      </c>
      <c r="BD8" t="inlineStr">
        <is>
          <t>893525680</t>
        </is>
      </c>
    </row>
    <row r="9">
      <c r="A9" t="inlineStr">
        <is>
          <t>No</t>
        </is>
      </c>
      <c r="B9" t="inlineStr">
        <is>
          <t>PS1097.Z5 F28 1956</t>
        </is>
      </c>
      <c r="C9" t="inlineStr">
        <is>
          <t>0                      PS 1097000Z  5                  F  28          1956</t>
        </is>
      </c>
      <c r="D9" t="inlineStr">
        <is>
          <t>Ambrose Bierce and the Black Hills / by Paul Fatout.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Fatout, Paul.</t>
        </is>
      </c>
      <c r="L9" t="inlineStr">
        <is>
          <t>Norman : University of Oklahoma Press, [c1956]</t>
        </is>
      </c>
      <c r="M9" t="inlineStr">
        <is>
          <t>1956</t>
        </is>
      </c>
      <c r="O9" t="inlineStr">
        <is>
          <t>eng</t>
        </is>
      </c>
      <c r="P9" t="inlineStr">
        <is>
          <t>oku</t>
        </is>
      </c>
      <c r="R9" t="inlineStr">
        <is>
          <t xml:space="preserve">PS </t>
        </is>
      </c>
      <c r="S9" t="n">
        <v>2</v>
      </c>
      <c r="T9" t="n">
        <v>2</v>
      </c>
      <c r="U9" t="inlineStr">
        <is>
          <t>2005-11-04</t>
        </is>
      </c>
      <c r="V9" t="inlineStr">
        <is>
          <t>2005-11-04</t>
        </is>
      </c>
      <c r="W9" t="inlineStr">
        <is>
          <t>2005-10-19</t>
        </is>
      </c>
      <c r="X9" t="inlineStr">
        <is>
          <t>2005-10-19</t>
        </is>
      </c>
      <c r="Y9" t="n">
        <v>538</v>
      </c>
      <c r="Z9" t="n">
        <v>492</v>
      </c>
      <c r="AA9" t="n">
        <v>500</v>
      </c>
      <c r="AB9" t="n">
        <v>6</v>
      </c>
      <c r="AC9" t="n">
        <v>6</v>
      </c>
      <c r="AD9" t="n">
        <v>26</v>
      </c>
      <c r="AE9" t="n">
        <v>26</v>
      </c>
      <c r="AF9" t="n">
        <v>7</v>
      </c>
      <c r="AG9" t="n">
        <v>7</v>
      </c>
      <c r="AH9" t="n">
        <v>6</v>
      </c>
      <c r="AI9" t="n">
        <v>6</v>
      </c>
      <c r="AJ9" t="n">
        <v>16</v>
      </c>
      <c r="AK9" t="n">
        <v>16</v>
      </c>
      <c r="AL9" t="n">
        <v>4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R9">
        <f>HYPERLINK("http://catalog.hathitrust.org/Record/001027066","HathiTrust Record")</f>
        <v/>
      </c>
      <c r="AS9">
        <f>HYPERLINK("https://creighton-primo.hosted.exlibrisgroup.com/primo-explore/search?tab=default_tab&amp;search_scope=EVERYTHING&amp;vid=01CRU&amp;lang=en_US&amp;offset=0&amp;query=any,contains,991004679829702656","Catalog Record")</f>
        <v/>
      </c>
      <c r="AT9">
        <f>HYPERLINK("http://www.worldcat.org/oclc/271141","WorldCat Record")</f>
        <v/>
      </c>
      <c r="AU9" t="inlineStr">
        <is>
          <t>3372105411:eng</t>
        </is>
      </c>
      <c r="AV9" t="inlineStr">
        <is>
          <t>271141</t>
        </is>
      </c>
      <c r="AW9" t="inlineStr">
        <is>
          <t>991004679829702656</t>
        </is>
      </c>
      <c r="AX9" t="inlineStr">
        <is>
          <t>991004679829702656</t>
        </is>
      </c>
      <c r="AY9" t="inlineStr">
        <is>
          <t>2262057210002656</t>
        </is>
      </c>
      <c r="AZ9" t="inlineStr">
        <is>
          <t>BOOK</t>
        </is>
      </c>
      <c r="BC9" t="inlineStr">
        <is>
          <t>32285005089866</t>
        </is>
      </c>
      <c r="BD9" t="inlineStr">
        <is>
          <t>893331892</t>
        </is>
      </c>
    </row>
    <row r="10">
      <c r="A10" t="inlineStr">
        <is>
          <t>No</t>
        </is>
      </c>
      <c r="B10" t="inlineStr">
        <is>
          <t>PS1097.Z5 G75</t>
        </is>
      </c>
      <c r="C10" t="inlineStr">
        <is>
          <t>0                      PS 1097000Z  5                  G  75</t>
        </is>
      </c>
      <c r="D10" t="inlineStr">
        <is>
          <t>Ambrose Bierce / by M. E. Grenander.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Grenander, M. E. (Mary Elizabeth), 1918-</t>
        </is>
      </c>
      <c r="L10" t="inlineStr">
        <is>
          <t>New York : Twayne Publishers, [1971]</t>
        </is>
      </c>
      <c r="M10" t="inlineStr">
        <is>
          <t>1971</t>
        </is>
      </c>
      <c r="O10" t="inlineStr">
        <is>
          <t>eng</t>
        </is>
      </c>
      <c r="P10" t="inlineStr">
        <is>
          <t>nyu</t>
        </is>
      </c>
      <c r="Q10" t="inlineStr">
        <is>
          <t>Twayne's United States authors series ; TUSAS 180</t>
        </is>
      </c>
      <c r="R10" t="inlineStr">
        <is>
          <t xml:space="preserve">PS </t>
        </is>
      </c>
      <c r="S10" t="n">
        <v>4</v>
      </c>
      <c r="T10" t="n">
        <v>4</v>
      </c>
      <c r="U10" t="inlineStr">
        <is>
          <t>1995-07-25</t>
        </is>
      </c>
      <c r="V10" t="inlineStr">
        <is>
          <t>1995-07-25</t>
        </is>
      </c>
      <c r="W10" t="inlineStr">
        <is>
          <t>1993-12-13</t>
        </is>
      </c>
      <c r="X10" t="inlineStr">
        <is>
          <t>1993-12-13</t>
        </is>
      </c>
      <c r="Y10" t="n">
        <v>958</v>
      </c>
      <c r="Z10" t="n">
        <v>866</v>
      </c>
      <c r="AA10" t="n">
        <v>874</v>
      </c>
      <c r="AB10" t="n">
        <v>6</v>
      </c>
      <c r="AC10" t="n">
        <v>6</v>
      </c>
      <c r="AD10" t="n">
        <v>30</v>
      </c>
      <c r="AE10" t="n">
        <v>30</v>
      </c>
      <c r="AF10" t="n">
        <v>9</v>
      </c>
      <c r="AG10" t="n">
        <v>9</v>
      </c>
      <c r="AH10" t="n">
        <v>6</v>
      </c>
      <c r="AI10" t="n">
        <v>6</v>
      </c>
      <c r="AJ10" t="n">
        <v>16</v>
      </c>
      <c r="AK10" t="n">
        <v>16</v>
      </c>
      <c r="AL10" t="n">
        <v>5</v>
      </c>
      <c r="AM10" t="n">
        <v>5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HYPERLINK("http://catalog.hathitrust.org/Record/000002308","HathiTrust Record")</f>
        <v/>
      </c>
      <c r="AS10">
        <f>HYPERLINK("https://creighton-primo.hosted.exlibrisgroup.com/primo-explore/search?tab=default_tab&amp;search_scope=EVERYTHING&amp;vid=01CRU&amp;lang=en_US&amp;offset=0&amp;query=any,contains,991000890169702656","Catalog Record")</f>
        <v/>
      </c>
      <c r="AT10">
        <f>HYPERLINK("http://www.worldcat.org/oclc/153665","WorldCat Record")</f>
        <v/>
      </c>
      <c r="AU10" t="inlineStr">
        <is>
          <t>4663581579:eng</t>
        </is>
      </c>
      <c r="AV10" t="inlineStr">
        <is>
          <t>153665</t>
        </is>
      </c>
      <c r="AW10" t="inlineStr">
        <is>
          <t>991000890169702656</t>
        </is>
      </c>
      <c r="AX10" t="inlineStr">
        <is>
          <t>991000890169702656</t>
        </is>
      </c>
      <c r="AY10" t="inlineStr">
        <is>
          <t>2269655500002656</t>
        </is>
      </c>
      <c r="AZ10" t="inlineStr">
        <is>
          <t>BOOK</t>
        </is>
      </c>
      <c r="BC10" t="inlineStr">
        <is>
          <t>32285001807790</t>
        </is>
      </c>
      <c r="BD10" t="inlineStr">
        <is>
          <t>893339978</t>
        </is>
      </c>
    </row>
    <row r="11">
      <c r="A11" t="inlineStr">
        <is>
          <t>No</t>
        </is>
      </c>
      <c r="B11" t="inlineStr">
        <is>
          <t>PS1097.Z5 M3</t>
        </is>
      </c>
      <c r="C11" t="inlineStr">
        <is>
          <t>0                      PS 1097000Z  5                  M  3</t>
        </is>
      </c>
      <c r="D11" t="inlineStr">
        <is>
          <t>Ambrose Bierce : a biography / by Carey McWilliams.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McWilliams, Carey, 1905-1980.</t>
        </is>
      </c>
      <c r="L11" t="inlineStr">
        <is>
          <t>New York : A. &amp; C. Boni, 1929.</t>
        </is>
      </c>
      <c r="M11" t="inlineStr">
        <is>
          <t>1929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PS </t>
        </is>
      </c>
      <c r="S11" t="n">
        <v>2</v>
      </c>
      <c r="T11" t="n">
        <v>2</v>
      </c>
      <c r="U11" t="inlineStr">
        <is>
          <t>1998-03-16</t>
        </is>
      </c>
      <c r="V11" t="inlineStr">
        <is>
          <t>1998-03-16</t>
        </is>
      </c>
      <c r="W11" t="inlineStr">
        <is>
          <t>1995-05-03</t>
        </is>
      </c>
      <c r="X11" t="inlineStr">
        <is>
          <t>1995-05-03</t>
        </is>
      </c>
      <c r="Y11" t="n">
        <v>278</v>
      </c>
      <c r="Z11" t="n">
        <v>258</v>
      </c>
      <c r="AA11" t="n">
        <v>629</v>
      </c>
      <c r="AB11" t="n">
        <v>1</v>
      </c>
      <c r="AC11" t="n">
        <v>5</v>
      </c>
      <c r="AD11" t="n">
        <v>8</v>
      </c>
      <c r="AE11" t="n">
        <v>29</v>
      </c>
      <c r="AF11" t="n">
        <v>2</v>
      </c>
      <c r="AG11" t="n">
        <v>10</v>
      </c>
      <c r="AH11" t="n">
        <v>1</v>
      </c>
      <c r="AI11" t="n">
        <v>8</v>
      </c>
      <c r="AJ11" t="n">
        <v>7</v>
      </c>
      <c r="AK11" t="n">
        <v>16</v>
      </c>
      <c r="AL11" t="n">
        <v>0</v>
      </c>
      <c r="AM11" t="n">
        <v>4</v>
      </c>
      <c r="AN11" t="n">
        <v>0</v>
      </c>
      <c r="AO11" t="n">
        <v>0</v>
      </c>
      <c r="AP11" t="inlineStr">
        <is>
          <t>Yes</t>
        </is>
      </c>
      <c r="AQ11" t="inlineStr">
        <is>
          <t>No</t>
        </is>
      </c>
      <c r="AR11">
        <f>HYPERLINK("http://catalog.hathitrust.org/Record/000473012","HathiTrust Record")</f>
        <v/>
      </c>
      <c r="AS11">
        <f>HYPERLINK("https://creighton-primo.hosted.exlibrisgroup.com/primo-explore/search?tab=default_tab&amp;search_scope=EVERYTHING&amp;vid=01CRU&amp;lang=en_US&amp;offset=0&amp;query=any,contains,991003108699702656","Catalog Record")</f>
        <v/>
      </c>
      <c r="AT11">
        <f>HYPERLINK("http://www.worldcat.org/oclc/655673","WorldCat Record")</f>
        <v/>
      </c>
      <c r="AU11" t="inlineStr">
        <is>
          <t>4916600779:eng</t>
        </is>
      </c>
      <c r="AV11" t="inlineStr">
        <is>
          <t>655673</t>
        </is>
      </c>
      <c r="AW11" t="inlineStr">
        <is>
          <t>991003108699702656</t>
        </is>
      </c>
      <c r="AX11" t="inlineStr">
        <is>
          <t>991003108699702656</t>
        </is>
      </c>
      <c r="AY11" t="inlineStr">
        <is>
          <t>2260753820002656</t>
        </is>
      </c>
      <c r="AZ11" t="inlineStr">
        <is>
          <t>BOOK</t>
        </is>
      </c>
      <c r="BC11" t="inlineStr">
        <is>
          <t>32285002031598</t>
        </is>
      </c>
      <c r="BD11" t="inlineStr">
        <is>
          <t>893686204</t>
        </is>
      </c>
    </row>
    <row r="12">
      <c r="A12" t="inlineStr">
        <is>
          <t>No</t>
        </is>
      </c>
      <c r="B12" t="inlineStr">
        <is>
          <t>PS1097.Z5 S28 1985</t>
        </is>
      </c>
      <c r="C12" t="inlineStr">
        <is>
          <t>0                      PS 1097000Z  5                  S  28          1985</t>
        </is>
      </c>
      <c r="D12" t="inlineStr">
        <is>
          <t>Ambrose Bierce : the making of a misanthrope / by Richard Saunders.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Saunders, Richard, 1947-</t>
        </is>
      </c>
      <c r="L12" t="inlineStr">
        <is>
          <t>San Francisco : Chronicle Books, c1985.</t>
        </is>
      </c>
      <c r="M12" t="inlineStr">
        <is>
          <t>1984</t>
        </is>
      </c>
      <c r="O12" t="inlineStr">
        <is>
          <t>eng</t>
        </is>
      </c>
      <c r="P12" t="inlineStr">
        <is>
          <t>cau</t>
        </is>
      </c>
      <c r="Q12" t="inlineStr">
        <is>
          <t>The Literary West series</t>
        </is>
      </c>
      <c r="R12" t="inlineStr">
        <is>
          <t xml:space="preserve">PS </t>
        </is>
      </c>
      <c r="S12" t="n">
        <v>4</v>
      </c>
      <c r="T12" t="n">
        <v>4</v>
      </c>
      <c r="U12" t="inlineStr">
        <is>
          <t>1995-04-17</t>
        </is>
      </c>
      <c r="V12" t="inlineStr">
        <is>
          <t>1995-04-17</t>
        </is>
      </c>
      <c r="W12" t="inlineStr">
        <is>
          <t>1990-10-24</t>
        </is>
      </c>
      <c r="X12" t="inlineStr">
        <is>
          <t>1990-10-24</t>
        </is>
      </c>
      <c r="Y12" t="n">
        <v>371</v>
      </c>
      <c r="Z12" t="n">
        <v>349</v>
      </c>
      <c r="AA12" t="n">
        <v>377</v>
      </c>
      <c r="AB12" t="n">
        <v>3</v>
      </c>
      <c r="AC12" t="n">
        <v>3</v>
      </c>
      <c r="AD12" t="n">
        <v>8</v>
      </c>
      <c r="AE12" t="n">
        <v>9</v>
      </c>
      <c r="AF12" t="n">
        <v>2</v>
      </c>
      <c r="AG12" t="n">
        <v>3</v>
      </c>
      <c r="AH12" t="n">
        <v>1</v>
      </c>
      <c r="AI12" t="n">
        <v>1</v>
      </c>
      <c r="AJ12" t="n">
        <v>6</v>
      </c>
      <c r="AK12" t="n">
        <v>6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HYPERLINK("http://catalog.hathitrust.org/Record/000366502","HathiTrust Record")</f>
        <v/>
      </c>
      <c r="AS12">
        <f>HYPERLINK("https://creighton-primo.hosted.exlibrisgroup.com/primo-explore/search?tab=default_tab&amp;search_scope=EVERYTHING&amp;vid=01CRU&amp;lang=en_US&amp;offset=0&amp;query=any,contains,991000487349702656","Catalog Record")</f>
        <v/>
      </c>
      <c r="AT12">
        <f>HYPERLINK("http://www.worldcat.org/oclc/11089574","WorldCat Record")</f>
        <v/>
      </c>
      <c r="AU12" t="inlineStr">
        <is>
          <t>908916683:eng</t>
        </is>
      </c>
      <c r="AV12" t="inlineStr">
        <is>
          <t>11089574</t>
        </is>
      </c>
      <c r="AW12" t="inlineStr">
        <is>
          <t>991000487349702656</t>
        </is>
      </c>
      <c r="AX12" t="inlineStr">
        <is>
          <t>991000487349702656</t>
        </is>
      </c>
      <c r="AY12" t="inlineStr">
        <is>
          <t>2265365050002656</t>
        </is>
      </c>
      <c r="AZ12" t="inlineStr">
        <is>
          <t>BOOK</t>
        </is>
      </c>
      <c r="BB12" t="inlineStr">
        <is>
          <t>9780877012979</t>
        </is>
      </c>
      <c r="BC12" t="inlineStr">
        <is>
          <t>32285000362334</t>
        </is>
      </c>
      <c r="BD12" t="inlineStr">
        <is>
          <t>893714628</t>
        </is>
      </c>
    </row>
    <row r="13">
      <c r="A13" t="inlineStr">
        <is>
          <t>No</t>
        </is>
      </c>
      <c r="B13" t="inlineStr">
        <is>
          <t>PS1097.Z5 S7 1969</t>
        </is>
      </c>
      <c r="C13" t="inlineStr">
        <is>
          <t>0                      PS 1097000Z  5                  S  7           1969</t>
        </is>
      </c>
      <c r="D13" t="inlineStr">
        <is>
          <t>Ambrose Bierce.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Starrett, Vincent, 1886-1974.</t>
        </is>
      </c>
      <c r="L13" t="inlineStr">
        <is>
          <t>Port Washington, N.Y. : Kennikat Press, [1969]</t>
        </is>
      </c>
      <c r="M13" t="inlineStr">
        <is>
          <t>1969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PS </t>
        </is>
      </c>
      <c r="S13" t="n">
        <v>4</v>
      </c>
      <c r="T13" t="n">
        <v>4</v>
      </c>
      <c r="U13" t="inlineStr">
        <is>
          <t>1995-04-11</t>
        </is>
      </c>
      <c r="V13" t="inlineStr">
        <is>
          <t>1995-04-11</t>
        </is>
      </c>
      <c r="W13" t="inlineStr">
        <is>
          <t>1993-12-13</t>
        </is>
      </c>
      <c r="X13" t="inlineStr">
        <is>
          <t>1993-12-13</t>
        </is>
      </c>
      <c r="Y13" t="n">
        <v>250</v>
      </c>
      <c r="Z13" t="n">
        <v>226</v>
      </c>
      <c r="AA13" t="n">
        <v>294</v>
      </c>
      <c r="AB13" t="n">
        <v>3</v>
      </c>
      <c r="AC13" t="n">
        <v>4</v>
      </c>
      <c r="AD13" t="n">
        <v>11</v>
      </c>
      <c r="AE13" t="n">
        <v>16</v>
      </c>
      <c r="AF13" t="n">
        <v>2</v>
      </c>
      <c r="AG13" t="n">
        <v>2</v>
      </c>
      <c r="AH13" t="n">
        <v>1</v>
      </c>
      <c r="AI13" t="n">
        <v>4</v>
      </c>
      <c r="AJ13" t="n">
        <v>8</v>
      </c>
      <c r="AK13" t="n">
        <v>9</v>
      </c>
      <c r="AL13" t="n">
        <v>2</v>
      </c>
      <c r="AM13" t="n">
        <v>3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HYPERLINK("http://catalog.hathitrust.org/Record/000428352","HathiTrust Record")</f>
        <v/>
      </c>
      <c r="AS13">
        <f>HYPERLINK("https://creighton-primo.hosted.exlibrisgroup.com/primo-explore/search?tab=default_tab&amp;search_scope=EVERYTHING&amp;vid=01CRU&amp;lang=en_US&amp;offset=0&amp;query=any,contains,991000071949702656","Catalog Record")</f>
        <v/>
      </c>
      <c r="AT13">
        <f>HYPERLINK("http://www.worldcat.org/oclc/28368","WorldCat Record")</f>
        <v/>
      </c>
      <c r="AU13" t="inlineStr">
        <is>
          <t>4164162473:eng</t>
        </is>
      </c>
      <c r="AV13" t="inlineStr">
        <is>
          <t>28368</t>
        </is>
      </c>
      <c r="AW13" t="inlineStr">
        <is>
          <t>991000071949702656</t>
        </is>
      </c>
      <c r="AX13" t="inlineStr">
        <is>
          <t>991000071949702656</t>
        </is>
      </c>
      <c r="AY13" t="inlineStr">
        <is>
          <t>2264900210002656</t>
        </is>
      </c>
      <c r="AZ13" t="inlineStr">
        <is>
          <t>BOOK</t>
        </is>
      </c>
      <c r="BB13" t="inlineStr">
        <is>
          <t>9780804606394</t>
        </is>
      </c>
      <c r="BC13" t="inlineStr">
        <is>
          <t>32285001807782</t>
        </is>
      </c>
      <c r="BD13" t="inlineStr">
        <is>
          <t>893508489</t>
        </is>
      </c>
    </row>
    <row r="14">
      <c r="A14" t="inlineStr">
        <is>
          <t>No</t>
        </is>
      </c>
      <c r="B14" t="inlineStr">
        <is>
          <t>PS1136 .C52</t>
        </is>
      </c>
      <c r="C14" t="inlineStr">
        <is>
          <t>0                      PS 1136000C  52</t>
        </is>
      </c>
      <c r="D14" t="inlineStr">
        <is>
          <t>Charles Brockden Brown, pioneer voice of America.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Clark, David Lee, 1887-1956.</t>
        </is>
      </c>
      <c r="L14" t="inlineStr">
        <is>
          <t>Durham, N.C., Duke University Press, 1952.</t>
        </is>
      </c>
      <c r="M14" t="inlineStr">
        <is>
          <t>1952</t>
        </is>
      </c>
      <c r="O14" t="inlineStr">
        <is>
          <t>eng</t>
        </is>
      </c>
      <c r="P14" t="inlineStr">
        <is>
          <t>ncu</t>
        </is>
      </c>
      <c r="R14" t="inlineStr">
        <is>
          <t xml:space="preserve">PS </t>
        </is>
      </c>
      <c r="S14" t="n">
        <v>3</v>
      </c>
      <c r="T14" t="n">
        <v>3</v>
      </c>
      <c r="U14" t="inlineStr">
        <is>
          <t>2001-04-30</t>
        </is>
      </c>
      <c r="V14" t="inlineStr">
        <is>
          <t>2001-04-30</t>
        </is>
      </c>
      <c r="W14" t="inlineStr">
        <is>
          <t>1997-05-08</t>
        </is>
      </c>
      <c r="X14" t="inlineStr">
        <is>
          <t>1997-05-08</t>
        </is>
      </c>
      <c r="Y14" t="n">
        <v>571</v>
      </c>
      <c r="Z14" t="n">
        <v>525</v>
      </c>
      <c r="AA14" t="n">
        <v>730</v>
      </c>
      <c r="AB14" t="n">
        <v>4</v>
      </c>
      <c r="AC14" t="n">
        <v>4</v>
      </c>
      <c r="AD14" t="n">
        <v>28</v>
      </c>
      <c r="AE14" t="n">
        <v>38</v>
      </c>
      <c r="AF14" t="n">
        <v>14</v>
      </c>
      <c r="AG14" t="n">
        <v>19</v>
      </c>
      <c r="AH14" t="n">
        <v>2</v>
      </c>
      <c r="AI14" t="n">
        <v>5</v>
      </c>
      <c r="AJ14" t="n">
        <v>16</v>
      </c>
      <c r="AK14" t="n">
        <v>22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Yes</t>
        </is>
      </c>
      <c r="AQ14" t="inlineStr">
        <is>
          <t>No</t>
        </is>
      </c>
      <c r="AR14">
        <f>HYPERLINK("http://catalog.hathitrust.org/Record/000584258","HathiTrust Record")</f>
        <v/>
      </c>
      <c r="AS14">
        <f>HYPERLINK("https://creighton-primo.hosted.exlibrisgroup.com/primo-explore/search?tab=default_tab&amp;search_scope=EVERYTHING&amp;vid=01CRU&amp;lang=en_US&amp;offset=0&amp;query=any,contains,991002141789702656","Catalog Record")</f>
        <v/>
      </c>
      <c r="AT14">
        <f>HYPERLINK("http://www.worldcat.org/oclc/270509","WorldCat Record")</f>
        <v/>
      </c>
      <c r="AU14" t="inlineStr">
        <is>
          <t>23357107:eng</t>
        </is>
      </c>
      <c r="AV14" t="inlineStr">
        <is>
          <t>270509</t>
        </is>
      </c>
      <c r="AW14" t="inlineStr">
        <is>
          <t>991002141789702656</t>
        </is>
      </c>
      <c r="AX14" t="inlineStr">
        <is>
          <t>991002141789702656</t>
        </is>
      </c>
      <c r="AY14" t="inlineStr">
        <is>
          <t>2263654340002656</t>
        </is>
      </c>
      <c r="AZ14" t="inlineStr">
        <is>
          <t>BOOK</t>
        </is>
      </c>
      <c r="BC14" t="inlineStr">
        <is>
          <t>32285002656949</t>
        </is>
      </c>
      <c r="BD14" t="inlineStr">
        <is>
          <t>893866842</t>
        </is>
      </c>
    </row>
    <row r="15">
      <c r="A15" t="inlineStr">
        <is>
          <t>No</t>
        </is>
      </c>
      <c r="B15" t="inlineStr">
        <is>
          <t>PS1137 .A9 1983</t>
        </is>
      </c>
      <c r="C15" t="inlineStr">
        <is>
          <t>0                      PS 1137000A  9           1983</t>
        </is>
      </c>
      <c r="D15" t="inlineStr">
        <is>
          <t>Charles Brockden Brown, an American tale / by Alan Axelrod.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Axelrod, Alan, 1952-</t>
        </is>
      </c>
      <c r="L15" t="inlineStr">
        <is>
          <t>Austin : University of Texas Press, 1983.</t>
        </is>
      </c>
      <c r="M15" t="inlineStr">
        <is>
          <t>1983</t>
        </is>
      </c>
      <c r="N15" t="inlineStr">
        <is>
          <t>1st ed.</t>
        </is>
      </c>
      <c r="O15" t="inlineStr">
        <is>
          <t>eng</t>
        </is>
      </c>
      <c r="P15" t="inlineStr">
        <is>
          <t>txu</t>
        </is>
      </c>
      <c r="R15" t="inlineStr">
        <is>
          <t xml:space="preserve">PS </t>
        </is>
      </c>
      <c r="S15" t="n">
        <v>7</v>
      </c>
      <c r="T15" t="n">
        <v>7</v>
      </c>
      <c r="U15" t="inlineStr">
        <is>
          <t>2001-04-11</t>
        </is>
      </c>
      <c r="V15" t="inlineStr">
        <is>
          <t>2001-04-11</t>
        </is>
      </c>
      <c r="W15" t="inlineStr">
        <is>
          <t>1990-10-24</t>
        </is>
      </c>
      <c r="X15" t="inlineStr">
        <is>
          <t>1990-10-24</t>
        </is>
      </c>
      <c r="Y15" t="n">
        <v>527</v>
      </c>
      <c r="Z15" t="n">
        <v>463</v>
      </c>
      <c r="AA15" t="n">
        <v>527</v>
      </c>
      <c r="AB15" t="n">
        <v>3</v>
      </c>
      <c r="AC15" t="n">
        <v>3</v>
      </c>
      <c r="AD15" t="n">
        <v>24</v>
      </c>
      <c r="AE15" t="n">
        <v>28</v>
      </c>
      <c r="AF15" t="n">
        <v>11</v>
      </c>
      <c r="AG15" t="n">
        <v>15</v>
      </c>
      <c r="AH15" t="n">
        <v>8</v>
      </c>
      <c r="AI15" t="n">
        <v>9</v>
      </c>
      <c r="AJ15" t="n">
        <v>12</v>
      </c>
      <c r="AK15" t="n">
        <v>12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HYPERLINK("http://catalog.hathitrust.org/Record/000107430","HathiTrust Record")</f>
        <v/>
      </c>
      <c r="AS15">
        <f>HYPERLINK("https://creighton-primo.hosted.exlibrisgroup.com/primo-explore/search?tab=default_tab&amp;search_scope=EVERYTHING&amp;vid=01CRU&amp;lang=en_US&amp;offset=0&amp;query=any,contains,991000035249702656","Catalog Record")</f>
        <v/>
      </c>
      <c r="AT15">
        <f>HYPERLINK("http://www.worldcat.org/oclc/8627317","WorldCat Record")</f>
        <v/>
      </c>
      <c r="AU15" t="inlineStr">
        <is>
          <t>32556805:eng</t>
        </is>
      </c>
      <c r="AV15" t="inlineStr">
        <is>
          <t>8627317</t>
        </is>
      </c>
      <c r="AW15" t="inlineStr">
        <is>
          <t>991000035249702656</t>
        </is>
      </c>
      <c r="AX15" t="inlineStr">
        <is>
          <t>991000035249702656</t>
        </is>
      </c>
      <c r="AY15" t="inlineStr">
        <is>
          <t>2261763140002656</t>
        </is>
      </c>
      <c r="AZ15" t="inlineStr">
        <is>
          <t>BOOK</t>
        </is>
      </c>
      <c r="BB15" t="inlineStr">
        <is>
          <t>9780292710764</t>
        </is>
      </c>
      <c r="BC15" t="inlineStr">
        <is>
          <t>32285000362391</t>
        </is>
      </c>
      <c r="BD15" t="inlineStr">
        <is>
          <t>893508440</t>
        </is>
      </c>
    </row>
    <row r="16">
      <c r="A16" t="inlineStr">
        <is>
          <t>No</t>
        </is>
      </c>
      <c r="B16" t="inlineStr">
        <is>
          <t>PS1137 .R56 1966</t>
        </is>
      </c>
      <c r="C16" t="inlineStr">
        <is>
          <t>0                      PS 1137000R  56          1966</t>
        </is>
      </c>
      <c r="D16" t="inlineStr">
        <is>
          <t>Charles Brockden Brown / by Donald A. Ringe.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Yes</t>
        </is>
      </c>
      <c r="J16" t="inlineStr">
        <is>
          <t>0</t>
        </is>
      </c>
      <c r="K16" t="inlineStr">
        <is>
          <t>Ringe, Donald A.</t>
        </is>
      </c>
      <c r="L16" t="inlineStr">
        <is>
          <t>New York : Twayne Publishers, [1966]</t>
        </is>
      </c>
      <c r="M16" t="inlineStr">
        <is>
          <t>1966</t>
        </is>
      </c>
      <c r="O16" t="inlineStr">
        <is>
          <t>eng</t>
        </is>
      </c>
      <c r="P16" t="inlineStr">
        <is>
          <t>nyu</t>
        </is>
      </c>
      <c r="Q16" t="inlineStr">
        <is>
          <t>Twayne's United States authors series, 98</t>
        </is>
      </c>
      <c r="R16" t="inlineStr">
        <is>
          <t xml:space="preserve">PS </t>
        </is>
      </c>
      <c r="S16" t="n">
        <v>5</v>
      </c>
      <c r="T16" t="n">
        <v>5</v>
      </c>
      <c r="U16" t="inlineStr">
        <is>
          <t>2001-04-30</t>
        </is>
      </c>
      <c r="V16" t="inlineStr">
        <is>
          <t>2001-04-30</t>
        </is>
      </c>
      <c r="W16" t="inlineStr">
        <is>
          <t>1994-10-12</t>
        </is>
      </c>
      <c r="X16" t="inlineStr">
        <is>
          <t>1994-10-12</t>
        </is>
      </c>
      <c r="Y16" t="n">
        <v>1047</v>
      </c>
      <c r="Z16" t="n">
        <v>944</v>
      </c>
      <c r="AA16" t="n">
        <v>1243</v>
      </c>
      <c r="AB16" t="n">
        <v>9</v>
      </c>
      <c r="AC16" t="n">
        <v>11</v>
      </c>
      <c r="AD16" t="n">
        <v>46</v>
      </c>
      <c r="AE16" t="n">
        <v>54</v>
      </c>
      <c r="AF16" t="n">
        <v>19</v>
      </c>
      <c r="AG16" t="n">
        <v>23</v>
      </c>
      <c r="AH16" t="n">
        <v>9</v>
      </c>
      <c r="AI16" t="n">
        <v>9</v>
      </c>
      <c r="AJ16" t="n">
        <v>19</v>
      </c>
      <c r="AK16" t="n">
        <v>23</v>
      </c>
      <c r="AL16" t="n">
        <v>7</v>
      </c>
      <c r="AM16" t="n">
        <v>9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HYPERLINK("http://catalog.hathitrust.org/Record/000185871","HathiTrust Record")</f>
        <v/>
      </c>
      <c r="AS16">
        <f>HYPERLINK("https://creighton-primo.hosted.exlibrisgroup.com/primo-explore/search?tab=default_tab&amp;search_scope=EVERYTHING&amp;vid=01CRU&amp;lang=en_US&amp;offset=0&amp;query=any,contains,991002976009702656","Catalog Record")</f>
        <v/>
      </c>
      <c r="AT16">
        <f>HYPERLINK("http://www.worldcat.org/oclc/551780","WorldCat Record")</f>
        <v/>
      </c>
      <c r="AU16" t="inlineStr">
        <is>
          <t>9906668893:eng</t>
        </is>
      </c>
      <c r="AV16" t="inlineStr">
        <is>
          <t>551780</t>
        </is>
      </c>
      <c r="AW16" t="inlineStr">
        <is>
          <t>991002976009702656</t>
        </is>
      </c>
      <c r="AX16" t="inlineStr">
        <is>
          <t>991002976009702656</t>
        </is>
      </c>
      <c r="AY16" t="inlineStr">
        <is>
          <t>2257737520002656</t>
        </is>
      </c>
      <c r="AZ16" t="inlineStr">
        <is>
          <t>BOOK</t>
        </is>
      </c>
      <c r="BC16" t="inlineStr">
        <is>
          <t>32285001961100</t>
        </is>
      </c>
      <c r="BD16" t="inlineStr">
        <is>
          <t>893598128</t>
        </is>
      </c>
    </row>
    <row r="17">
      <c r="A17" t="inlineStr">
        <is>
          <t>No</t>
        </is>
      </c>
      <c r="B17" t="inlineStr">
        <is>
          <t>PS1143 .A9</t>
        </is>
      </c>
      <c r="C17" t="inlineStr">
        <is>
          <t>0                      PS 1143000A  9</t>
        </is>
      </c>
      <c r="D17" t="inlineStr">
        <is>
          <t>Artemus Ward / by James C. Austin.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Austin, James C.</t>
        </is>
      </c>
      <c r="L17" t="inlineStr">
        <is>
          <t>New York : Twayne Publishers, [1964]</t>
        </is>
      </c>
      <c r="M17" t="inlineStr">
        <is>
          <t>1964</t>
        </is>
      </c>
      <c r="O17" t="inlineStr">
        <is>
          <t>eng</t>
        </is>
      </c>
      <c r="P17" t="inlineStr">
        <is>
          <t>nyu</t>
        </is>
      </c>
      <c r="Q17" t="inlineStr">
        <is>
          <t>Twayne's United States authors series, 51</t>
        </is>
      </c>
      <c r="R17" t="inlineStr">
        <is>
          <t xml:space="preserve">PS </t>
        </is>
      </c>
      <c r="S17" t="n">
        <v>1</v>
      </c>
      <c r="T17" t="n">
        <v>1</v>
      </c>
      <c r="U17" t="inlineStr">
        <is>
          <t>2000-12-19</t>
        </is>
      </c>
      <c r="V17" t="inlineStr">
        <is>
          <t>2000-12-19</t>
        </is>
      </c>
      <c r="W17" t="inlineStr">
        <is>
          <t>1994-10-12</t>
        </is>
      </c>
      <c r="X17" t="inlineStr">
        <is>
          <t>1994-10-12</t>
        </is>
      </c>
      <c r="Y17" t="n">
        <v>1066</v>
      </c>
      <c r="Z17" t="n">
        <v>970</v>
      </c>
      <c r="AA17" t="n">
        <v>1025</v>
      </c>
      <c r="AB17" t="n">
        <v>10</v>
      </c>
      <c r="AC17" t="n">
        <v>10</v>
      </c>
      <c r="AD17" t="n">
        <v>42</v>
      </c>
      <c r="AE17" t="n">
        <v>43</v>
      </c>
      <c r="AF17" t="n">
        <v>15</v>
      </c>
      <c r="AG17" t="n">
        <v>16</v>
      </c>
      <c r="AH17" t="n">
        <v>7</v>
      </c>
      <c r="AI17" t="n">
        <v>7</v>
      </c>
      <c r="AJ17" t="n">
        <v>22</v>
      </c>
      <c r="AK17" t="n">
        <v>22</v>
      </c>
      <c r="AL17" t="n">
        <v>8</v>
      </c>
      <c r="AM17" t="n">
        <v>8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HYPERLINK("http://catalog.hathitrust.org/Record/004432959","HathiTrust Record")</f>
        <v/>
      </c>
      <c r="AS17">
        <f>HYPERLINK("https://creighton-primo.hosted.exlibrisgroup.com/primo-explore/search?tab=default_tab&amp;search_scope=EVERYTHING&amp;vid=01CRU&amp;lang=en_US&amp;offset=0&amp;query=any,contains,991001171199702656","Catalog Record")</f>
        <v/>
      </c>
      <c r="AT17">
        <f>HYPERLINK("http://www.worldcat.org/oclc/188241","WorldCat Record")</f>
        <v/>
      </c>
      <c r="AU17" t="inlineStr">
        <is>
          <t>1341773:eng</t>
        </is>
      </c>
      <c r="AV17" t="inlineStr">
        <is>
          <t>188241</t>
        </is>
      </c>
      <c r="AW17" t="inlineStr">
        <is>
          <t>991001171199702656</t>
        </is>
      </c>
      <c r="AX17" t="inlineStr">
        <is>
          <t>991001171199702656</t>
        </is>
      </c>
      <c r="AY17" t="inlineStr">
        <is>
          <t>2267698410002656</t>
        </is>
      </c>
      <c r="AZ17" t="inlineStr">
        <is>
          <t>BOOK</t>
        </is>
      </c>
      <c r="BC17" t="inlineStr">
        <is>
          <t>32285001961092</t>
        </is>
      </c>
      <c r="BD17" t="inlineStr">
        <is>
          <t>893496885</t>
        </is>
      </c>
    </row>
    <row r="18">
      <c r="A18" t="inlineStr">
        <is>
          <t>No</t>
        </is>
      </c>
      <c r="B18" t="inlineStr">
        <is>
          <t>PS1143 .S4 1974</t>
        </is>
      </c>
      <c r="C18" t="inlineStr">
        <is>
          <t>0                      PS 1143000S  4           1974</t>
        </is>
      </c>
      <c r="D18" t="inlineStr">
        <is>
          <t>Artemus Ward (Charles Farrar Browne); a biography and bibliography.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Seitz, Don C. (Don Carlos), 1862-1935.</t>
        </is>
      </c>
      <c r="L18" t="inlineStr">
        <is>
          <t>New York, Beekman Publishers, 1974 [c1919]</t>
        </is>
      </c>
      <c r="M18" t="inlineStr">
        <is>
          <t>1974</t>
        </is>
      </c>
      <c r="O18" t="inlineStr">
        <is>
          <t>eng</t>
        </is>
      </c>
      <c r="P18" t="inlineStr">
        <is>
          <t>nyu</t>
        </is>
      </c>
      <c r="Q18" t="inlineStr">
        <is>
          <t>American newspapermen, 1790-1933</t>
        </is>
      </c>
      <c r="R18" t="inlineStr">
        <is>
          <t xml:space="preserve">PS </t>
        </is>
      </c>
      <c r="S18" t="n">
        <v>1</v>
      </c>
      <c r="T18" t="n">
        <v>1</v>
      </c>
      <c r="U18" t="inlineStr">
        <is>
          <t>2000-12-19</t>
        </is>
      </c>
      <c r="V18" t="inlineStr">
        <is>
          <t>2000-12-19</t>
        </is>
      </c>
      <c r="W18" t="inlineStr">
        <is>
          <t>1997-05-08</t>
        </is>
      </c>
      <c r="X18" t="inlineStr">
        <is>
          <t>1997-05-08</t>
        </is>
      </c>
      <c r="Y18" t="n">
        <v>49</v>
      </c>
      <c r="Z18" t="n">
        <v>42</v>
      </c>
      <c r="AA18" t="n">
        <v>479</v>
      </c>
      <c r="AB18" t="n">
        <v>1</v>
      </c>
      <c r="AC18" t="n">
        <v>5</v>
      </c>
      <c r="AD18" t="n">
        <v>5</v>
      </c>
      <c r="AE18" t="n">
        <v>26</v>
      </c>
      <c r="AF18" t="n">
        <v>1</v>
      </c>
      <c r="AG18" t="n">
        <v>8</v>
      </c>
      <c r="AH18" t="n">
        <v>1</v>
      </c>
      <c r="AI18" t="n">
        <v>5</v>
      </c>
      <c r="AJ18" t="n">
        <v>4</v>
      </c>
      <c r="AK18" t="n">
        <v>16</v>
      </c>
      <c r="AL18" t="n">
        <v>0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HYPERLINK("https://creighton-primo.hosted.exlibrisgroup.com/primo-explore/search?tab=default_tab&amp;search_scope=EVERYTHING&amp;vid=01CRU&amp;lang=en_US&amp;offset=0&amp;query=any,contains,991003278399702656","Catalog Record")</f>
        <v/>
      </c>
      <c r="AT18">
        <f>HYPERLINK("http://www.worldcat.org/oclc/801612","WorldCat Record")</f>
        <v/>
      </c>
      <c r="AU18" t="inlineStr">
        <is>
          <t>358784:eng</t>
        </is>
      </c>
      <c r="AV18" t="inlineStr">
        <is>
          <t>801612</t>
        </is>
      </c>
      <c r="AW18" t="inlineStr">
        <is>
          <t>991003278399702656</t>
        </is>
      </c>
      <c r="AX18" t="inlineStr">
        <is>
          <t>991003278399702656</t>
        </is>
      </c>
      <c r="AY18" t="inlineStr">
        <is>
          <t>2270056860002656</t>
        </is>
      </c>
      <c r="AZ18" t="inlineStr">
        <is>
          <t>BOOK</t>
        </is>
      </c>
      <c r="BB18" t="inlineStr">
        <is>
          <t>9780846400097</t>
        </is>
      </c>
      <c r="BC18" t="inlineStr">
        <is>
          <t>32285002656964</t>
        </is>
      </c>
      <c r="BD18" t="inlineStr">
        <is>
          <t>893623335</t>
        </is>
      </c>
    </row>
    <row r="19">
      <c r="A19" t="inlineStr">
        <is>
          <t>No</t>
        </is>
      </c>
      <c r="B19" t="inlineStr">
        <is>
          <t>PS1181 .M3 1989</t>
        </is>
      </c>
      <c r="C19" t="inlineStr">
        <is>
          <t>0                      PS 1181000M  3           1989</t>
        </is>
      </c>
      <c r="D19" t="inlineStr">
        <is>
          <t>William Cullen Bryant / by Albert F. McLean.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K19" t="inlineStr">
        <is>
          <t>McLean, Albert F.</t>
        </is>
      </c>
      <c r="L19" t="inlineStr">
        <is>
          <t>Boston : Twayne Publishers, c1989.</t>
        </is>
      </c>
      <c r="M19" t="inlineStr">
        <is>
          <t>1989</t>
        </is>
      </c>
      <c r="N19" t="inlineStr">
        <is>
          <t>Updated ed.</t>
        </is>
      </c>
      <c r="O19" t="inlineStr">
        <is>
          <t>eng</t>
        </is>
      </c>
      <c r="P19" t="inlineStr">
        <is>
          <t>mau</t>
        </is>
      </c>
      <c r="Q19" t="inlineStr">
        <is>
          <t>Twayne's United States authors series ; TUSAS 59</t>
        </is>
      </c>
      <c r="R19" t="inlineStr">
        <is>
          <t xml:space="preserve">PS </t>
        </is>
      </c>
      <c r="S19" t="n">
        <v>2</v>
      </c>
      <c r="T19" t="n">
        <v>2</v>
      </c>
      <c r="U19" t="inlineStr">
        <is>
          <t>1994-04-18</t>
        </is>
      </c>
      <c r="V19" t="inlineStr">
        <is>
          <t>1994-04-18</t>
        </is>
      </c>
      <c r="W19" t="inlineStr">
        <is>
          <t>1990-10-24</t>
        </is>
      </c>
      <c r="X19" t="inlineStr">
        <is>
          <t>1990-10-24</t>
        </is>
      </c>
      <c r="Y19" t="n">
        <v>599</v>
      </c>
      <c r="Z19" t="n">
        <v>545</v>
      </c>
      <c r="AA19" t="n">
        <v>1743</v>
      </c>
      <c r="AB19" t="n">
        <v>5</v>
      </c>
      <c r="AC19" t="n">
        <v>12</v>
      </c>
      <c r="AD19" t="n">
        <v>22</v>
      </c>
      <c r="AE19" t="n">
        <v>53</v>
      </c>
      <c r="AF19" t="n">
        <v>8</v>
      </c>
      <c r="AG19" t="n">
        <v>22</v>
      </c>
      <c r="AH19" t="n">
        <v>3</v>
      </c>
      <c r="AI19" t="n">
        <v>9</v>
      </c>
      <c r="AJ19" t="n">
        <v>12</v>
      </c>
      <c r="AK19" t="n">
        <v>22</v>
      </c>
      <c r="AL19" t="n">
        <v>4</v>
      </c>
      <c r="AM19" t="n">
        <v>10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HYPERLINK("https://creighton-primo.hosted.exlibrisgroup.com/primo-explore/search?tab=default_tab&amp;search_scope=EVERYTHING&amp;vid=01CRU&amp;lang=en_US&amp;offset=0&amp;query=any,contains,991001362529702656","Catalog Record")</f>
        <v/>
      </c>
      <c r="AT19">
        <f>HYPERLINK("http://www.worldcat.org/oclc/18523035","WorldCat Record")</f>
        <v/>
      </c>
      <c r="AU19" t="inlineStr">
        <is>
          <t>1356161:eng</t>
        </is>
      </c>
      <c r="AV19" t="inlineStr">
        <is>
          <t>18523035</t>
        </is>
      </c>
      <c r="AW19" t="inlineStr">
        <is>
          <t>991001362529702656</t>
        </is>
      </c>
      <c r="AX19" t="inlineStr">
        <is>
          <t>991001362529702656</t>
        </is>
      </c>
      <c r="AY19" t="inlineStr">
        <is>
          <t>2269286200002656</t>
        </is>
      </c>
      <c r="AZ19" t="inlineStr">
        <is>
          <t>BOOK</t>
        </is>
      </c>
      <c r="BB19" t="inlineStr">
        <is>
          <t>9780805775280</t>
        </is>
      </c>
      <c r="BC19" t="inlineStr">
        <is>
          <t>32285000362417</t>
        </is>
      </c>
      <c r="BD19" t="inlineStr">
        <is>
          <t>893340371</t>
        </is>
      </c>
    </row>
    <row r="20">
      <c r="A20" t="inlineStr">
        <is>
          <t>No</t>
        </is>
      </c>
      <c r="B20" t="inlineStr">
        <is>
          <t>PS121 .E8</t>
        </is>
      </c>
      <c r="C20" t="inlineStr">
        <is>
          <t>0                      PS 0121000E  8</t>
        </is>
      </c>
      <c r="D20" t="inlineStr">
        <is>
          <t>Essays on American literature, in honor of Jay B. Hubbell. Edited by Clarence Gohdes.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Durham, N.C., Duke University Press, 1967.</t>
        </is>
      </c>
      <c r="M20" t="inlineStr">
        <is>
          <t>1967</t>
        </is>
      </c>
      <c r="O20" t="inlineStr">
        <is>
          <t>eng</t>
        </is>
      </c>
      <c r="P20" t="inlineStr">
        <is>
          <t>ncu</t>
        </is>
      </c>
      <c r="R20" t="inlineStr">
        <is>
          <t xml:space="preserve">PS </t>
        </is>
      </c>
      <c r="S20" t="n">
        <v>5</v>
      </c>
      <c r="T20" t="n">
        <v>5</v>
      </c>
      <c r="U20" t="inlineStr">
        <is>
          <t>2000-12-13</t>
        </is>
      </c>
      <c r="V20" t="inlineStr">
        <is>
          <t>2000-12-13</t>
        </is>
      </c>
      <c r="W20" t="inlineStr">
        <is>
          <t>1997-04-29</t>
        </is>
      </c>
      <c r="X20" t="inlineStr">
        <is>
          <t>1997-04-29</t>
        </is>
      </c>
      <c r="Y20" t="n">
        <v>1032</v>
      </c>
      <c r="Z20" t="n">
        <v>932</v>
      </c>
      <c r="AA20" t="n">
        <v>950</v>
      </c>
      <c r="AB20" t="n">
        <v>9</v>
      </c>
      <c r="AC20" t="n">
        <v>9</v>
      </c>
      <c r="AD20" t="n">
        <v>40</v>
      </c>
      <c r="AE20" t="n">
        <v>40</v>
      </c>
      <c r="AF20" t="n">
        <v>14</v>
      </c>
      <c r="AG20" t="n">
        <v>14</v>
      </c>
      <c r="AH20" t="n">
        <v>8</v>
      </c>
      <c r="AI20" t="n">
        <v>8</v>
      </c>
      <c r="AJ20" t="n">
        <v>19</v>
      </c>
      <c r="AK20" t="n">
        <v>19</v>
      </c>
      <c r="AL20" t="n">
        <v>8</v>
      </c>
      <c r="AM20" t="n">
        <v>8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HYPERLINK("http://catalog.hathitrust.org/Record/001026423","HathiTrust Record")</f>
        <v/>
      </c>
      <c r="AS20">
        <f>HYPERLINK("https://creighton-primo.hosted.exlibrisgroup.com/primo-explore/search?tab=default_tab&amp;search_scope=EVERYTHING&amp;vid=01CRU&amp;lang=en_US&amp;offset=0&amp;query=any,contains,991001182539702656","Catalog Record")</f>
        <v/>
      </c>
      <c r="AT20">
        <f>HYPERLINK("http://www.worldcat.org/oclc/190788","WorldCat Record")</f>
        <v/>
      </c>
      <c r="AU20" t="inlineStr">
        <is>
          <t>346776482:eng</t>
        </is>
      </c>
      <c r="AV20" t="inlineStr">
        <is>
          <t>190788</t>
        </is>
      </c>
      <c r="AW20" t="inlineStr">
        <is>
          <t>991001182539702656</t>
        </is>
      </c>
      <c r="AX20" t="inlineStr">
        <is>
          <t>991001182539702656</t>
        </is>
      </c>
      <c r="AY20" t="inlineStr">
        <is>
          <t>2259322550002656</t>
        </is>
      </c>
      <c r="AZ20" t="inlineStr">
        <is>
          <t>BOOK</t>
        </is>
      </c>
      <c r="BC20" t="inlineStr">
        <is>
          <t>32285002594298</t>
        </is>
      </c>
      <c r="BD20" t="inlineStr">
        <is>
          <t>893614851</t>
        </is>
      </c>
    </row>
    <row r="21">
      <c r="A21" t="inlineStr">
        <is>
          <t>No</t>
        </is>
      </c>
      <c r="B21" t="inlineStr">
        <is>
          <t>PS121 .L54</t>
        </is>
      </c>
      <c r="C21" t="inlineStr">
        <is>
          <t>0                      PS 0121000L  54</t>
        </is>
      </c>
      <c r="D21" t="inlineStr">
        <is>
          <t>Literature and ideas in America : essays in memory of Harry Hayden Clark / edited by Robert Falk.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[Athens] : Ohio University Press, c1975.</t>
        </is>
      </c>
      <c r="M21" t="inlineStr">
        <is>
          <t>1975</t>
        </is>
      </c>
      <c r="O21" t="inlineStr">
        <is>
          <t>eng</t>
        </is>
      </c>
      <c r="P21" t="inlineStr">
        <is>
          <t>ohu</t>
        </is>
      </c>
      <c r="R21" t="inlineStr">
        <is>
          <t xml:space="preserve">PS </t>
        </is>
      </c>
      <c r="S21" t="n">
        <v>8</v>
      </c>
      <c r="T21" t="n">
        <v>8</v>
      </c>
      <c r="U21" t="inlineStr">
        <is>
          <t>2000-12-05</t>
        </is>
      </c>
      <c r="V21" t="inlineStr">
        <is>
          <t>2000-12-05</t>
        </is>
      </c>
      <c r="W21" t="inlineStr">
        <is>
          <t>1992-01-14</t>
        </is>
      </c>
      <c r="X21" t="inlineStr">
        <is>
          <t>1992-01-14</t>
        </is>
      </c>
      <c r="Y21" t="n">
        <v>685</v>
      </c>
      <c r="Z21" t="n">
        <v>605</v>
      </c>
      <c r="AA21" t="n">
        <v>612</v>
      </c>
      <c r="AB21" t="n">
        <v>6</v>
      </c>
      <c r="AC21" t="n">
        <v>6</v>
      </c>
      <c r="AD21" t="n">
        <v>29</v>
      </c>
      <c r="AE21" t="n">
        <v>29</v>
      </c>
      <c r="AF21" t="n">
        <v>9</v>
      </c>
      <c r="AG21" t="n">
        <v>9</v>
      </c>
      <c r="AH21" t="n">
        <v>7</v>
      </c>
      <c r="AI21" t="n">
        <v>7</v>
      </c>
      <c r="AJ21" t="n">
        <v>13</v>
      </c>
      <c r="AK21" t="n">
        <v>13</v>
      </c>
      <c r="AL21" t="n">
        <v>5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HYPERLINK("http://catalog.hathitrust.org/Record/000697586","HathiTrust Record")</f>
        <v/>
      </c>
      <c r="AS21">
        <f>HYPERLINK("https://creighton-primo.hosted.exlibrisgroup.com/primo-explore/search?tab=default_tab&amp;search_scope=EVERYTHING&amp;vid=01CRU&amp;lang=en_US&amp;offset=0&amp;query=any,contains,991003917149702656","Catalog Record")</f>
        <v/>
      </c>
      <c r="AT21">
        <f>HYPERLINK("http://www.worldcat.org/oclc/1863266","WorldCat Record")</f>
        <v/>
      </c>
      <c r="AU21" t="inlineStr">
        <is>
          <t>890406380:eng</t>
        </is>
      </c>
      <c r="AV21" t="inlineStr">
        <is>
          <t>1863266</t>
        </is>
      </c>
      <c r="AW21" t="inlineStr">
        <is>
          <t>991003917149702656</t>
        </is>
      </c>
      <c r="AX21" t="inlineStr">
        <is>
          <t>991003917149702656</t>
        </is>
      </c>
      <c r="AY21" t="inlineStr">
        <is>
          <t>2263198510002656</t>
        </is>
      </c>
      <c r="AZ21" t="inlineStr">
        <is>
          <t>BOOK</t>
        </is>
      </c>
      <c r="BB21" t="inlineStr">
        <is>
          <t>9780821401804</t>
        </is>
      </c>
      <c r="BC21" t="inlineStr">
        <is>
          <t>32285000897099</t>
        </is>
      </c>
      <c r="BD21" t="inlineStr">
        <is>
          <t>893624133</t>
        </is>
      </c>
    </row>
    <row r="22">
      <c r="A22" t="inlineStr">
        <is>
          <t>No</t>
        </is>
      </c>
      <c r="B22" t="inlineStr">
        <is>
          <t>PS121 .P3</t>
        </is>
      </c>
      <c r="C22" t="inlineStr">
        <is>
          <t>0                      PS 0121000P  3</t>
        </is>
      </c>
      <c r="D22" t="inlineStr">
        <is>
          <t>Sidelights on American literature, by Fred Lewis Pattee.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Pattee, Fred Lewis, 1863-1950.</t>
        </is>
      </c>
      <c r="L22" t="inlineStr">
        <is>
          <t>New York, The Century co., 1922.</t>
        </is>
      </c>
      <c r="M22" t="inlineStr">
        <is>
          <t>1922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PS </t>
        </is>
      </c>
      <c r="S22" t="n">
        <v>6</v>
      </c>
      <c r="T22" t="n">
        <v>6</v>
      </c>
      <c r="U22" t="inlineStr">
        <is>
          <t>2002-04-17</t>
        </is>
      </c>
      <c r="V22" t="inlineStr">
        <is>
          <t>2002-04-17</t>
        </is>
      </c>
      <c r="W22" t="inlineStr">
        <is>
          <t>1997-04-29</t>
        </is>
      </c>
      <c r="X22" t="inlineStr">
        <is>
          <t>1997-04-29</t>
        </is>
      </c>
      <c r="Y22" t="n">
        <v>378</v>
      </c>
      <c r="Z22" t="n">
        <v>365</v>
      </c>
      <c r="AA22" t="n">
        <v>390</v>
      </c>
      <c r="AB22" t="n">
        <v>3</v>
      </c>
      <c r="AC22" t="n">
        <v>3</v>
      </c>
      <c r="AD22" t="n">
        <v>17</v>
      </c>
      <c r="AE22" t="n">
        <v>18</v>
      </c>
      <c r="AF22" t="n">
        <v>7</v>
      </c>
      <c r="AG22" t="n">
        <v>7</v>
      </c>
      <c r="AH22" t="n">
        <v>1</v>
      </c>
      <c r="AI22" t="n">
        <v>2</v>
      </c>
      <c r="AJ22" t="n">
        <v>12</v>
      </c>
      <c r="AK22" t="n">
        <v>12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Yes</t>
        </is>
      </c>
      <c r="AQ22" t="inlineStr">
        <is>
          <t>No</t>
        </is>
      </c>
      <c r="AR22">
        <f>HYPERLINK("http://catalog.hathitrust.org/Record/006548971","HathiTrust Record")</f>
        <v/>
      </c>
      <c r="AS22">
        <f>HYPERLINK("https://creighton-primo.hosted.exlibrisgroup.com/primo-explore/search?tab=default_tab&amp;search_scope=EVERYTHING&amp;vid=01CRU&amp;lang=en_US&amp;offset=0&amp;query=any,contains,991003821099702656","Catalog Record")</f>
        <v/>
      </c>
      <c r="AT22">
        <f>HYPERLINK("http://www.worldcat.org/oclc/1558806","WorldCat Record")</f>
        <v/>
      </c>
      <c r="AU22" t="inlineStr">
        <is>
          <t>14005080:eng</t>
        </is>
      </c>
      <c r="AV22" t="inlineStr">
        <is>
          <t>1558806</t>
        </is>
      </c>
      <c r="AW22" t="inlineStr">
        <is>
          <t>991003821099702656</t>
        </is>
      </c>
      <c r="AX22" t="inlineStr">
        <is>
          <t>991003821099702656</t>
        </is>
      </c>
      <c r="AY22" t="inlineStr">
        <is>
          <t>2266799820002656</t>
        </is>
      </c>
      <c r="AZ22" t="inlineStr">
        <is>
          <t>BOOK</t>
        </is>
      </c>
      <c r="BC22" t="inlineStr">
        <is>
          <t>32285002594454</t>
        </is>
      </c>
      <c r="BD22" t="inlineStr">
        <is>
          <t>893781448</t>
        </is>
      </c>
    </row>
    <row r="23">
      <c r="A23" t="inlineStr">
        <is>
          <t>No</t>
        </is>
      </c>
      <c r="B23" t="inlineStr">
        <is>
          <t>PS121 .P6</t>
        </is>
      </c>
      <c r="C23" t="inlineStr">
        <is>
          <t>0                      PS 0121000P  6</t>
        </is>
      </c>
      <c r="D23" t="inlineStr">
        <is>
          <t>Popular literature in America; a symposium in honor of Lyon N. Richardson. Edited by James C. Austin [and] Donald A. Koch.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Bowling Green, Ohio, Bowling Green University Popular Press [1972]</t>
        </is>
      </c>
      <c r="M23" t="inlineStr">
        <is>
          <t>1972</t>
        </is>
      </c>
      <c r="O23" t="inlineStr">
        <is>
          <t>eng</t>
        </is>
      </c>
      <c r="P23" t="inlineStr">
        <is>
          <t>ohu</t>
        </is>
      </c>
      <c r="R23" t="inlineStr">
        <is>
          <t xml:space="preserve">PS </t>
        </is>
      </c>
      <c r="S23" t="n">
        <v>3</v>
      </c>
      <c r="T23" t="n">
        <v>3</v>
      </c>
      <c r="U23" t="inlineStr">
        <is>
          <t>1998-04-16</t>
        </is>
      </c>
      <c r="V23" t="inlineStr">
        <is>
          <t>1998-04-16</t>
        </is>
      </c>
      <c r="W23" t="inlineStr">
        <is>
          <t>1997-04-29</t>
        </is>
      </c>
      <c r="X23" t="inlineStr">
        <is>
          <t>1997-04-29</t>
        </is>
      </c>
      <c r="Y23" t="n">
        <v>294</v>
      </c>
      <c r="Z23" t="n">
        <v>259</v>
      </c>
      <c r="AA23" t="n">
        <v>266</v>
      </c>
      <c r="AB23" t="n">
        <v>3</v>
      </c>
      <c r="AC23" t="n">
        <v>3</v>
      </c>
      <c r="AD23" t="n">
        <v>13</v>
      </c>
      <c r="AE23" t="n">
        <v>13</v>
      </c>
      <c r="AF23" t="n">
        <v>4</v>
      </c>
      <c r="AG23" t="n">
        <v>4</v>
      </c>
      <c r="AH23" t="n">
        <v>4</v>
      </c>
      <c r="AI23" t="n">
        <v>4</v>
      </c>
      <c r="AJ23" t="n">
        <v>6</v>
      </c>
      <c r="AK23" t="n">
        <v>6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HYPERLINK("http://catalog.hathitrust.org/Record/001371108","HathiTrust Record")</f>
        <v/>
      </c>
      <c r="AS23">
        <f>HYPERLINK("https://creighton-primo.hosted.exlibrisgroup.com/primo-explore/search?tab=default_tab&amp;search_scope=EVERYTHING&amp;vid=01CRU&amp;lang=en_US&amp;offset=0&amp;query=any,contains,991002393899702656","Catalog Record")</f>
        <v/>
      </c>
      <c r="AT23">
        <f>HYPERLINK("http://www.worldcat.org/oclc/333501","WorldCat Record")</f>
        <v/>
      </c>
      <c r="AU23" t="inlineStr">
        <is>
          <t>809726786:eng</t>
        </is>
      </c>
      <c r="AV23" t="inlineStr">
        <is>
          <t>333501</t>
        </is>
      </c>
      <c r="AW23" t="inlineStr">
        <is>
          <t>991002393899702656</t>
        </is>
      </c>
      <c r="AX23" t="inlineStr">
        <is>
          <t>991002393899702656</t>
        </is>
      </c>
      <c r="AY23" t="inlineStr">
        <is>
          <t>2257939700002656</t>
        </is>
      </c>
      <c r="AZ23" t="inlineStr">
        <is>
          <t>BOOK</t>
        </is>
      </c>
      <c r="BB23" t="inlineStr">
        <is>
          <t>9780879720308</t>
        </is>
      </c>
      <c r="BC23" t="inlineStr">
        <is>
          <t>32285002594462</t>
        </is>
      </c>
      <c r="BD23" t="inlineStr">
        <is>
          <t>893804562</t>
        </is>
      </c>
    </row>
    <row r="24">
      <c r="A24" t="inlineStr">
        <is>
          <t>No</t>
        </is>
      </c>
      <c r="B24" t="inlineStr">
        <is>
          <t>PS121 .R6 1977</t>
        </is>
      </c>
      <c r="C24" t="inlineStr">
        <is>
          <t>0                      PS 0121000R  6           1977</t>
        </is>
      </c>
      <c r="D24" t="inlineStr">
        <is>
          <t>Romantic and modern : revaluations of literary tradition / George Bornstein, editor.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Pittsburgh : University of Pittsburgh Press, c1977.</t>
        </is>
      </c>
      <c r="M24" t="inlineStr">
        <is>
          <t>1977</t>
        </is>
      </c>
      <c r="O24" t="inlineStr">
        <is>
          <t>eng</t>
        </is>
      </c>
      <c r="P24" t="inlineStr">
        <is>
          <t>pau</t>
        </is>
      </c>
      <c r="R24" t="inlineStr">
        <is>
          <t xml:space="preserve">PS </t>
        </is>
      </c>
      <c r="S24" t="n">
        <v>3</v>
      </c>
      <c r="T24" t="n">
        <v>3</v>
      </c>
      <c r="U24" t="inlineStr">
        <is>
          <t>2004-03-30</t>
        </is>
      </c>
      <c r="V24" t="inlineStr">
        <is>
          <t>2004-03-30</t>
        </is>
      </c>
      <c r="W24" t="inlineStr">
        <is>
          <t>1992-08-20</t>
        </is>
      </c>
      <c r="X24" t="inlineStr">
        <is>
          <t>1992-08-20</t>
        </is>
      </c>
      <c r="Y24" t="n">
        <v>831</v>
      </c>
      <c r="Z24" t="n">
        <v>731</v>
      </c>
      <c r="AA24" t="n">
        <v>734</v>
      </c>
      <c r="AB24" t="n">
        <v>6</v>
      </c>
      <c r="AC24" t="n">
        <v>6</v>
      </c>
      <c r="AD24" t="n">
        <v>31</v>
      </c>
      <c r="AE24" t="n">
        <v>31</v>
      </c>
      <c r="AF24" t="n">
        <v>11</v>
      </c>
      <c r="AG24" t="n">
        <v>11</v>
      </c>
      <c r="AH24" t="n">
        <v>7</v>
      </c>
      <c r="AI24" t="n">
        <v>7</v>
      </c>
      <c r="AJ24" t="n">
        <v>13</v>
      </c>
      <c r="AK24" t="n">
        <v>13</v>
      </c>
      <c r="AL24" t="n">
        <v>5</v>
      </c>
      <c r="AM24" t="n">
        <v>5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HYPERLINK("http://catalog.hathitrust.org/Record/000084442","HathiTrust Record")</f>
        <v/>
      </c>
      <c r="AS24">
        <f>HYPERLINK("https://creighton-primo.hosted.exlibrisgroup.com/primo-explore/search?tab=default_tab&amp;search_scope=EVERYTHING&amp;vid=01CRU&amp;lang=en_US&amp;offset=0&amp;query=any,contains,991004150649702656","Catalog Record")</f>
        <v/>
      </c>
      <c r="AT24">
        <f>HYPERLINK("http://www.worldcat.org/oclc/2524019","WorldCat Record")</f>
        <v/>
      </c>
      <c r="AU24" t="inlineStr">
        <is>
          <t>146763440:eng</t>
        </is>
      </c>
      <c r="AV24" t="inlineStr">
        <is>
          <t>2524019</t>
        </is>
      </c>
      <c r="AW24" t="inlineStr">
        <is>
          <t>991004150649702656</t>
        </is>
      </c>
      <c r="AX24" t="inlineStr">
        <is>
          <t>991004150649702656</t>
        </is>
      </c>
      <c r="AY24" t="inlineStr">
        <is>
          <t>2270433490002656</t>
        </is>
      </c>
      <c r="AZ24" t="inlineStr">
        <is>
          <t>BOOK</t>
        </is>
      </c>
      <c r="BB24" t="inlineStr">
        <is>
          <t>9780822933229</t>
        </is>
      </c>
      <c r="BC24" t="inlineStr">
        <is>
          <t>32285001248946</t>
        </is>
      </c>
      <c r="BD24" t="inlineStr">
        <is>
          <t>893806729</t>
        </is>
      </c>
    </row>
    <row r="25">
      <c r="A25" t="inlineStr">
        <is>
          <t>No</t>
        </is>
      </c>
      <c r="B25" t="inlineStr">
        <is>
          <t>PS1246 .B5</t>
        </is>
      </c>
      <c r="C25" t="inlineStr">
        <is>
          <t>0                      PS 1246000B  5</t>
        </is>
      </c>
      <c r="D25" t="inlineStr">
        <is>
          <t>George W. Cable : his life and letters / by his daughter, Lucy Leffingwell Cable Bikle.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Biklé, Lucy Leffingwell Cable, 1875-1966.</t>
        </is>
      </c>
      <c r="L25" t="inlineStr">
        <is>
          <t>New York ; London : C. Scribner's sons, 1928.</t>
        </is>
      </c>
      <c r="M25" t="inlineStr">
        <is>
          <t>1928</t>
        </is>
      </c>
      <c r="O25" t="inlineStr">
        <is>
          <t>eng</t>
        </is>
      </c>
      <c r="P25" t="inlineStr">
        <is>
          <t xml:space="preserve">xx </t>
        </is>
      </c>
      <c r="R25" t="inlineStr">
        <is>
          <t xml:space="preserve">PS </t>
        </is>
      </c>
      <c r="S25" t="n">
        <v>5</v>
      </c>
      <c r="T25" t="n">
        <v>5</v>
      </c>
      <c r="U25" t="inlineStr">
        <is>
          <t>2004-02-28</t>
        </is>
      </c>
      <c r="V25" t="inlineStr">
        <is>
          <t>2004-02-28</t>
        </is>
      </c>
      <c r="W25" t="inlineStr">
        <is>
          <t>1992-02-10</t>
        </is>
      </c>
      <c r="X25" t="inlineStr">
        <is>
          <t>1992-02-10</t>
        </is>
      </c>
      <c r="Y25" t="n">
        <v>293</v>
      </c>
      <c r="Z25" t="n">
        <v>275</v>
      </c>
      <c r="AA25" t="n">
        <v>554</v>
      </c>
      <c r="AB25" t="n">
        <v>2</v>
      </c>
      <c r="AC25" t="n">
        <v>4</v>
      </c>
      <c r="AD25" t="n">
        <v>10</v>
      </c>
      <c r="AE25" t="n">
        <v>22</v>
      </c>
      <c r="AF25" t="n">
        <v>5</v>
      </c>
      <c r="AG25" t="n">
        <v>10</v>
      </c>
      <c r="AH25" t="n">
        <v>1</v>
      </c>
      <c r="AI25" t="n">
        <v>2</v>
      </c>
      <c r="AJ25" t="n">
        <v>7</v>
      </c>
      <c r="AK25" t="n">
        <v>11</v>
      </c>
      <c r="AL25" t="n">
        <v>1</v>
      </c>
      <c r="AM25" t="n">
        <v>3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HYPERLINK("http://catalog.hathitrust.org/Record/000621998","HathiTrust Record")</f>
        <v/>
      </c>
      <c r="AS25">
        <f>HYPERLINK("https://creighton-primo.hosted.exlibrisgroup.com/primo-explore/search?tab=default_tab&amp;search_scope=EVERYTHING&amp;vid=01CRU&amp;lang=en_US&amp;offset=0&amp;query=any,contains,991003112499702656","Catalog Record")</f>
        <v/>
      </c>
      <c r="AT25">
        <f>HYPERLINK("http://www.worldcat.org/oclc/657803","WorldCat Record")</f>
        <v/>
      </c>
      <c r="AU25" t="inlineStr">
        <is>
          <t>1287618:eng</t>
        </is>
      </c>
      <c r="AV25" t="inlineStr">
        <is>
          <t>657803</t>
        </is>
      </c>
      <c r="AW25" t="inlineStr">
        <is>
          <t>991003112499702656</t>
        </is>
      </c>
      <c r="AX25" t="inlineStr">
        <is>
          <t>991003112499702656</t>
        </is>
      </c>
      <c r="AY25" t="inlineStr">
        <is>
          <t>2259905400002656</t>
        </is>
      </c>
      <c r="AZ25" t="inlineStr">
        <is>
          <t>BOOK</t>
        </is>
      </c>
      <c r="BC25" t="inlineStr">
        <is>
          <t>32285000954429</t>
        </is>
      </c>
      <c r="BD25" t="inlineStr">
        <is>
          <t>893416052</t>
        </is>
      </c>
    </row>
    <row r="26">
      <c r="A26" t="inlineStr">
        <is>
          <t>No</t>
        </is>
      </c>
      <c r="B26" t="inlineStr">
        <is>
          <t>PS1246 .B8</t>
        </is>
      </c>
      <c r="C26" t="inlineStr">
        <is>
          <t>0                      PS 1246000B  8</t>
        </is>
      </c>
      <c r="D26" t="inlineStr">
        <is>
          <t>George W. Cable : the Northampton years.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Yes</t>
        </is>
      </c>
      <c r="J26" t="inlineStr">
        <is>
          <t>0</t>
        </is>
      </c>
      <c r="K26" t="inlineStr">
        <is>
          <t>Butcher, Philip, 1918-2011.</t>
        </is>
      </c>
      <c r="L26" t="inlineStr">
        <is>
          <t>New York : Columbia University Press, 1959.</t>
        </is>
      </c>
      <c r="M26" t="inlineStr">
        <is>
          <t>1959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PS </t>
        </is>
      </c>
      <c r="S26" t="n">
        <v>7</v>
      </c>
      <c r="T26" t="n">
        <v>7</v>
      </c>
      <c r="U26" t="inlineStr">
        <is>
          <t>1999-01-22</t>
        </is>
      </c>
      <c r="V26" t="inlineStr">
        <is>
          <t>1999-01-22</t>
        </is>
      </c>
      <c r="W26" t="inlineStr">
        <is>
          <t>1992-02-10</t>
        </is>
      </c>
      <c r="X26" t="inlineStr">
        <is>
          <t>1992-02-10</t>
        </is>
      </c>
      <c r="Y26" t="n">
        <v>525</v>
      </c>
      <c r="Z26" t="n">
        <v>491</v>
      </c>
      <c r="AA26" t="n">
        <v>1272</v>
      </c>
      <c r="AB26" t="n">
        <v>3</v>
      </c>
      <c r="AC26" t="n">
        <v>10</v>
      </c>
      <c r="AD26" t="n">
        <v>23</v>
      </c>
      <c r="AE26" t="n">
        <v>53</v>
      </c>
      <c r="AF26" t="n">
        <v>9</v>
      </c>
      <c r="AG26" t="n">
        <v>24</v>
      </c>
      <c r="AH26" t="n">
        <v>4</v>
      </c>
      <c r="AI26" t="n">
        <v>9</v>
      </c>
      <c r="AJ26" t="n">
        <v>14</v>
      </c>
      <c r="AK26" t="n">
        <v>23</v>
      </c>
      <c r="AL26" t="n">
        <v>2</v>
      </c>
      <c r="AM26" t="n">
        <v>9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HYPERLINK("http://catalog.hathitrust.org/Record/000622001","HathiTrust Record")</f>
        <v/>
      </c>
      <c r="AS26">
        <f>HYPERLINK("https://creighton-primo.hosted.exlibrisgroup.com/primo-explore/search?tab=default_tab&amp;search_scope=EVERYTHING&amp;vid=01CRU&amp;lang=en_US&amp;offset=0&amp;query=any,contains,991002143079702656","Catalog Record")</f>
        <v/>
      </c>
      <c r="AT26">
        <f>HYPERLINK("http://www.worldcat.org/oclc/270951","WorldCat Record")</f>
        <v/>
      </c>
      <c r="AU26" t="inlineStr">
        <is>
          <t>5090513842:eng</t>
        </is>
      </c>
      <c r="AV26" t="inlineStr">
        <is>
          <t>270951</t>
        </is>
      </c>
      <c r="AW26" t="inlineStr">
        <is>
          <t>991002143079702656</t>
        </is>
      </c>
      <c r="AX26" t="inlineStr">
        <is>
          <t>991002143079702656</t>
        </is>
      </c>
      <c r="AY26" t="inlineStr">
        <is>
          <t>2263654690002656</t>
        </is>
      </c>
      <c r="AZ26" t="inlineStr">
        <is>
          <t>BOOK</t>
        </is>
      </c>
      <c r="BC26" t="inlineStr">
        <is>
          <t>32285000954403</t>
        </is>
      </c>
      <c r="BD26" t="inlineStr">
        <is>
          <t>893621957</t>
        </is>
      </c>
    </row>
    <row r="27">
      <c r="A27" t="inlineStr">
        <is>
          <t>No</t>
        </is>
      </c>
      <c r="B27" t="inlineStr">
        <is>
          <t>PS129 .C27 1987</t>
        </is>
      </c>
      <c r="C27" t="inlineStr">
        <is>
          <t>0                      PS 0129000C  27          1987</t>
        </is>
      </c>
      <c r="D27" t="inlineStr">
        <is>
          <t>Geniuses together : American writers in Paris in the 1920s / Humphrey Carpenter.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Carpenter, Humphrey.</t>
        </is>
      </c>
      <c r="L27" t="inlineStr">
        <is>
          <t>London : Unwin Hyman, 1987.</t>
        </is>
      </c>
      <c r="M27" t="inlineStr">
        <is>
          <t>1987</t>
        </is>
      </c>
      <c r="O27" t="inlineStr">
        <is>
          <t>eng</t>
        </is>
      </c>
      <c r="P27" t="inlineStr">
        <is>
          <t>enk</t>
        </is>
      </c>
      <c r="R27" t="inlineStr">
        <is>
          <t xml:space="preserve">PS </t>
        </is>
      </c>
      <c r="S27" t="n">
        <v>2</v>
      </c>
      <c r="T27" t="n">
        <v>2</v>
      </c>
      <c r="U27" t="inlineStr">
        <is>
          <t>1995-11-05</t>
        </is>
      </c>
      <c r="V27" t="inlineStr">
        <is>
          <t>1995-11-05</t>
        </is>
      </c>
      <c r="W27" t="inlineStr">
        <is>
          <t>1992-08-20</t>
        </is>
      </c>
      <c r="X27" t="inlineStr">
        <is>
          <t>1992-08-20</t>
        </is>
      </c>
      <c r="Y27" t="n">
        <v>212</v>
      </c>
      <c r="Z27" t="n">
        <v>108</v>
      </c>
      <c r="AA27" t="n">
        <v>698</v>
      </c>
      <c r="AB27" t="n">
        <v>2</v>
      </c>
      <c r="AC27" t="n">
        <v>4</v>
      </c>
      <c r="AD27" t="n">
        <v>4</v>
      </c>
      <c r="AE27" t="n">
        <v>19</v>
      </c>
      <c r="AF27" t="n">
        <v>1</v>
      </c>
      <c r="AG27" t="n">
        <v>7</v>
      </c>
      <c r="AH27" t="n">
        <v>1</v>
      </c>
      <c r="AI27" t="n">
        <v>7</v>
      </c>
      <c r="AJ27" t="n">
        <v>2</v>
      </c>
      <c r="AK27" t="n">
        <v>11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HYPERLINK("http://catalog.hathitrust.org/Record/000883303","HathiTrust Record")</f>
        <v/>
      </c>
      <c r="AS27">
        <f>HYPERLINK("https://creighton-primo.hosted.exlibrisgroup.com/primo-explore/search?tab=default_tab&amp;search_scope=EVERYTHING&amp;vid=01CRU&amp;lang=en_US&amp;offset=0&amp;query=any,contains,991001112069702656","Catalog Record")</f>
        <v/>
      </c>
      <c r="AT27">
        <f>HYPERLINK("http://www.worldcat.org/oclc/17551271","WorldCat Record")</f>
        <v/>
      </c>
      <c r="AU27" t="inlineStr">
        <is>
          <t>836701186:eng</t>
        </is>
      </c>
      <c r="AV27" t="inlineStr">
        <is>
          <t>17551271</t>
        </is>
      </c>
      <c r="AW27" t="inlineStr">
        <is>
          <t>991001112069702656</t>
        </is>
      </c>
      <c r="AX27" t="inlineStr">
        <is>
          <t>991001112069702656</t>
        </is>
      </c>
      <c r="AY27" t="inlineStr">
        <is>
          <t>2263865400002656</t>
        </is>
      </c>
      <c r="AZ27" t="inlineStr">
        <is>
          <t>BOOK</t>
        </is>
      </c>
      <c r="BB27" t="inlineStr">
        <is>
          <t>9780044400677</t>
        </is>
      </c>
      <c r="BC27" t="inlineStr">
        <is>
          <t>32285001248979</t>
        </is>
      </c>
      <c r="BD27" t="inlineStr">
        <is>
          <t>893602330</t>
        </is>
      </c>
    </row>
    <row r="28">
      <c r="A28" t="inlineStr">
        <is>
          <t>No</t>
        </is>
      </c>
      <c r="B28" t="inlineStr">
        <is>
          <t>PS129 .C56 2004</t>
        </is>
      </c>
      <c r="C28" t="inlineStr">
        <is>
          <t>0                      PS 0129000C  56          2004</t>
        </is>
      </c>
      <c r="D28" t="inlineStr">
        <is>
          <t>A chance meeting : intertwined lives of American writers and artists, 1854-1967 / Rachel Cohen.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Cohen, Rachel, 1973-</t>
        </is>
      </c>
      <c r="L28" t="inlineStr">
        <is>
          <t>New York : Random House, c2004.</t>
        </is>
      </c>
      <c r="M28" t="inlineStr">
        <is>
          <t>2004</t>
        </is>
      </c>
      <c r="N28" t="inlineStr">
        <is>
          <t>1st ed.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PS </t>
        </is>
      </c>
      <c r="S28" t="n">
        <v>3</v>
      </c>
      <c r="T28" t="n">
        <v>3</v>
      </c>
      <c r="U28" t="inlineStr">
        <is>
          <t>2005-05-03</t>
        </is>
      </c>
      <c r="V28" t="inlineStr">
        <is>
          <t>2005-05-03</t>
        </is>
      </c>
      <c r="W28" t="inlineStr">
        <is>
          <t>2004-11-02</t>
        </is>
      </c>
      <c r="X28" t="inlineStr">
        <is>
          <t>2004-11-02</t>
        </is>
      </c>
      <c r="Y28" t="n">
        <v>1003</v>
      </c>
      <c r="Z28" t="n">
        <v>959</v>
      </c>
      <c r="AA28" t="n">
        <v>1044</v>
      </c>
      <c r="AB28" t="n">
        <v>6</v>
      </c>
      <c r="AC28" t="n">
        <v>6</v>
      </c>
      <c r="AD28" t="n">
        <v>37</v>
      </c>
      <c r="AE28" t="n">
        <v>37</v>
      </c>
      <c r="AF28" t="n">
        <v>17</v>
      </c>
      <c r="AG28" t="n">
        <v>17</v>
      </c>
      <c r="AH28" t="n">
        <v>9</v>
      </c>
      <c r="AI28" t="n">
        <v>9</v>
      </c>
      <c r="AJ28" t="n">
        <v>16</v>
      </c>
      <c r="AK28" t="n">
        <v>16</v>
      </c>
      <c r="AL28" t="n">
        <v>4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HYPERLINK("http://catalog.hathitrust.org/Record/004372199","HathiTrust Record")</f>
        <v/>
      </c>
      <c r="AS28">
        <f>HYPERLINK("https://creighton-primo.hosted.exlibrisgroup.com/primo-explore/search?tab=default_tab&amp;search_scope=EVERYTHING&amp;vid=01CRU&amp;lang=en_US&amp;offset=0&amp;query=any,contains,991004283929702656","Catalog Record")</f>
        <v/>
      </c>
      <c r="AT28">
        <f>HYPERLINK("http://www.worldcat.org/oclc/52644502","WorldCat Record")</f>
        <v/>
      </c>
      <c r="AU28" t="inlineStr">
        <is>
          <t>753782:eng</t>
        </is>
      </c>
      <c r="AV28" t="inlineStr">
        <is>
          <t>52644502</t>
        </is>
      </c>
      <c r="AW28" t="inlineStr">
        <is>
          <t>991004283929702656</t>
        </is>
      </c>
      <c r="AX28" t="inlineStr">
        <is>
          <t>991004283929702656</t>
        </is>
      </c>
      <c r="AY28" t="inlineStr">
        <is>
          <t>2254886110002656</t>
        </is>
      </c>
      <c r="AZ28" t="inlineStr">
        <is>
          <t>BOOK</t>
        </is>
      </c>
      <c r="BB28" t="inlineStr">
        <is>
          <t>9781400061648</t>
        </is>
      </c>
      <c r="BC28" t="inlineStr">
        <is>
          <t>32285005008023</t>
        </is>
      </c>
      <c r="BD28" t="inlineStr">
        <is>
          <t>893235286</t>
        </is>
      </c>
    </row>
    <row r="29">
      <c r="A29" t="inlineStr">
        <is>
          <t>No</t>
        </is>
      </c>
      <c r="B29" t="inlineStr">
        <is>
          <t>PS129 .C6 1985</t>
        </is>
      </c>
      <c r="C29" t="inlineStr">
        <is>
          <t>0                      PS 0129000C  6           1985</t>
        </is>
      </c>
      <c r="D29" t="inlineStr">
        <is>
          <t>Conversations with contemporary American writers : Saul Bellow, I.B. Singer, Joyce Carol Oates, David Madden, Barry Beckham, Josephine Miles, Gerald Stern, Stephen Dunn, Etheridge Knight, Marilynne Robinson, William Stafford / Sanford Pinsker.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Amsterdam : Rodopi, 1985.</t>
        </is>
      </c>
      <c r="M29" t="inlineStr">
        <is>
          <t>1985</t>
        </is>
      </c>
      <c r="O29" t="inlineStr">
        <is>
          <t>eng</t>
        </is>
      </c>
      <c r="P29" t="inlineStr">
        <is>
          <t xml:space="preserve">ne </t>
        </is>
      </c>
      <c r="Q29" t="inlineStr">
        <is>
          <t>Costerus ; new ser., v. 50</t>
        </is>
      </c>
      <c r="R29" t="inlineStr">
        <is>
          <t xml:space="preserve">PS </t>
        </is>
      </c>
      <c r="S29" t="n">
        <v>2</v>
      </c>
      <c r="T29" t="n">
        <v>2</v>
      </c>
      <c r="U29" t="inlineStr">
        <is>
          <t>1998-04-16</t>
        </is>
      </c>
      <c r="V29" t="inlineStr">
        <is>
          <t>1998-04-16</t>
        </is>
      </c>
      <c r="W29" t="inlineStr">
        <is>
          <t>1992-08-20</t>
        </is>
      </c>
      <c r="X29" t="inlineStr">
        <is>
          <t>1992-08-20</t>
        </is>
      </c>
      <c r="Y29" t="n">
        <v>231</v>
      </c>
      <c r="Z29" t="n">
        <v>182</v>
      </c>
      <c r="AA29" t="n">
        <v>183</v>
      </c>
      <c r="AB29" t="n">
        <v>2</v>
      </c>
      <c r="AC29" t="n">
        <v>2</v>
      </c>
      <c r="AD29" t="n">
        <v>7</v>
      </c>
      <c r="AE29" t="n">
        <v>7</v>
      </c>
      <c r="AF29" t="n">
        <v>1</v>
      </c>
      <c r="AG29" t="n">
        <v>1</v>
      </c>
      <c r="AH29" t="n">
        <v>4</v>
      </c>
      <c r="AI29" t="n">
        <v>4</v>
      </c>
      <c r="AJ29" t="n">
        <v>4</v>
      </c>
      <c r="AK29" t="n">
        <v>4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HYPERLINK("https://creighton-primo.hosted.exlibrisgroup.com/primo-explore/search?tab=default_tab&amp;search_scope=EVERYTHING&amp;vid=01CRU&amp;lang=en_US&amp;offset=0&amp;query=any,contains,991000599229702656","Catalog Record")</f>
        <v/>
      </c>
      <c r="AT29">
        <f>HYPERLINK("http://www.worldcat.org/oclc/11826097","WorldCat Record")</f>
        <v/>
      </c>
      <c r="AU29" t="inlineStr">
        <is>
          <t>889987882:eng</t>
        </is>
      </c>
      <c r="AV29" t="inlineStr">
        <is>
          <t>11826097</t>
        </is>
      </c>
      <c r="AW29" t="inlineStr">
        <is>
          <t>991000599229702656</t>
        </is>
      </c>
      <c r="AX29" t="inlineStr">
        <is>
          <t>991000599229702656</t>
        </is>
      </c>
      <c r="AY29" t="inlineStr">
        <is>
          <t>2258901490002656</t>
        </is>
      </c>
      <c r="AZ29" t="inlineStr">
        <is>
          <t>BOOK</t>
        </is>
      </c>
      <c r="BB29" t="inlineStr">
        <is>
          <t>9789062039869</t>
        </is>
      </c>
      <c r="BC29" t="inlineStr">
        <is>
          <t>32285001248987</t>
        </is>
      </c>
      <c r="BD29" t="inlineStr">
        <is>
          <t>893327428</t>
        </is>
      </c>
    </row>
    <row r="30">
      <c r="A30" t="inlineStr">
        <is>
          <t>No</t>
        </is>
      </c>
      <c r="B30" t="inlineStr">
        <is>
          <t>PS129 .D84 1983</t>
        </is>
      </c>
      <c r="C30" t="inlineStr">
        <is>
          <t>0                      PS 0129000D  84          1983</t>
        </is>
      </c>
      <c r="D30" t="inlineStr">
        <is>
          <t>Distant obligations : modern American writers and foreign causes / David C. Duke.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Duke, David C.</t>
        </is>
      </c>
      <c r="L30" t="inlineStr">
        <is>
          <t>New York : Oxford University Press, 1983.</t>
        </is>
      </c>
      <c r="M30" t="inlineStr">
        <is>
          <t>1983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PS </t>
        </is>
      </c>
      <c r="S30" t="n">
        <v>3</v>
      </c>
      <c r="T30" t="n">
        <v>3</v>
      </c>
      <c r="U30" t="inlineStr">
        <is>
          <t>1999-02-26</t>
        </is>
      </c>
      <c r="V30" t="inlineStr">
        <is>
          <t>1999-02-26</t>
        </is>
      </c>
      <c r="W30" t="inlineStr">
        <is>
          <t>1992-08-20</t>
        </is>
      </c>
      <c r="X30" t="inlineStr">
        <is>
          <t>1992-08-20</t>
        </is>
      </c>
      <c r="Y30" t="n">
        <v>528</v>
      </c>
      <c r="Z30" t="n">
        <v>431</v>
      </c>
      <c r="AA30" t="n">
        <v>437</v>
      </c>
      <c r="AB30" t="n">
        <v>4</v>
      </c>
      <c r="AC30" t="n">
        <v>4</v>
      </c>
      <c r="AD30" t="n">
        <v>24</v>
      </c>
      <c r="AE30" t="n">
        <v>24</v>
      </c>
      <c r="AF30" t="n">
        <v>9</v>
      </c>
      <c r="AG30" t="n">
        <v>9</v>
      </c>
      <c r="AH30" t="n">
        <v>7</v>
      </c>
      <c r="AI30" t="n">
        <v>7</v>
      </c>
      <c r="AJ30" t="n">
        <v>13</v>
      </c>
      <c r="AK30" t="n">
        <v>13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HYPERLINK("http://catalog.hathitrust.org/Record/000156914","HathiTrust Record")</f>
        <v/>
      </c>
      <c r="AS30">
        <f>HYPERLINK("https://creighton-primo.hosted.exlibrisgroup.com/primo-explore/search?tab=default_tab&amp;search_scope=EVERYTHING&amp;vid=01CRU&amp;lang=en_US&amp;offset=0&amp;query=any,contains,991005241689702656","Catalog Record")</f>
        <v/>
      </c>
      <c r="AT30">
        <f>HYPERLINK("http://www.worldcat.org/oclc/8429893","WorldCat Record")</f>
        <v/>
      </c>
      <c r="AU30" t="inlineStr">
        <is>
          <t>836692943:eng</t>
        </is>
      </c>
      <c r="AV30" t="inlineStr">
        <is>
          <t>8429893</t>
        </is>
      </c>
      <c r="AW30" t="inlineStr">
        <is>
          <t>991005241689702656</t>
        </is>
      </c>
      <c r="AX30" t="inlineStr">
        <is>
          <t>991005241689702656</t>
        </is>
      </c>
      <c r="AY30" t="inlineStr">
        <is>
          <t>2268834250002656</t>
        </is>
      </c>
      <c r="AZ30" t="inlineStr">
        <is>
          <t>BOOK</t>
        </is>
      </c>
      <c r="BB30" t="inlineStr">
        <is>
          <t>9780195032215</t>
        </is>
      </c>
      <c r="BC30" t="inlineStr">
        <is>
          <t>32285001248995</t>
        </is>
      </c>
      <c r="BD30" t="inlineStr">
        <is>
          <t>893613370</t>
        </is>
      </c>
    </row>
    <row r="31">
      <c r="A31" t="inlineStr">
        <is>
          <t>No</t>
        </is>
      </c>
      <c r="B31" t="inlineStr">
        <is>
          <t>PS129 .R63 1992</t>
        </is>
      </c>
      <c r="C31" t="inlineStr">
        <is>
          <t>0                      PS 0129000R  63          1992</t>
        </is>
      </c>
      <c r="D31" t="inlineStr">
        <is>
          <t>Alien ink : the FBI's war on freedom of expression / Natalie Robins.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Robins, Natalie S.</t>
        </is>
      </c>
      <c r="L31" t="inlineStr">
        <is>
          <t>New York : W. Morrow, c1992.</t>
        </is>
      </c>
      <c r="M31" t="inlineStr">
        <is>
          <t>1992</t>
        </is>
      </c>
      <c r="N31" t="inlineStr">
        <is>
          <t>1st ed.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PS </t>
        </is>
      </c>
      <c r="S31" t="n">
        <v>8</v>
      </c>
      <c r="T31" t="n">
        <v>8</v>
      </c>
      <c r="U31" t="inlineStr">
        <is>
          <t>1994-12-22</t>
        </is>
      </c>
      <c r="V31" t="inlineStr">
        <is>
          <t>1994-12-22</t>
        </is>
      </c>
      <c r="W31" t="inlineStr">
        <is>
          <t>1992-05-08</t>
        </is>
      </c>
      <c r="X31" t="inlineStr">
        <is>
          <t>1992-05-08</t>
        </is>
      </c>
      <c r="Y31" t="n">
        <v>938</v>
      </c>
      <c r="Z31" t="n">
        <v>880</v>
      </c>
      <c r="AA31" t="n">
        <v>982</v>
      </c>
      <c r="AB31" t="n">
        <v>5</v>
      </c>
      <c r="AC31" t="n">
        <v>7</v>
      </c>
      <c r="AD31" t="n">
        <v>39</v>
      </c>
      <c r="AE31" t="n">
        <v>43</v>
      </c>
      <c r="AF31" t="n">
        <v>13</v>
      </c>
      <c r="AG31" t="n">
        <v>13</v>
      </c>
      <c r="AH31" t="n">
        <v>8</v>
      </c>
      <c r="AI31" t="n">
        <v>8</v>
      </c>
      <c r="AJ31" t="n">
        <v>15</v>
      </c>
      <c r="AK31" t="n">
        <v>17</v>
      </c>
      <c r="AL31" t="n">
        <v>3</v>
      </c>
      <c r="AM31" t="n">
        <v>5</v>
      </c>
      <c r="AN31" t="n">
        <v>8</v>
      </c>
      <c r="AO31" t="n">
        <v>8</v>
      </c>
      <c r="AP31" t="inlineStr">
        <is>
          <t>No</t>
        </is>
      </c>
      <c r="AQ31" t="inlineStr">
        <is>
          <t>Yes</t>
        </is>
      </c>
      <c r="AR31">
        <f>HYPERLINK("http://catalog.hathitrust.org/Record/002533727","HathiTrust Record")</f>
        <v/>
      </c>
      <c r="AS31">
        <f>HYPERLINK("https://creighton-primo.hosted.exlibrisgroup.com/primo-explore/search?tab=default_tab&amp;search_scope=EVERYTHING&amp;vid=01CRU&amp;lang=en_US&amp;offset=0&amp;query=any,contains,991001906799702656","Catalog Record")</f>
        <v/>
      </c>
      <c r="AT31">
        <f>HYPERLINK("http://www.worldcat.org/oclc/24068995","WorldCat Record")</f>
        <v/>
      </c>
      <c r="AU31" t="inlineStr">
        <is>
          <t>25165655:eng</t>
        </is>
      </c>
      <c r="AV31" t="inlineStr">
        <is>
          <t>24068995</t>
        </is>
      </c>
      <c r="AW31" t="inlineStr">
        <is>
          <t>991001906799702656</t>
        </is>
      </c>
      <c r="AX31" t="inlineStr">
        <is>
          <t>991001906799702656</t>
        </is>
      </c>
      <c r="AY31" t="inlineStr">
        <is>
          <t>2261444590002656</t>
        </is>
      </c>
      <c r="AZ31" t="inlineStr">
        <is>
          <t>BOOK</t>
        </is>
      </c>
      <c r="BB31" t="inlineStr">
        <is>
          <t>9780688068851</t>
        </is>
      </c>
      <c r="BC31" t="inlineStr">
        <is>
          <t>32285001039055</t>
        </is>
      </c>
      <c r="BD31" t="inlineStr">
        <is>
          <t>893516660</t>
        </is>
      </c>
    </row>
    <row r="32">
      <c r="A32" t="inlineStr">
        <is>
          <t>No</t>
        </is>
      </c>
      <c r="B32" t="inlineStr">
        <is>
          <t>PS1292.C6 Z68</t>
        </is>
      </c>
      <c r="C32" t="inlineStr">
        <is>
          <t>0                      PS 1292000C  6                  Z  68</t>
        </is>
      </c>
      <c r="D32" t="inlineStr">
        <is>
          <t>Charles Waddell Chesnutt, pioneer of the color line.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Chesnutt, Helen M.</t>
        </is>
      </c>
      <c r="L32" t="inlineStr">
        <is>
          <t>Chapel Hill, University of North Carolina Press [1952]</t>
        </is>
      </c>
      <c r="M32" t="inlineStr">
        <is>
          <t>1952</t>
        </is>
      </c>
      <c r="O32" t="inlineStr">
        <is>
          <t>eng</t>
        </is>
      </c>
      <c r="P32" t="inlineStr">
        <is>
          <t>ncu</t>
        </is>
      </c>
      <c r="R32" t="inlineStr">
        <is>
          <t xml:space="preserve">PS </t>
        </is>
      </c>
      <c r="S32" t="n">
        <v>7</v>
      </c>
      <c r="T32" t="n">
        <v>7</v>
      </c>
      <c r="U32" t="inlineStr">
        <is>
          <t>2000-03-21</t>
        </is>
      </c>
      <c r="V32" t="inlineStr">
        <is>
          <t>2000-03-21</t>
        </is>
      </c>
      <c r="W32" t="inlineStr">
        <is>
          <t>1997-05-09</t>
        </is>
      </c>
      <c r="X32" t="inlineStr">
        <is>
          <t>1997-05-09</t>
        </is>
      </c>
      <c r="Y32" t="n">
        <v>556</v>
      </c>
      <c r="Z32" t="n">
        <v>534</v>
      </c>
      <c r="AA32" t="n">
        <v>576</v>
      </c>
      <c r="AB32" t="n">
        <v>3</v>
      </c>
      <c r="AC32" t="n">
        <v>4</v>
      </c>
      <c r="AD32" t="n">
        <v>21</v>
      </c>
      <c r="AE32" t="n">
        <v>25</v>
      </c>
      <c r="AF32" t="n">
        <v>10</v>
      </c>
      <c r="AG32" t="n">
        <v>11</v>
      </c>
      <c r="AH32" t="n">
        <v>5</v>
      </c>
      <c r="AI32" t="n">
        <v>5</v>
      </c>
      <c r="AJ32" t="n">
        <v>8</v>
      </c>
      <c r="AK32" t="n">
        <v>8</v>
      </c>
      <c r="AL32" t="n">
        <v>2</v>
      </c>
      <c r="AM32" t="n">
        <v>2</v>
      </c>
      <c r="AN32" t="n">
        <v>0</v>
      </c>
      <c r="AO32" t="n">
        <v>3</v>
      </c>
      <c r="AP32" t="inlineStr">
        <is>
          <t>No</t>
        </is>
      </c>
      <c r="AQ32" t="inlineStr">
        <is>
          <t>No</t>
        </is>
      </c>
      <c r="AR32">
        <f>HYPERLINK("http://catalog.hathitrust.org/Record/000626595","HathiTrust Record")</f>
        <v/>
      </c>
      <c r="AS32">
        <f>HYPERLINK("https://creighton-primo.hosted.exlibrisgroup.com/primo-explore/search?tab=default_tab&amp;search_scope=EVERYTHING&amp;vid=01CRU&amp;lang=en_US&amp;offset=0&amp;query=any,contains,991003132449702656","Catalog Record")</f>
        <v/>
      </c>
      <c r="AT32">
        <f>HYPERLINK("http://www.worldcat.org/oclc/675290","WorldCat Record")</f>
        <v/>
      </c>
      <c r="AU32" t="inlineStr">
        <is>
          <t>579360:eng</t>
        </is>
      </c>
      <c r="AV32" t="inlineStr">
        <is>
          <t>675290</t>
        </is>
      </c>
      <c r="AW32" t="inlineStr">
        <is>
          <t>991003132449702656</t>
        </is>
      </c>
      <c r="AX32" t="inlineStr">
        <is>
          <t>991003132449702656</t>
        </is>
      </c>
      <c r="AY32" t="inlineStr">
        <is>
          <t>2267369100002656</t>
        </is>
      </c>
      <c r="AZ32" t="inlineStr">
        <is>
          <t>BOOK</t>
        </is>
      </c>
      <c r="BC32" t="inlineStr">
        <is>
          <t>32285002657475</t>
        </is>
      </c>
      <c r="BD32" t="inlineStr">
        <is>
          <t>893899655</t>
        </is>
      </c>
    </row>
    <row r="33">
      <c r="A33" t="inlineStr">
        <is>
          <t>No</t>
        </is>
      </c>
      <c r="B33" t="inlineStr">
        <is>
          <t>PS1292.C6 Z7 1974</t>
        </is>
      </c>
      <c r="C33" t="inlineStr">
        <is>
          <t>0                      PS 1292000C  6                  Z  7           1974</t>
        </is>
      </c>
      <c r="D33" t="inlineStr">
        <is>
          <t>Charles W. Chesnutt; America's first great Black novelist / by J. Noel Heermance.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Heermance, J. Noel.</t>
        </is>
      </c>
      <c r="L33" t="inlineStr">
        <is>
          <t>[Hamden, Conn.] Archon Books, 1974.</t>
        </is>
      </c>
      <c r="M33" t="inlineStr">
        <is>
          <t>1974</t>
        </is>
      </c>
      <c r="O33" t="inlineStr">
        <is>
          <t>eng</t>
        </is>
      </c>
      <c r="P33" t="inlineStr">
        <is>
          <t>ctu</t>
        </is>
      </c>
      <c r="R33" t="inlineStr">
        <is>
          <t xml:space="preserve">PS </t>
        </is>
      </c>
      <c r="S33" t="n">
        <v>2</v>
      </c>
      <c r="T33" t="n">
        <v>2</v>
      </c>
      <c r="U33" t="inlineStr">
        <is>
          <t>2000-03-21</t>
        </is>
      </c>
      <c r="V33" t="inlineStr">
        <is>
          <t>2000-03-21</t>
        </is>
      </c>
      <c r="W33" t="inlineStr">
        <is>
          <t>1990-10-24</t>
        </is>
      </c>
      <c r="X33" t="inlineStr">
        <is>
          <t>1990-10-24</t>
        </is>
      </c>
      <c r="Y33" t="n">
        <v>832</v>
      </c>
      <c r="Z33" t="n">
        <v>766</v>
      </c>
      <c r="AA33" t="n">
        <v>774</v>
      </c>
      <c r="AB33" t="n">
        <v>5</v>
      </c>
      <c r="AC33" t="n">
        <v>5</v>
      </c>
      <c r="AD33" t="n">
        <v>32</v>
      </c>
      <c r="AE33" t="n">
        <v>32</v>
      </c>
      <c r="AF33" t="n">
        <v>10</v>
      </c>
      <c r="AG33" t="n">
        <v>10</v>
      </c>
      <c r="AH33" t="n">
        <v>8</v>
      </c>
      <c r="AI33" t="n">
        <v>8</v>
      </c>
      <c r="AJ33" t="n">
        <v>16</v>
      </c>
      <c r="AK33" t="n">
        <v>16</v>
      </c>
      <c r="AL33" t="n">
        <v>4</v>
      </c>
      <c r="AM33" t="n">
        <v>4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HYPERLINK("http://catalog.hathitrust.org/Record/000009962","HathiTrust Record")</f>
        <v/>
      </c>
      <c r="AS33">
        <f>HYPERLINK("https://creighton-primo.hosted.exlibrisgroup.com/primo-explore/search?tab=default_tab&amp;search_scope=EVERYTHING&amp;vid=01CRU&amp;lang=en_US&amp;offset=0&amp;query=any,contains,991003162019702656","Catalog Record")</f>
        <v/>
      </c>
      <c r="AT33">
        <f>HYPERLINK("http://www.worldcat.org/oclc/700821","WorldCat Record")</f>
        <v/>
      </c>
      <c r="AU33" t="inlineStr">
        <is>
          <t>309017893:eng</t>
        </is>
      </c>
      <c r="AV33" t="inlineStr">
        <is>
          <t>700821</t>
        </is>
      </c>
      <c r="AW33" t="inlineStr">
        <is>
          <t>991003162019702656</t>
        </is>
      </c>
      <c r="AX33" t="inlineStr">
        <is>
          <t>991003162019702656</t>
        </is>
      </c>
      <c r="AY33" t="inlineStr">
        <is>
          <t>2255516000002656</t>
        </is>
      </c>
      <c r="AZ33" t="inlineStr">
        <is>
          <t>BOOK</t>
        </is>
      </c>
      <c r="BB33" t="inlineStr">
        <is>
          <t>9780208013804</t>
        </is>
      </c>
      <c r="BC33" t="inlineStr">
        <is>
          <t>32285000362425</t>
        </is>
      </c>
      <c r="BD33" t="inlineStr">
        <is>
          <t>893330031</t>
        </is>
      </c>
    </row>
    <row r="34">
      <c r="A34" t="inlineStr">
        <is>
          <t>No</t>
        </is>
      </c>
      <c r="B34" t="inlineStr">
        <is>
          <t>PS1294.C63 S4</t>
        </is>
      </c>
      <c r="C34" t="inlineStr">
        <is>
          <t>0                      PS 1294000C  63                 S  4</t>
        </is>
      </c>
      <c r="D34" t="inlineStr">
        <is>
          <t>Kate Chopin : a critical biography.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Seyersted, Per, 1921-2005.</t>
        </is>
      </c>
      <c r="L34" t="inlineStr">
        <is>
          <t>Oslo : Universitetsforlaget ; Baton Rouge : Louisiana State University Press, 1969.</t>
        </is>
      </c>
      <c r="M34" t="inlineStr">
        <is>
          <t>1969</t>
        </is>
      </c>
      <c r="O34" t="inlineStr">
        <is>
          <t>eng</t>
        </is>
      </c>
      <c r="P34" t="inlineStr">
        <is>
          <t xml:space="preserve">no </t>
        </is>
      </c>
      <c r="Q34" t="inlineStr">
        <is>
          <t>Publications of the American Institute, University of Oslo</t>
        </is>
      </c>
      <c r="R34" t="inlineStr">
        <is>
          <t xml:space="preserve">PS </t>
        </is>
      </c>
      <c r="S34" t="n">
        <v>15</v>
      </c>
      <c r="T34" t="n">
        <v>15</v>
      </c>
      <c r="U34" t="inlineStr">
        <is>
          <t>1997-10-05</t>
        </is>
      </c>
      <c r="V34" t="inlineStr">
        <is>
          <t>1997-10-05</t>
        </is>
      </c>
      <c r="W34" t="inlineStr">
        <is>
          <t>1995-06-30</t>
        </is>
      </c>
      <c r="X34" t="inlineStr">
        <is>
          <t>1995-06-30</t>
        </is>
      </c>
      <c r="Y34" t="n">
        <v>824</v>
      </c>
      <c r="Z34" t="n">
        <v>742</v>
      </c>
      <c r="AA34" t="n">
        <v>1198</v>
      </c>
      <c r="AB34" t="n">
        <v>9</v>
      </c>
      <c r="AC34" t="n">
        <v>10</v>
      </c>
      <c r="AD34" t="n">
        <v>30</v>
      </c>
      <c r="AE34" t="n">
        <v>49</v>
      </c>
      <c r="AF34" t="n">
        <v>12</v>
      </c>
      <c r="AG34" t="n">
        <v>22</v>
      </c>
      <c r="AH34" t="n">
        <v>2</v>
      </c>
      <c r="AI34" t="n">
        <v>6</v>
      </c>
      <c r="AJ34" t="n">
        <v>11</v>
      </c>
      <c r="AK34" t="n">
        <v>21</v>
      </c>
      <c r="AL34" t="n">
        <v>8</v>
      </c>
      <c r="AM34" t="n">
        <v>9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HYPERLINK("http://catalog.hathitrust.org/Record/000627825","HathiTrust Record")</f>
        <v/>
      </c>
      <c r="AS34">
        <f>HYPERLINK("https://creighton-primo.hosted.exlibrisgroup.com/primo-explore/search?tab=default_tab&amp;search_scope=EVERYTHING&amp;vid=01CRU&amp;lang=en_US&amp;offset=0&amp;query=any,contains,991000083489702656","Catalog Record")</f>
        <v/>
      </c>
      <c r="AT34">
        <f>HYPERLINK("http://www.worldcat.org/oclc/32563","WorldCat Record")</f>
        <v/>
      </c>
      <c r="AU34" t="inlineStr">
        <is>
          <t>451333:eng</t>
        </is>
      </c>
      <c r="AV34" t="inlineStr">
        <is>
          <t>32563</t>
        </is>
      </c>
      <c r="AW34" t="inlineStr">
        <is>
          <t>991000083489702656</t>
        </is>
      </c>
      <c r="AX34" t="inlineStr">
        <is>
          <t>991000083489702656</t>
        </is>
      </c>
      <c r="AY34" t="inlineStr">
        <is>
          <t>2258294740002656</t>
        </is>
      </c>
      <c r="AZ34" t="inlineStr">
        <is>
          <t>BOOK</t>
        </is>
      </c>
      <c r="BB34" t="inlineStr">
        <is>
          <t>9780807109151</t>
        </is>
      </c>
      <c r="BC34" t="inlineStr">
        <is>
          <t>32285002021896</t>
        </is>
      </c>
      <c r="BD34" t="inlineStr">
        <is>
          <t>893514976</t>
        </is>
      </c>
    </row>
    <row r="35">
      <c r="A35" t="inlineStr">
        <is>
          <t>No</t>
        </is>
      </c>
      <c r="B35" t="inlineStr">
        <is>
          <t>PS1298 .T5</t>
        </is>
      </c>
      <c r="C35" t="inlineStr">
        <is>
          <t>0                      PS 1298000T  5</t>
        </is>
      </c>
      <c r="D35" t="inlineStr">
        <is>
          <t>Winston Churchill.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Titus, Warren Irving.</t>
        </is>
      </c>
      <c r="L35" t="inlineStr">
        <is>
          <t>New York : Twayne Publishers, [c1963]</t>
        </is>
      </c>
      <c r="M35" t="inlineStr">
        <is>
          <t>1963</t>
        </is>
      </c>
      <c r="O35" t="inlineStr">
        <is>
          <t>eng</t>
        </is>
      </c>
      <c r="P35" t="inlineStr">
        <is>
          <t>nyu</t>
        </is>
      </c>
      <c r="Q35" t="inlineStr">
        <is>
          <t>Twayne's United States authors series, 43</t>
        </is>
      </c>
      <c r="R35" t="inlineStr">
        <is>
          <t xml:space="preserve">PS </t>
        </is>
      </c>
      <c r="S35" t="n">
        <v>1</v>
      </c>
      <c r="T35" t="n">
        <v>1</v>
      </c>
      <c r="U35" t="inlineStr">
        <is>
          <t>2001-04-11</t>
        </is>
      </c>
      <c r="V35" t="inlineStr">
        <is>
          <t>2001-04-11</t>
        </is>
      </c>
      <c r="W35" t="inlineStr">
        <is>
          <t>1994-10-12</t>
        </is>
      </c>
      <c r="X35" t="inlineStr">
        <is>
          <t>1994-10-12</t>
        </is>
      </c>
      <c r="Y35" t="n">
        <v>1274</v>
      </c>
      <c r="Z35" t="n">
        <v>1169</v>
      </c>
      <c r="AA35" t="n">
        <v>1203</v>
      </c>
      <c r="AB35" t="n">
        <v>7</v>
      </c>
      <c r="AC35" t="n">
        <v>8</v>
      </c>
      <c r="AD35" t="n">
        <v>44</v>
      </c>
      <c r="AE35" t="n">
        <v>45</v>
      </c>
      <c r="AF35" t="n">
        <v>19</v>
      </c>
      <c r="AG35" t="n">
        <v>19</v>
      </c>
      <c r="AH35" t="n">
        <v>7</v>
      </c>
      <c r="AI35" t="n">
        <v>7</v>
      </c>
      <c r="AJ35" t="n">
        <v>23</v>
      </c>
      <c r="AK35" t="n">
        <v>23</v>
      </c>
      <c r="AL35" t="n">
        <v>5</v>
      </c>
      <c r="AM35" t="n">
        <v>6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HYPERLINK("http://catalog.hathitrust.org/Record/000663902","HathiTrust Record")</f>
        <v/>
      </c>
      <c r="AS35">
        <f>HYPERLINK("https://creighton-primo.hosted.exlibrisgroup.com/primo-explore/search?tab=default_tab&amp;search_scope=EVERYTHING&amp;vid=01CRU&amp;lang=en_US&amp;offset=0&amp;query=any,contains,991002143059702656","Catalog Record")</f>
        <v/>
      </c>
      <c r="AT35">
        <f>HYPERLINK("http://www.worldcat.org/oclc/270945","WorldCat Record")</f>
        <v/>
      </c>
      <c r="AU35" t="inlineStr">
        <is>
          <t>4915532429:eng</t>
        </is>
      </c>
      <c r="AV35" t="inlineStr">
        <is>
          <t>270945</t>
        </is>
      </c>
      <c r="AW35" t="inlineStr">
        <is>
          <t>991002143059702656</t>
        </is>
      </c>
      <c r="AX35" t="inlineStr">
        <is>
          <t>991002143059702656</t>
        </is>
      </c>
      <c r="AY35" t="inlineStr">
        <is>
          <t>2263675930002656</t>
        </is>
      </c>
      <c r="AZ35" t="inlineStr">
        <is>
          <t>BOOK</t>
        </is>
      </c>
      <c r="BC35" t="inlineStr">
        <is>
          <t>32285001961035</t>
        </is>
      </c>
      <c r="BD35" t="inlineStr">
        <is>
          <t>893244800</t>
        </is>
      </c>
    </row>
    <row r="36">
      <c r="A36" t="inlineStr">
        <is>
          <t>No</t>
        </is>
      </c>
      <c r="B36" t="inlineStr">
        <is>
          <t>PS1326 .D3 1986</t>
        </is>
      </c>
      <c r="C36" t="inlineStr">
        <is>
          <t>0                      PS 1326000D  3           1986</t>
        </is>
      </c>
      <c r="D36" t="inlineStr">
        <is>
          <t>Mark Twain and his illustrators / by Beverly R. David.</t>
        </is>
      </c>
      <c r="E36" t="inlineStr">
        <is>
          <t>V. 2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David, Beverly R.</t>
        </is>
      </c>
      <c r="L36" t="inlineStr">
        <is>
          <t>Troy, N.Y. : Whitston Pub. Co., 1986-</t>
        </is>
      </c>
      <c r="M36" t="inlineStr">
        <is>
          <t>1986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PS </t>
        </is>
      </c>
      <c r="S36" t="n">
        <v>1</v>
      </c>
      <c r="T36" t="n">
        <v>1</v>
      </c>
      <c r="U36" t="inlineStr">
        <is>
          <t>2002-02-19</t>
        </is>
      </c>
      <c r="V36" t="inlineStr">
        <is>
          <t>2002-02-19</t>
        </is>
      </c>
      <c r="W36" t="inlineStr">
        <is>
          <t>2002-02-19</t>
        </is>
      </c>
      <c r="X36" t="inlineStr">
        <is>
          <t>2002-02-19</t>
        </is>
      </c>
      <c r="Y36" t="n">
        <v>400</v>
      </c>
      <c r="Z36" t="n">
        <v>362</v>
      </c>
      <c r="AA36" t="n">
        <v>444</v>
      </c>
      <c r="AB36" t="n">
        <v>3</v>
      </c>
      <c r="AC36" t="n">
        <v>3</v>
      </c>
      <c r="AD36" t="n">
        <v>16</v>
      </c>
      <c r="AE36" t="n">
        <v>22</v>
      </c>
      <c r="AF36" t="n">
        <v>7</v>
      </c>
      <c r="AG36" t="n">
        <v>12</v>
      </c>
      <c r="AH36" t="n">
        <v>4</v>
      </c>
      <c r="AI36" t="n">
        <v>5</v>
      </c>
      <c r="AJ36" t="n">
        <v>8</v>
      </c>
      <c r="AK36" t="n">
        <v>9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HYPERLINK("http://catalog.hathitrust.org/Record/000812580","HathiTrust Record")</f>
        <v/>
      </c>
      <c r="AS36">
        <f>HYPERLINK("https://creighton-primo.hosted.exlibrisgroup.com/primo-explore/search?tab=default_tab&amp;search_scope=EVERYTHING&amp;vid=01CRU&amp;lang=en_US&amp;offset=0&amp;query=any,contains,991003736209702656","Catalog Record")</f>
        <v/>
      </c>
      <c r="AT36">
        <f>HYPERLINK("http://www.worldcat.org/oclc/14000248","WorldCat Record")</f>
        <v/>
      </c>
      <c r="AU36" t="inlineStr">
        <is>
          <t>2865593220:eng</t>
        </is>
      </c>
      <c r="AV36" t="inlineStr">
        <is>
          <t>14000248</t>
        </is>
      </c>
      <c r="AW36" t="inlineStr">
        <is>
          <t>991003736209702656</t>
        </is>
      </c>
      <c r="AX36" t="inlineStr">
        <is>
          <t>991003736209702656</t>
        </is>
      </c>
      <c r="AY36" t="inlineStr">
        <is>
          <t>2256360090002656</t>
        </is>
      </c>
      <c r="AZ36" t="inlineStr">
        <is>
          <t>BOOK</t>
        </is>
      </c>
      <c r="BB36" t="inlineStr">
        <is>
          <t>9780878753079</t>
        </is>
      </c>
      <c r="BC36" t="inlineStr">
        <is>
          <t>32285004455852</t>
        </is>
      </c>
      <c r="BD36" t="inlineStr">
        <is>
          <t>893435371</t>
        </is>
      </c>
    </row>
    <row r="37">
      <c r="A37" t="inlineStr">
        <is>
          <t>No</t>
        </is>
      </c>
      <c r="B37" t="inlineStr">
        <is>
          <t>PS1331 .B9 1983</t>
        </is>
      </c>
      <c r="C37" t="inlineStr">
        <is>
          <t>0                      PS 1331000B  9           1983</t>
        </is>
      </c>
      <c r="D37" t="inlineStr">
        <is>
          <t>Our Mark Twain : the making of his public personality / Louis J. Budd.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Budd, Louis J.</t>
        </is>
      </c>
      <c r="L37" t="inlineStr">
        <is>
          <t>Philadelphia : University of Pennsylvania Press, 1983.</t>
        </is>
      </c>
      <c r="M37" t="inlineStr">
        <is>
          <t>1983</t>
        </is>
      </c>
      <c r="O37" t="inlineStr">
        <is>
          <t>eng</t>
        </is>
      </c>
      <c r="P37" t="inlineStr">
        <is>
          <t>pau</t>
        </is>
      </c>
      <c r="R37" t="inlineStr">
        <is>
          <t xml:space="preserve">PS </t>
        </is>
      </c>
      <c r="S37" t="n">
        <v>5</v>
      </c>
      <c r="T37" t="n">
        <v>5</v>
      </c>
      <c r="U37" t="inlineStr">
        <is>
          <t>1994-05-06</t>
        </is>
      </c>
      <c r="V37" t="inlineStr">
        <is>
          <t>1994-05-06</t>
        </is>
      </c>
      <c r="W37" t="inlineStr">
        <is>
          <t>1990-10-24</t>
        </is>
      </c>
      <c r="X37" t="inlineStr">
        <is>
          <t>1990-10-24</t>
        </is>
      </c>
      <c r="Y37" t="n">
        <v>982</v>
      </c>
      <c r="Z37" t="n">
        <v>886</v>
      </c>
      <c r="AA37" t="n">
        <v>893</v>
      </c>
      <c r="AB37" t="n">
        <v>7</v>
      </c>
      <c r="AC37" t="n">
        <v>7</v>
      </c>
      <c r="AD37" t="n">
        <v>47</v>
      </c>
      <c r="AE37" t="n">
        <v>47</v>
      </c>
      <c r="AF37" t="n">
        <v>22</v>
      </c>
      <c r="AG37" t="n">
        <v>22</v>
      </c>
      <c r="AH37" t="n">
        <v>10</v>
      </c>
      <c r="AI37" t="n">
        <v>10</v>
      </c>
      <c r="AJ37" t="n">
        <v>22</v>
      </c>
      <c r="AK37" t="n">
        <v>22</v>
      </c>
      <c r="AL37" t="n">
        <v>6</v>
      </c>
      <c r="AM37" t="n">
        <v>6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HYPERLINK("http://catalog.hathitrust.org/Record/000319275","HathiTrust Record")</f>
        <v/>
      </c>
      <c r="AS37">
        <f>HYPERLINK("https://creighton-primo.hosted.exlibrisgroup.com/primo-explore/search?tab=default_tab&amp;search_scope=EVERYTHING&amp;vid=01CRU&amp;lang=en_US&amp;offset=0&amp;query=any,contains,991000125289702656","Catalog Record")</f>
        <v/>
      </c>
      <c r="AT37">
        <f>HYPERLINK("http://www.worldcat.org/oclc/9082700","WorldCat Record")</f>
        <v/>
      </c>
      <c r="AU37" t="inlineStr">
        <is>
          <t>308884119:eng</t>
        </is>
      </c>
      <c r="AV37" t="inlineStr">
        <is>
          <t>9082700</t>
        </is>
      </c>
      <c r="AW37" t="inlineStr">
        <is>
          <t>991000125289702656</t>
        </is>
      </c>
      <c r="AX37" t="inlineStr">
        <is>
          <t>991000125289702656</t>
        </is>
      </c>
      <c r="AY37" t="inlineStr">
        <is>
          <t>2255170950002656</t>
        </is>
      </c>
      <c r="AZ37" t="inlineStr">
        <is>
          <t>BOOK</t>
        </is>
      </c>
      <c r="BB37" t="inlineStr">
        <is>
          <t>9780812278811</t>
        </is>
      </c>
      <c r="BC37" t="inlineStr">
        <is>
          <t>32285000362565</t>
        </is>
      </c>
      <c r="BD37" t="inlineStr">
        <is>
          <t>893345406</t>
        </is>
      </c>
    </row>
    <row r="38">
      <c r="A38" t="inlineStr">
        <is>
          <t>No</t>
        </is>
      </c>
      <c r="B38" t="inlineStr">
        <is>
          <t>PS1331 .C25 1965</t>
        </is>
      </c>
      <c r="C38" t="inlineStr">
        <is>
          <t>0                      PS 1331000C  25          1965</t>
        </is>
      </c>
      <c r="D38" t="inlineStr">
        <is>
          <t>Turn west, turn east: Mark Twain and Henry James.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Canby, Henry Seidel, 1878-1961.</t>
        </is>
      </c>
      <c r="L38" t="inlineStr">
        <is>
          <t>New York, Biblo and Tannen, 1965 [c1951]</t>
        </is>
      </c>
      <c r="M38" t="inlineStr">
        <is>
          <t>1965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PS </t>
        </is>
      </c>
      <c r="S38" t="n">
        <v>1</v>
      </c>
      <c r="T38" t="n">
        <v>1</v>
      </c>
      <c r="U38" t="inlineStr">
        <is>
          <t>2004-09-27</t>
        </is>
      </c>
      <c r="V38" t="inlineStr">
        <is>
          <t>2004-09-27</t>
        </is>
      </c>
      <c r="W38" t="inlineStr">
        <is>
          <t>1997-05-09</t>
        </is>
      </c>
      <c r="X38" t="inlineStr">
        <is>
          <t>1997-05-09</t>
        </is>
      </c>
      <c r="Y38" t="n">
        <v>458</v>
      </c>
      <c r="Z38" t="n">
        <v>396</v>
      </c>
      <c r="AA38" t="n">
        <v>1030</v>
      </c>
      <c r="AB38" t="n">
        <v>3</v>
      </c>
      <c r="AC38" t="n">
        <v>11</v>
      </c>
      <c r="AD38" t="n">
        <v>15</v>
      </c>
      <c r="AE38" t="n">
        <v>47</v>
      </c>
      <c r="AF38" t="n">
        <v>7</v>
      </c>
      <c r="AG38" t="n">
        <v>19</v>
      </c>
      <c r="AH38" t="n">
        <v>3</v>
      </c>
      <c r="AI38" t="n">
        <v>9</v>
      </c>
      <c r="AJ38" t="n">
        <v>6</v>
      </c>
      <c r="AK38" t="n">
        <v>20</v>
      </c>
      <c r="AL38" t="n">
        <v>2</v>
      </c>
      <c r="AM38" t="n">
        <v>10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HYPERLINK("http://catalog.hathitrust.org/Record/001113068","HathiTrust Record")</f>
        <v/>
      </c>
      <c r="AS38">
        <f>HYPERLINK("https://creighton-primo.hosted.exlibrisgroup.com/primo-explore/search?tab=default_tab&amp;search_scope=EVERYTHING&amp;vid=01CRU&amp;lang=en_US&amp;offset=0&amp;query=any,contains,991002143159702656","Catalog Record")</f>
        <v/>
      </c>
      <c r="AT38">
        <f>HYPERLINK("http://www.worldcat.org/oclc/270957","WorldCat Record")</f>
        <v/>
      </c>
      <c r="AU38" t="inlineStr">
        <is>
          <t>1398974:eng</t>
        </is>
      </c>
      <c r="AV38" t="inlineStr">
        <is>
          <t>270957</t>
        </is>
      </c>
      <c r="AW38" t="inlineStr">
        <is>
          <t>991002143159702656</t>
        </is>
      </c>
      <c r="AX38" t="inlineStr">
        <is>
          <t>991002143159702656</t>
        </is>
      </c>
      <c r="AY38" t="inlineStr">
        <is>
          <t>2263653660002656</t>
        </is>
      </c>
      <c r="AZ38" t="inlineStr">
        <is>
          <t>BOOK</t>
        </is>
      </c>
      <c r="BC38" t="inlineStr">
        <is>
          <t>32285002657962</t>
        </is>
      </c>
      <c r="BD38" t="inlineStr">
        <is>
          <t>893685009</t>
        </is>
      </c>
    </row>
    <row r="39">
      <c r="A39" t="inlineStr">
        <is>
          <t>No</t>
        </is>
      </c>
      <c r="B39" t="inlineStr">
        <is>
          <t>PS1331 .C456</t>
        </is>
      </c>
      <c r="C39" t="inlineStr">
        <is>
          <t>0                      PS 1331000C  456</t>
        </is>
      </c>
      <c r="D39" t="inlineStr">
        <is>
          <t>Mark Twain jest book / Foreword by Carl Sandburg.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Clemens, Cyril, 1902-1999, editor.</t>
        </is>
      </c>
      <c r="L39" t="inlineStr">
        <is>
          <t>Kirkwood, Mo. : Mark Twain journal, [1957]</t>
        </is>
      </c>
      <c r="M39" t="inlineStr">
        <is>
          <t>1957</t>
        </is>
      </c>
      <c r="O39" t="inlineStr">
        <is>
          <t>eng</t>
        </is>
      </c>
      <c r="P39" t="inlineStr">
        <is>
          <t xml:space="preserve">xx </t>
        </is>
      </c>
      <c r="R39" t="inlineStr">
        <is>
          <t xml:space="preserve">PS </t>
        </is>
      </c>
      <c r="S39" t="n">
        <v>9</v>
      </c>
      <c r="T39" t="n">
        <v>9</v>
      </c>
      <c r="U39" t="inlineStr">
        <is>
          <t>2002-02-25</t>
        </is>
      </c>
      <c r="V39" t="inlineStr">
        <is>
          <t>2002-02-25</t>
        </is>
      </c>
      <c r="W39" t="inlineStr">
        <is>
          <t>1992-04-26</t>
        </is>
      </c>
      <c r="X39" t="inlineStr">
        <is>
          <t>1992-04-26</t>
        </is>
      </c>
      <c r="Y39" t="n">
        <v>89</v>
      </c>
      <c r="Z39" t="n">
        <v>78</v>
      </c>
      <c r="AA39" t="n">
        <v>79</v>
      </c>
      <c r="AB39" t="n">
        <v>3</v>
      </c>
      <c r="AC39" t="n">
        <v>3</v>
      </c>
      <c r="AD39" t="n">
        <v>4</v>
      </c>
      <c r="AE39" t="n">
        <v>4</v>
      </c>
      <c r="AF39" t="n">
        <v>1</v>
      </c>
      <c r="AG39" t="n">
        <v>1</v>
      </c>
      <c r="AH39" t="n">
        <v>0</v>
      </c>
      <c r="AI39" t="n">
        <v>0</v>
      </c>
      <c r="AJ39" t="n">
        <v>3</v>
      </c>
      <c r="AK39" t="n">
        <v>3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HYPERLINK("http://catalog.hathitrust.org/Record/006154991","HathiTrust Record")</f>
        <v/>
      </c>
      <c r="AS39">
        <f>HYPERLINK("https://creighton-primo.hosted.exlibrisgroup.com/primo-explore/search?tab=default_tab&amp;search_scope=EVERYTHING&amp;vid=01CRU&amp;lang=en_US&amp;offset=0&amp;query=any,contains,991004419079702656","Catalog Record")</f>
        <v/>
      </c>
      <c r="AT39">
        <f>HYPERLINK("http://www.worldcat.org/oclc/3377751","WorldCat Record")</f>
        <v/>
      </c>
      <c r="AU39" t="inlineStr">
        <is>
          <t>10568024641:eng</t>
        </is>
      </c>
      <c r="AV39" t="inlineStr">
        <is>
          <t>3377751</t>
        </is>
      </c>
      <c r="AW39" t="inlineStr">
        <is>
          <t>991004419079702656</t>
        </is>
      </c>
      <c r="AX39" t="inlineStr">
        <is>
          <t>991004419079702656</t>
        </is>
      </c>
      <c r="AY39" t="inlineStr">
        <is>
          <t>2255990680002656</t>
        </is>
      </c>
      <c r="AZ39" t="inlineStr">
        <is>
          <t>BOOK</t>
        </is>
      </c>
      <c r="BC39" t="inlineStr">
        <is>
          <t>32285001087492</t>
        </is>
      </c>
      <c r="BD39" t="inlineStr">
        <is>
          <t>893718876</t>
        </is>
      </c>
    </row>
    <row r="40">
      <c r="A40" t="inlineStr">
        <is>
          <t>No</t>
        </is>
      </c>
      <c r="B40" t="inlineStr">
        <is>
          <t>PS1331 .E47 1984</t>
        </is>
      </c>
      <c r="C40" t="inlineStr">
        <is>
          <t>0                      PS 1331000E  47          1984</t>
        </is>
      </c>
      <c r="D40" t="inlineStr">
        <is>
          <t>The authentic Mark Twain : a literary biography of Samuel L. Clemens / Everett Emerson.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Emerson, Everett H., 1925-2002.</t>
        </is>
      </c>
      <c r="L40" t="inlineStr">
        <is>
          <t>Philadelphia : University of Pennsylvania Press, c1984.</t>
        </is>
      </c>
      <c r="M40" t="inlineStr">
        <is>
          <t>1983</t>
        </is>
      </c>
      <c r="O40" t="inlineStr">
        <is>
          <t>eng</t>
        </is>
      </c>
      <c r="P40" t="inlineStr">
        <is>
          <t>pau</t>
        </is>
      </c>
      <c r="R40" t="inlineStr">
        <is>
          <t xml:space="preserve">PS </t>
        </is>
      </c>
      <c r="S40" t="n">
        <v>3</v>
      </c>
      <c r="T40" t="n">
        <v>3</v>
      </c>
      <c r="U40" t="inlineStr">
        <is>
          <t>1992-02-05</t>
        </is>
      </c>
      <c r="V40" t="inlineStr">
        <is>
          <t>1992-02-05</t>
        </is>
      </c>
      <c r="W40" t="inlineStr">
        <is>
          <t>1990-10-24</t>
        </is>
      </c>
      <c r="X40" t="inlineStr">
        <is>
          <t>1990-10-24</t>
        </is>
      </c>
      <c r="Y40" t="n">
        <v>1087</v>
      </c>
      <c r="Z40" t="n">
        <v>978</v>
      </c>
      <c r="AA40" t="n">
        <v>1030</v>
      </c>
      <c r="AB40" t="n">
        <v>5</v>
      </c>
      <c r="AC40" t="n">
        <v>5</v>
      </c>
      <c r="AD40" t="n">
        <v>37</v>
      </c>
      <c r="AE40" t="n">
        <v>39</v>
      </c>
      <c r="AF40" t="n">
        <v>17</v>
      </c>
      <c r="AG40" t="n">
        <v>19</v>
      </c>
      <c r="AH40" t="n">
        <v>9</v>
      </c>
      <c r="AI40" t="n">
        <v>9</v>
      </c>
      <c r="AJ40" t="n">
        <v>19</v>
      </c>
      <c r="AK40" t="n">
        <v>19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HYPERLINK("http://catalog.hathitrust.org/Record/000280760","HathiTrust Record")</f>
        <v/>
      </c>
      <c r="AS40">
        <f>HYPERLINK("https://creighton-primo.hosted.exlibrisgroup.com/primo-explore/search?tab=default_tab&amp;search_scope=EVERYTHING&amp;vid=01CRU&amp;lang=en_US&amp;offset=0&amp;query=any,contains,991000214309702656","Catalog Record")</f>
        <v/>
      </c>
      <c r="AT40">
        <f>HYPERLINK("http://www.worldcat.org/oclc/9557207","WorldCat Record")</f>
        <v/>
      </c>
      <c r="AU40" t="inlineStr">
        <is>
          <t>21622401:eng</t>
        </is>
      </c>
      <c r="AV40" t="inlineStr">
        <is>
          <t>9557207</t>
        </is>
      </c>
      <c r="AW40" t="inlineStr">
        <is>
          <t>991000214309702656</t>
        </is>
      </c>
      <c r="AX40" t="inlineStr">
        <is>
          <t>991000214309702656</t>
        </is>
      </c>
      <c r="AY40" t="inlineStr">
        <is>
          <t>2266651310002656</t>
        </is>
      </c>
      <c r="AZ40" t="inlineStr">
        <is>
          <t>BOOK</t>
        </is>
      </c>
      <c r="BB40" t="inlineStr">
        <is>
          <t>9780812278972</t>
        </is>
      </c>
      <c r="BC40" t="inlineStr">
        <is>
          <t>32285000362573</t>
        </is>
      </c>
      <c r="BD40" t="inlineStr">
        <is>
          <t>893255272</t>
        </is>
      </c>
    </row>
    <row r="41">
      <c r="A41" t="inlineStr">
        <is>
          <t>No</t>
        </is>
      </c>
      <c r="B41" t="inlineStr">
        <is>
          <t>PS1331 .F6 1966</t>
        </is>
      </c>
      <c r="C41" t="inlineStr">
        <is>
          <t>0                      PS 1331000F  6           1966</t>
        </is>
      </c>
      <c r="D41" t="inlineStr">
        <is>
          <t>Mark Twain social critic / Philip S. Foner.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Foner, Philip Sheldon, 1910-1994.</t>
        </is>
      </c>
      <c r="L41" t="inlineStr">
        <is>
          <t>New York : International Publishers, 1966, c1958.</t>
        </is>
      </c>
      <c r="M41" t="inlineStr">
        <is>
          <t>1966</t>
        </is>
      </c>
      <c r="N41" t="inlineStr">
        <is>
          <t>2nd ed.</t>
        </is>
      </c>
      <c r="O41" t="inlineStr">
        <is>
          <t>eng</t>
        </is>
      </c>
      <c r="P41" t="inlineStr">
        <is>
          <t>nyu</t>
        </is>
      </c>
      <c r="Q41" t="inlineStr">
        <is>
          <t>New World paperbacks ; NW-9</t>
        </is>
      </c>
      <c r="R41" t="inlineStr">
        <is>
          <t xml:space="preserve">PS </t>
        </is>
      </c>
      <c r="S41" t="n">
        <v>2</v>
      </c>
      <c r="T41" t="n">
        <v>2</v>
      </c>
      <c r="U41" t="inlineStr">
        <is>
          <t>2002-02-25</t>
        </is>
      </c>
      <c r="V41" t="inlineStr">
        <is>
          <t>2002-02-25</t>
        </is>
      </c>
      <c r="W41" t="inlineStr">
        <is>
          <t>1997-05-09</t>
        </is>
      </c>
      <c r="X41" t="inlineStr">
        <is>
          <t>1997-05-09</t>
        </is>
      </c>
      <c r="Y41" t="n">
        <v>32</v>
      </c>
      <c r="Z41" t="n">
        <v>23</v>
      </c>
      <c r="AA41" t="n">
        <v>641</v>
      </c>
      <c r="AB41" t="n">
        <v>1</v>
      </c>
      <c r="AC41" t="n">
        <v>6</v>
      </c>
      <c r="AD41" t="n">
        <v>1</v>
      </c>
      <c r="AE41" t="n">
        <v>34</v>
      </c>
      <c r="AF41" t="n">
        <v>0</v>
      </c>
      <c r="AG41" t="n">
        <v>16</v>
      </c>
      <c r="AH41" t="n">
        <v>0</v>
      </c>
      <c r="AI41" t="n">
        <v>6</v>
      </c>
      <c r="AJ41" t="n">
        <v>1</v>
      </c>
      <c r="AK41" t="n">
        <v>14</v>
      </c>
      <c r="AL41" t="n">
        <v>0</v>
      </c>
      <c r="AM41" t="n">
        <v>4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HYPERLINK("https://creighton-primo.hosted.exlibrisgroup.com/primo-explore/search?tab=default_tab&amp;search_scope=EVERYTHING&amp;vid=01CRU&amp;lang=en_US&amp;offset=0&amp;query=any,contains,991001789669702656","Catalog Record")</f>
        <v/>
      </c>
      <c r="AT41">
        <f>HYPERLINK("http://www.worldcat.org/oclc/22535567","WorldCat Record")</f>
        <v/>
      </c>
      <c r="AU41" t="inlineStr">
        <is>
          <t>134689828:eng</t>
        </is>
      </c>
      <c r="AV41" t="inlineStr">
        <is>
          <t>22535567</t>
        </is>
      </c>
      <c r="AW41" t="inlineStr">
        <is>
          <t>991001789669702656</t>
        </is>
      </c>
      <c r="AX41" t="inlineStr">
        <is>
          <t>991001789669702656</t>
        </is>
      </c>
      <c r="AY41" t="inlineStr">
        <is>
          <t>2263294250002656</t>
        </is>
      </c>
      <c r="AZ41" t="inlineStr">
        <is>
          <t>BOOK</t>
        </is>
      </c>
      <c r="BC41" t="inlineStr">
        <is>
          <t>32285004855952</t>
        </is>
      </c>
      <c r="BD41" t="inlineStr">
        <is>
          <t>893715727</t>
        </is>
      </c>
    </row>
    <row r="42">
      <c r="A42" t="inlineStr">
        <is>
          <t>No</t>
        </is>
      </c>
      <c r="B42" t="inlineStr">
        <is>
          <t>PS1331 .H53 1997</t>
        </is>
      </c>
      <c r="C42" t="inlineStr">
        <is>
          <t>0                      PS 1331000H  53          1997</t>
        </is>
      </c>
      <c r="D42" t="inlineStr">
        <is>
          <t>Inventing Mark Twain : the lives of Samuel Langhorne Clemens / Andrew Hoffman.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Hoffman, Andrew Jay.</t>
        </is>
      </c>
      <c r="L42" t="inlineStr">
        <is>
          <t>New York : William Morrow and Co., c1997.</t>
        </is>
      </c>
      <c r="M42" t="inlineStr">
        <is>
          <t>1997</t>
        </is>
      </c>
      <c r="N42" t="inlineStr">
        <is>
          <t>1st ed.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PS </t>
        </is>
      </c>
      <c r="S42" t="n">
        <v>4</v>
      </c>
      <c r="T42" t="n">
        <v>4</v>
      </c>
      <c r="U42" t="inlineStr">
        <is>
          <t>2001-09-29</t>
        </is>
      </c>
      <c r="V42" t="inlineStr">
        <is>
          <t>2001-09-29</t>
        </is>
      </c>
      <c r="W42" t="inlineStr">
        <is>
          <t>1997-04-07</t>
        </is>
      </c>
      <c r="X42" t="inlineStr">
        <is>
          <t>1997-04-07</t>
        </is>
      </c>
      <c r="Y42" t="n">
        <v>1098</v>
      </c>
      <c r="Z42" t="n">
        <v>1033</v>
      </c>
      <c r="AA42" t="n">
        <v>1080</v>
      </c>
      <c r="AB42" t="n">
        <v>11</v>
      </c>
      <c r="AC42" t="n">
        <v>11</v>
      </c>
      <c r="AD42" t="n">
        <v>29</v>
      </c>
      <c r="AE42" t="n">
        <v>30</v>
      </c>
      <c r="AF42" t="n">
        <v>10</v>
      </c>
      <c r="AG42" t="n">
        <v>11</v>
      </c>
      <c r="AH42" t="n">
        <v>6</v>
      </c>
      <c r="AI42" t="n">
        <v>6</v>
      </c>
      <c r="AJ42" t="n">
        <v>13</v>
      </c>
      <c r="AK42" t="n">
        <v>13</v>
      </c>
      <c r="AL42" t="n">
        <v>6</v>
      </c>
      <c r="AM42" t="n">
        <v>6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HYPERLINK("https://creighton-primo.hosted.exlibrisgroup.com/primo-explore/search?tab=default_tab&amp;search_scope=EVERYTHING&amp;vid=01CRU&amp;lang=en_US&amp;offset=0&amp;query=any,contains,991002695369702656","Catalog Record")</f>
        <v/>
      </c>
      <c r="AT42">
        <f>HYPERLINK("http://www.worldcat.org/oclc/35192357","WorldCat Record")</f>
        <v/>
      </c>
      <c r="AU42" t="inlineStr">
        <is>
          <t>836997501:eng</t>
        </is>
      </c>
      <c r="AV42" t="inlineStr">
        <is>
          <t>35192357</t>
        </is>
      </c>
      <c r="AW42" t="inlineStr">
        <is>
          <t>991002695369702656</t>
        </is>
      </c>
      <c r="AX42" t="inlineStr">
        <is>
          <t>991002695369702656</t>
        </is>
      </c>
      <c r="AY42" t="inlineStr">
        <is>
          <t>2256389420002656</t>
        </is>
      </c>
      <c r="AZ42" t="inlineStr">
        <is>
          <t>BOOK</t>
        </is>
      </c>
      <c r="BB42" t="inlineStr">
        <is>
          <t>9780688127695</t>
        </is>
      </c>
      <c r="BC42" t="inlineStr">
        <is>
          <t>32285002479532</t>
        </is>
      </c>
      <c r="BD42" t="inlineStr">
        <is>
          <t>893427903</t>
        </is>
      </c>
    </row>
    <row r="43">
      <c r="A43" t="inlineStr">
        <is>
          <t>No</t>
        </is>
      </c>
      <c r="B43" t="inlineStr">
        <is>
          <t>PS1331 .H6</t>
        </is>
      </c>
      <c r="C43" t="inlineStr">
        <is>
          <t>0                      PS 1331000H  6</t>
        </is>
      </c>
      <c r="D43" t="inlineStr">
        <is>
          <t>My Mark Twain : reminiscences and criticisms / by W.D. Howells.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Yes</t>
        </is>
      </c>
      <c r="J43" t="inlineStr">
        <is>
          <t>0</t>
        </is>
      </c>
      <c r="K43" t="inlineStr">
        <is>
          <t>Howells, William Dean, 1837-1920.</t>
        </is>
      </c>
      <c r="L43" t="inlineStr">
        <is>
          <t>New York ; London : Harper &amp; Brothers, 1910.</t>
        </is>
      </c>
      <c r="M43" t="inlineStr">
        <is>
          <t>1910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PS </t>
        </is>
      </c>
      <c r="S43" t="n">
        <v>2</v>
      </c>
      <c r="T43" t="n">
        <v>2</v>
      </c>
      <c r="U43" t="inlineStr">
        <is>
          <t>2001-09-29</t>
        </is>
      </c>
      <c r="V43" t="inlineStr">
        <is>
          <t>2001-09-29</t>
        </is>
      </c>
      <c r="W43" t="inlineStr">
        <is>
          <t>1992-10-13</t>
        </is>
      </c>
      <c r="X43" t="inlineStr">
        <is>
          <t>1992-10-13</t>
        </is>
      </c>
      <c r="Y43" t="n">
        <v>677</v>
      </c>
      <c r="Z43" t="n">
        <v>628</v>
      </c>
      <c r="AA43" t="n">
        <v>1189</v>
      </c>
      <c r="AB43" t="n">
        <v>6</v>
      </c>
      <c r="AC43" t="n">
        <v>12</v>
      </c>
      <c r="AD43" t="n">
        <v>24</v>
      </c>
      <c r="AE43" t="n">
        <v>46</v>
      </c>
      <c r="AF43" t="n">
        <v>9</v>
      </c>
      <c r="AG43" t="n">
        <v>18</v>
      </c>
      <c r="AH43" t="n">
        <v>6</v>
      </c>
      <c r="AI43" t="n">
        <v>11</v>
      </c>
      <c r="AJ43" t="n">
        <v>12</v>
      </c>
      <c r="AK43" t="n">
        <v>19</v>
      </c>
      <c r="AL43" t="n">
        <v>5</v>
      </c>
      <c r="AM43" t="n">
        <v>9</v>
      </c>
      <c r="AN43" t="n">
        <v>0</v>
      </c>
      <c r="AO43" t="n">
        <v>0</v>
      </c>
      <c r="AP43" t="inlineStr">
        <is>
          <t>Yes</t>
        </is>
      </c>
      <c r="AQ43" t="inlineStr">
        <is>
          <t>No</t>
        </is>
      </c>
      <c r="AR43">
        <f>HYPERLINK("http://catalog.hathitrust.org/Record/000665121","HathiTrust Record")</f>
        <v/>
      </c>
      <c r="AS43">
        <f>HYPERLINK("https://creighton-primo.hosted.exlibrisgroup.com/primo-explore/search?tab=default_tab&amp;search_scope=EVERYTHING&amp;vid=01CRU&amp;lang=en_US&amp;offset=0&amp;query=any,contains,991001174479702656","Catalog Record")</f>
        <v/>
      </c>
      <c r="AT43">
        <f>HYPERLINK("http://www.worldcat.org/oclc/188737","WorldCat Record")</f>
        <v/>
      </c>
      <c r="AU43" t="inlineStr">
        <is>
          <t>4921327782:eng</t>
        </is>
      </c>
      <c r="AV43" t="inlineStr">
        <is>
          <t>188737</t>
        </is>
      </c>
      <c r="AW43" t="inlineStr">
        <is>
          <t>991001174479702656</t>
        </is>
      </c>
      <c r="AX43" t="inlineStr">
        <is>
          <t>991001174479702656</t>
        </is>
      </c>
      <c r="AY43" t="inlineStr">
        <is>
          <t>2267949390002656</t>
        </is>
      </c>
      <c r="AZ43" t="inlineStr">
        <is>
          <t>BOOK</t>
        </is>
      </c>
      <c r="BC43" t="inlineStr">
        <is>
          <t>32285001346385</t>
        </is>
      </c>
      <c r="BD43" t="inlineStr">
        <is>
          <t>893602385</t>
        </is>
      </c>
    </row>
    <row r="44">
      <c r="A44" t="inlineStr">
        <is>
          <t>No</t>
        </is>
      </c>
      <c r="B44" t="inlineStr">
        <is>
          <t>PS1331 .K325 1974</t>
        </is>
      </c>
      <c r="C44" t="inlineStr">
        <is>
          <t>0                      PS 1331000K  325         1974</t>
        </is>
      </c>
      <c r="D44" t="inlineStr">
        <is>
          <t>Mark Twain and his world / Justin Kaplan.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Kaplan, Justin.</t>
        </is>
      </c>
      <c r="L44" t="inlineStr">
        <is>
          <t>New York : Simon and Schuster, [1974]</t>
        </is>
      </c>
      <c r="M44" t="inlineStr">
        <is>
          <t>1974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PS </t>
        </is>
      </c>
      <c r="S44" t="n">
        <v>5</v>
      </c>
      <c r="T44" t="n">
        <v>5</v>
      </c>
      <c r="U44" t="inlineStr">
        <is>
          <t>2003-06-24</t>
        </is>
      </c>
      <c r="V44" t="inlineStr">
        <is>
          <t>2003-06-24</t>
        </is>
      </c>
      <c r="W44" t="inlineStr">
        <is>
          <t>1993-12-15</t>
        </is>
      </c>
      <c r="X44" t="inlineStr">
        <is>
          <t>1993-12-15</t>
        </is>
      </c>
      <c r="Y44" t="n">
        <v>1556</v>
      </c>
      <c r="Z44" t="n">
        <v>1478</v>
      </c>
      <c r="AA44" t="n">
        <v>1882</v>
      </c>
      <c r="AB44" t="n">
        <v>13</v>
      </c>
      <c r="AC44" t="n">
        <v>18</v>
      </c>
      <c r="AD44" t="n">
        <v>37</v>
      </c>
      <c r="AE44" t="n">
        <v>44</v>
      </c>
      <c r="AF44" t="n">
        <v>11</v>
      </c>
      <c r="AG44" t="n">
        <v>14</v>
      </c>
      <c r="AH44" t="n">
        <v>8</v>
      </c>
      <c r="AI44" t="n">
        <v>8</v>
      </c>
      <c r="AJ44" t="n">
        <v>21</v>
      </c>
      <c r="AK44" t="n">
        <v>23</v>
      </c>
      <c r="AL44" t="n">
        <v>7</v>
      </c>
      <c r="AM44" t="n">
        <v>10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HYPERLINK("http://catalog.hathitrust.org/Record/000664560","HathiTrust Record")</f>
        <v/>
      </c>
      <c r="AS44">
        <f>HYPERLINK("https://creighton-primo.hosted.exlibrisgroup.com/primo-explore/search?tab=default_tab&amp;search_scope=EVERYTHING&amp;vid=01CRU&amp;lang=en_US&amp;offset=0&amp;query=any,contains,991003519019702656","Catalog Record")</f>
        <v/>
      </c>
      <c r="AT44">
        <f>HYPERLINK("http://www.worldcat.org/oclc/1078271","WorldCat Record")</f>
        <v/>
      </c>
      <c r="AU44" t="inlineStr">
        <is>
          <t>516645:eng</t>
        </is>
      </c>
      <c r="AV44" t="inlineStr">
        <is>
          <t>1078271</t>
        </is>
      </c>
      <c r="AW44" t="inlineStr">
        <is>
          <t>991003519019702656</t>
        </is>
      </c>
      <c r="AX44" t="inlineStr">
        <is>
          <t>991003519019702656</t>
        </is>
      </c>
      <c r="AY44" t="inlineStr">
        <is>
          <t>2258714400002656</t>
        </is>
      </c>
      <c r="AZ44" t="inlineStr">
        <is>
          <t>BOOK</t>
        </is>
      </c>
      <c r="BB44" t="inlineStr">
        <is>
          <t>9780671214623</t>
        </is>
      </c>
      <c r="BC44" t="inlineStr">
        <is>
          <t>32285001808913</t>
        </is>
      </c>
      <c r="BD44" t="inlineStr">
        <is>
          <t>893258509</t>
        </is>
      </c>
    </row>
    <row r="45">
      <c r="A45" t="inlineStr">
        <is>
          <t>No</t>
        </is>
      </c>
      <c r="B45" t="inlineStr">
        <is>
          <t>PS1331 .L38 1985</t>
        </is>
      </c>
      <c r="C45" t="inlineStr">
        <is>
          <t>0                      PS 1331000L  38          1985</t>
        </is>
      </c>
      <c r="D45" t="inlineStr">
        <is>
          <t>The making of Mark Twain : a biography / by John Lauber.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Yes</t>
        </is>
      </c>
      <c r="J45" t="inlineStr">
        <is>
          <t>0</t>
        </is>
      </c>
      <c r="K45" t="inlineStr">
        <is>
          <t>Lauber, John, 1925-</t>
        </is>
      </c>
      <c r="L45" t="inlineStr">
        <is>
          <t>New York : American Heritage Press ; Boston : Distributed by Houghton Mifflin, 1985.</t>
        </is>
      </c>
      <c r="M45" t="inlineStr">
        <is>
          <t>1985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PS </t>
        </is>
      </c>
      <c r="S45" t="n">
        <v>5</v>
      </c>
      <c r="T45" t="n">
        <v>5</v>
      </c>
      <c r="U45" t="inlineStr">
        <is>
          <t>1995-11-08</t>
        </is>
      </c>
      <c r="V45" t="inlineStr">
        <is>
          <t>1995-11-08</t>
        </is>
      </c>
      <c r="W45" t="inlineStr">
        <is>
          <t>1990-06-07</t>
        </is>
      </c>
      <c r="X45" t="inlineStr">
        <is>
          <t>1990-06-07</t>
        </is>
      </c>
      <c r="Y45" t="n">
        <v>1199</v>
      </c>
      <c r="Z45" t="n">
        <v>1118</v>
      </c>
      <c r="AA45" t="n">
        <v>1174</v>
      </c>
      <c r="AB45" t="n">
        <v>9</v>
      </c>
      <c r="AC45" t="n">
        <v>11</v>
      </c>
      <c r="AD45" t="n">
        <v>30</v>
      </c>
      <c r="AE45" t="n">
        <v>34</v>
      </c>
      <c r="AF45" t="n">
        <v>13</v>
      </c>
      <c r="AG45" t="n">
        <v>15</v>
      </c>
      <c r="AH45" t="n">
        <v>7</v>
      </c>
      <c r="AI45" t="n">
        <v>7</v>
      </c>
      <c r="AJ45" t="n">
        <v>14</v>
      </c>
      <c r="AK45" t="n">
        <v>14</v>
      </c>
      <c r="AL45" t="n">
        <v>4</v>
      </c>
      <c r="AM45" t="n">
        <v>6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HYPERLINK("http://catalog.hathitrust.org/Record/000351482","HathiTrust Record")</f>
        <v/>
      </c>
      <c r="AS45">
        <f>HYPERLINK("https://creighton-primo.hosted.exlibrisgroup.com/primo-explore/search?tab=default_tab&amp;search_scope=EVERYTHING&amp;vid=01CRU&amp;lang=en_US&amp;offset=0&amp;query=any,contains,991000610679702656","Catalog Record")</f>
        <v/>
      </c>
      <c r="AT45">
        <f>HYPERLINK("http://www.worldcat.org/oclc/11915057","WorldCat Record")</f>
        <v/>
      </c>
      <c r="AU45" t="inlineStr">
        <is>
          <t>878755:eng</t>
        </is>
      </c>
      <c r="AV45" t="inlineStr">
        <is>
          <t>11915057</t>
        </is>
      </c>
      <c r="AW45" t="inlineStr">
        <is>
          <t>991000610679702656</t>
        </is>
      </c>
      <c r="AX45" t="inlineStr">
        <is>
          <t>991000610679702656</t>
        </is>
      </c>
      <c r="AY45" t="inlineStr">
        <is>
          <t>2269019010002656</t>
        </is>
      </c>
      <c r="AZ45" t="inlineStr">
        <is>
          <t>BOOK</t>
        </is>
      </c>
      <c r="BB45" t="inlineStr">
        <is>
          <t>9780828111850</t>
        </is>
      </c>
      <c r="BC45" t="inlineStr">
        <is>
          <t>32285000184167</t>
        </is>
      </c>
      <c r="BD45" t="inlineStr">
        <is>
          <t>893903090</t>
        </is>
      </c>
    </row>
    <row r="46">
      <c r="A46" t="inlineStr">
        <is>
          <t>No</t>
        </is>
      </c>
      <c r="B46" t="inlineStr">
        <is>
          <t>PS1331 .L42</t>
        </is>
      </c>
      <c r="C46" t="inlineStr">
        <is>
          <t>0                      PS 1331000L  42</t>
        </is>
      </c>
      <c r="D46" t="inlineStr">
        <is>
          <t>A casebook on Mark Twain's wound.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Leary, Lewis, 1906-1990, editor.</t>
        </is>
      </c>
      <c r="L46" t="inlineStr">
        <is>
          <t>New York : Crowell, [1962]</t>
        </is>
      </c>
      <c r="M46" t="inlineStr">
        <is>
          <t>1962</t>
        </is>
      </c>
      <c r="O46" t="inlineStr">
        <is>
          <t>eng</t>
        </is>
      </c>
      <c r="P46" t="inlineStr">
        <is>
          <t>nyu</t>
        </is>
      </c>
      <c r="Q46" t="inlineStr">
        <is>
          <t>Crowell literary casebooks</t>
        </is>
      </c>
      <c r="R46" t="inlineStr">
        <is>
          <t xml:space="preserve">PS </t>
        </is>
      </c>
      <c r="S46" t="n">
        <v>3</v>
      </c>
      <c r="T46" t="n">
        <v>3</v>
      </c>
      <c r="U46" t="inlineStr">
        <is>
          <t>1993-02-17</t>
        </is>
      </c>
      <c r="V46" t="inlineStr">
        <is>
          <t>1993-02-17</t>
        </is>
      </c>
      <c r="W46" t="inlineStr">
        <is>
          <t>1992-02-03</t>
        </is>
      </c>
      <c r="X46" t="inlineStr">
        <is>
          <t>1992-02-03</t>
        </is>
      </c>
      <c r="Y46" t="n">
        <v>480</v>
      </c>
      <c r="Z46" t="n">
        <v>421</v>
      </c>
      <c r="AA46" t="n">
        <v>428</v>
      </c>
      <c r="AB46" t="n">
        <v>6</v>
      </c>
      <c r="AC46" t="n">
        <v>6</v>
      </c>
      <c r="AD46" t="n">
        <v>23</v>
      </c>
      <c r="AE46" t="n">
        <v>23</v>
      </c>
      <c r="AF46" t="n">
        <v>9</v>
      </c>
      <c r="AG46" t="n">
        <v>9</v>
      </c>
      <c r="AH46" t="n">
        <v>4</v>
      </c>
      <c r="AI46" t="n">
        <v>4</v>
      </c>
      <c r="AJ46" t="n">
        <v>10</v>
      </c>
      <c r="AK46" t="n">
        <v>10</v>
      </c>
      <c r="AL46" t="n">
        <v>5</v>
      </c>
      <c r="AM46" t="n">
        <v>5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HYPERLINK("http://catalog.hathitrust.org/Record/001113071","HathiTrust Record")</f>
        <v/>
      </c>
      <c r="AS46">
        <f>HYPERLINK("https://creighton-primo.hosted.exlibrisgroup.com/primo-explore/search?tab=default_tab&amp;search_scope=EVERYTHING&amp;vid=01CRU&amp;lang=en_US&amp;offset=0&amp;query=any,contains,991002143389702656","Catalog Record")</f>
        <v/>
      </c>
      <c r="AT46">
        <f>HYPERLINK("http://www.worldcat.org/oclc/271008","WorldCat Record")</f>
        <v/>
      </c>
      <c r="AU46" t="inlineStr">
        <is>
          <t>308847422:eng</t>
        </is>
      </c>
      <c r="AV46" t="inlineStr">
        <is>
          <t>271008</t>
        </is>
      </c>
      <c r="AW46" t="inlineStr">
        <is>
          <t>991002143389702656</t>
        </is>
      </c>
      <c r="AX46" t="inlineStr">
        <is>
          <t>991002143389702656</t>
        </is>
      </c>
      <c r="AY46" t="inlineStr">
        <is>
          <t>2261885790002656</t>
        </is>
      </c>
      <c r="AZ46" t="inlineStr">
        <is>
          <t>BOOK</t>
        </is>
      </c>
      <c r="BC46" t="inlineStr">
        <is>
          <t>32285000932920</t>
        </is>
      </c>
      <c r="BD46" t="inlineStr">
        <is>
          <t>893262103</t>
        </is>
      </c>
    </row>
    <row r="47">
      <c r="A47" t="inlineStr">
        <is>
          <t>No</t>
        </is>
      </c>
      <c r="B47" t="inlineStr">
        <is>
          <t>PS1331 .M38</t>
        </is>
      </c>
      <c r="C47" t="inlineStr">
        <is>
          <t>0                      PS 1331000M  38</t>
        </is>
      </c>
      <c r="D47" t="inlineStr">
        <is>
          <t>Mark Twain himself : a pictorial biography / produced by Milton Meltzer.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Twain, Mark, 1835-1910.</t>
        </is>
      </c>
      <c r="L47" t="inlineStr">
        <is>
          <t>New York : Crowell, c1960.</t>
        </is>
      </c>
      <c r="M47" t="inlineStr">
        <is>
          <t>1960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PS </t>
        </is>
      </c>
      <c r="S47" t="n">
        <v>6</v>
      </c>
      <c r="T47" t="n">
        <v>6</v>
      </c>
      <c r="U47" t="inlineStr">
        <is>
          <t>2000-09-27</t>
        </is>
      </c>
      <c r="V47" t="inlineStr">
        <is>
          <t>2000-09-27</t>
        </is>
      </c>
      <c r="W47" t="inlineStr">
        <is>
          <t>1995-04-03</t>
        </is>
      </c>
      <c r="X47" t="inlineStr">
        <is>
          <t>1995-04-03</t>
        </is>
      </c>
      <c r="Y47" t="n">
        <v>1069</v>
      </c>
      <c r="Z47" t="n">
        <v>1029</v>
      </c>
      <c r="AA47" t="n">
        <v>1229</v>
      </c>
      <c r="AB47" t="n">
        <v>10</v>
      </c>
      <c r="AC47" t="n">
        <v>12</v>
      </c>
      <c r="AD47" t="n">
        <v>27</v>
      </c>
      <c r="AE47" t="n">
        <v>33</v>
      </c>
      <c r="AF47" t="n">
        <v>9</v>
      </c>
      <c r="AG47" t="n">
        <v>12</v>
      </c>
      <c r="AH47" t="n">
        <v>6</v>
      </c>
      <c r="AI47" t="n">
        <v>7</v>
      </c>
      <c r="AJ47" t="n">
        <v>11</v>
      </c>
      <c r="AK47" t="n">
        <v>14</v>
      </c>
      <c r="AL47" t="n">
        <v>4</v>
      </c>
      <c r="AM47" t="n">
        <v>5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HYPERLINK("http://catalog.hathitrust.org/Record/000665789","HathiTrust Record")</f>
        <v/>
      </c>
      <c r="AS47">
        <f>HYPERLINK("https://creighton-primo.hosted.exlibrisgroup.com/primo-explore/search?tab=default_tab&amp;search_scope=EVERYTHING&amp;vid=01CRU&amp;lang=en_US&amp;offset=0&amp;query=any,contains,991002143189702656","Catalog Record")</f>
        <v/>
      </c>
      <c r="AT47">
        <f>HYPERLINK("http://www.worldcat.org/oclc/270965","WorldCat Record")</f>
        <v/>
      </c>
      <c r="AU47" t="inlineStr">
        <is>
          <t>5611659465:eng</t>
        </is>
      </c>
      <c r="AV47" t="inlineStr">
        <is>
          <t>270965</t>
        </is>
      </c>
      <c r="AW47" t="inlineStr">
        <is>
          <t>991002143189702656</t>
        </is>
      </c>
      <c r="AX47" t="inlineStr">
        <is>
          <t>991002143189702656</t>
        </is>
      </c>
      <c r="AY47" t="inlineStr">
        <is>
          <t>2263655880002656</t>
        </is>
      </c>
      <c r="AZ47" t="inlineStr">
        <is>
          <t>BOOK</t>
        </is>
      </c>
      <c r="BC47" t="inlineStr">
        <is>
          <t>32285002014784</t>
        </is>
      </c>
      <c r="BD47" t="inlineStr">
        <is>
          <t>893226514</t>
        </is>
      </c>
    </row>
    <row r="48">
      <c r="A48" t="inlineStr">
        <is>
          <t>No</t>
        </is>
      </c>
      <c r="B48" t="inlineStr">
        <is>
          <t>PS1331 .P3 1912</t>
        </is>
      </c>
      <c r="C48" t="inlineStr">
        <is>
          <t>0                      PS 1331000P  3           1912</t>
        </is>
      </c>
      <c r="D48" t="inlineStr">
        <is>
          <t>Mark Twain, a biography : the personal and literary life of Samuel Langhorne Clemens / by Albert Bigelow Paine ; with letters, comments and incidental writings hitherto unpublished ; also new episodes anecdotes, etc.</t>
        </is>
      </c>
      <c r="F48" t="inlineStr">
        <is>
          <t>Yes</t>
        </is>
      </c>
      <c r="G48" t="inlineStr">
        <is>
          <t>1</t>
        </is>
      </c>
      <c r="H48" t="inlineStr">
        <is>
          <t>Yes</t>
        </is>
      </c>
      <c r="I48" t="inlineStr">
        <is>
          <t>No</t>
        </is>
      </c>
      <c r="J48" t="inlineStr">
        <is>
          <t>0</t>
        </is>
      </c>
      <c r="K48" t="inlineStr">
        <is>
          <t>Paine, Albert Bigelow, 1861-1937.</t>
        </is>
      </c>
      <c r="L48" t="inlineStr">
        <is>
          <t>New York ; London : Harper &amp; Brothers, 1912.</t>
        </is>
      </c>
      <c r="M48" t="inlineStr">
        <is>
          <t>1912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PS </t>
        </is>
      </c>
      <c r="S48" t="n">
        <v>0</v>
      </c>
      <c r="T48" t="n">
        <v>3</v>
      </c>
      <c r="V48" t="inlineStr">
        <is>
          <t>1994-06-09</t>
        </is>
      </c>
      <c r="W48" t="inlineStr">
        <is>
          <t>1995-03-23</t>
        </is>
      </c>
      <c r="X48" t="inlineStr">
        <is>
          <t>1995-03-23</t>
        </is>
      </c>
      <c r="Y48" t="n">
        <v>745</v>
      </c>
      <c r="Z48" t="n">
        <v>688</v>
      </c>
      <c r="AA48" t="n">
        <v>1004</v>
      </c>
      <c r="AB48" t="n">
        <v>8</v>
      </c>
      <c r="AC48" t="n">
        <v>12</v>
      </c>
      <c r="AD48" t="n">
        <v>27</v>
      </c>
      <c r="AE48" t="n">
        <v>43</v>
      </c>
      <c r="AF48" t="n">
        <v>10</v>
      </c>
      <c r="AG48" t="n">
        <v>16</v>
      </c>
      <c r="AH48" t="n">
        <v>8</v>
      </c>
      <c r="AI48" t="n">
        <v>9</v>
      </c>
      <c r="AJ48" t="n">
        <v>14</v>
      </c>
      <c r="AK48" t="n">
        <v>22</v>
      </c>
      <c r="AL48" t="n">
        <v>5</v>
      </c>
      <c r="AM48" t="n">
        <v>8</v>
      </c>
      <c r="AN48" t="n">
        <v>0</v>
      </c>
      <c r="AO48" t="n">
        <v>0</v>
      </c>
      <c r="AP48" t="inlineStr">
        <is>
          <t>Yes</t>
        </is>
      </c>
      <c r="AQ48" t="inlineStr">
        <is>
          <t>No</t>
        </is>
      </c>
      <c r="AR48">
        <f>HYPERLINK("http://catalog.hathitrust.org/Record/000665282","HathiTrust Record")</f>
        <v/>
      </c>
      <c r="AS48">
        <f>HYPERLINK("https://creighton-primo.hosted.exlibrisgroup.com/primo-explore/search?tab=default_tab&amp;search_scope=EVERYTHING&amp;vid=01CRU&amp;lang=en_US&amp;offset=0&amp;query=any,contains,991001174519702656","Catalog Record")</f>
        <v/>
      </c>
      <c r="AT48">
        <f>HYPERLINK("http://www.worldcat.org/oclc/31753561","WorldCat Record")</f>
        <v/>
      </c>
      <c r="AU48" t="inlineStr">
        <is>
          <t>22007257:eng</t>
        </is>
      </c>
      <c r="AV48" t="inlineStr">
        <is>
          <t>31753561</t>
        </is>
      </c>
      <c r="AW48" t="inlineStr">
        <is>
          <t>991001174519702656</t>
        </is>
      </c>
      <c r="AX48" t="inlineStr">
        <is>
          <t>991001174519702656</t>
        </is>
      </c>
      <c r="AY48" t="inlineStr">
        <is>
          <t>2267934590002656</t>
        </is>
      </c>
      <c r="AZ48" t="inlineStr">
        <is>
          <t>BOOK</t>
        </is>
      </c>
      <c r="BC48" t="inlineStr">
        <is>
          <t>32285002013216</t>
        </is>
      </c>
      <c r="BD48" t="inlineStr">
        <is>
          <t>893702811</t>
        </is>
      </c>
    </row>
    <row r="49">
      <c r="A49" t="inlineStr">
        <is>
          <t>No</t>
        </is>
      </c>
      <c r="B49" t="inlineStr">
        <is>
          <t>PS1331 .P3 1912 V.3</t>
        </is>
      </c>
      <c r="C49" t="inlineStr">
        <is>
          <t>0                      PS 1331000P  3           1912                                        V.3</t>
        </is>
      </c>
      <c r="D49" t="inlineStr">
        <is>
          <t>Mark Twain, a biography : the personal and literary life of Samuel Langhorne Clemens / by Albert Bigelow Paine ; with letters, comments and incidental writings hitherto unpublished ; also new episodes anecdotes, etc.</t>
        </is>
      </c>
      <c r="E49" t="inlineStr">
        <is>
          <t>V.3*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Paine, Albert Bigelow, 1861-1937.</t>
        </is>
      </c>
      <c r="L49" t="inlineStr">
        <is>
          <t>New York ; London : Harper &amp; Brothers, 1912.</t>
        </is>
      </c>
      <c r="M49" t="inlineStr">
        <is>
          <t>1912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PS </t>
        </is>
      </c>
      <c r="S49" t="n">
        <v>2</v>
      </c>
      <c r="T49" t="n">
        <v>3</v>
      </c>
      <c r="U49" t="inlineStr">
        <is>
          <t>1994-06-09</t>
        </is>
      </c>
      <c r="V49" t="inlineStr">
        <is>
          <t>1994-06-09</t>
        </is>
      </c>
      <c r="W49" t="inlineStr">
        <is>
          <t>1992-01-29</t>
        </is>
      </c>
      <c r="X49" t="inlineStr">
        <is>
          <t>1995-03-23</t>
        </is>
      </c>
      <c r="Y49" t="n">
        <v>745</v>
      </c>
      <c r="Z49" t="n">
        <v>688</v>
      </c>
      <c r="AA49" t="n">
        <v>1004</v>
      </c>
      <c r="AB49" t="n">
        <v>8</v>
      </c>
      <c r="AC49" t="n">
        <v>12</v>
      </c>
      <c r="AD49" t="n">
        <v>27</v>
      </c>
      <c r="AE49" t="n">
        <v>43</v>
      </c>
      <c r="AF49" t="n">
        <v>10</v>
      </c>
      <c r="AG49" t="n">
        <v>16</v>
      </c>
      <c r="AH49" t="n">
        <v>8</v>
      </c>
      <c r="AI49" t="n">
        <v>9</v>
      </c>
      <c r="AJ49" t="n">
        <v>14</v>
      </c>
      <c r="AK49" t="n">
        <v>22</v>
      </c>
      <c r="AL49" t="n">
        <v>5</v>
      </c>
      <c r="AM49" t="n">
        <v>8</v>
      </c>
      <c r="AN49" t="n">
        <v>0</v>
      </c>
      <c r="AO49" t="n">
        <v>0</v>
      </c>
      <c r="AP49" t="inlineStr">
        <is>
          <t>Yes</t>
        </is>
      </c>
      <c r="AQ49" t="inlineStr">
        <is>
          <t>No</t>
        </is>
      </c>
      <c r="AR49">
        <f>HYPERLINK("http://catalog.hathitrust.org/Record/000665282","HathiTrust Record")</f>
        <v/>
      </c>
      <c r="AS49">
        <f>HYPERLINK("https://creighton-primo.hosted.exlibrisgroup.com/primo-explore/search?tab=default_tab&amp;search_scope=EVERYTHING&amp;vid=01CRU&amp;lang=en_US&amp;offset=0&amp;query=any,contains,991001174519702656","Catalog Record")</f>
        <v/>
      </c>
      <c r="AT49">
        <f>HYPERLINK("http://www.worldcat.org/oclc/31753561","WorldCat Record")</f>
        <v/>
      </c>
      <c r="AU49" t="inlineStr">
        <is>
          <t>22007257:eng</t>
        </is>
      </c>
      <c r="AV49" t="inlineStr">
        <is>
          <t>31753561</t>
        </is>
      </c>
      <c r="AW49" t="inlineStr">
        <is>
          <t>991001174519702656</t>
        </is>
      </c>
      <c r="AX49" t="inlineStr">
        <is>
          <t>991001174519702656</t>
        </is>
      </c>
      <c r="AY49" t="inlineStr">
        <is>
          <t>2267934590002656</t>
        </is>
      </c>
      <c r="AZ49" t="inlineStr">
        <is>
          <t>BOOK</t>
        </is>
      </c>
      <c r="BC49" t="inlineStr">
        <is>
          <t>32285000919885</t>
        </is>
      </c>
      <c r="BD49" t="inlineStr">
        <is>
          <t>893696533</t>
        </is>
      </c>
    </row>
    <row r="50">
      <c r="A50" t="inlineStr">
        <is>
          <t>No</t>
        </is>
      </c>
      <c r="B50" t="inlineStr">
        <is>
          <t>PS1331 .S551 1962</t>
        </is>
      </c>
      <c r="C50" t="inlineStr">
        <is>
          <t>0                      PS 1331000S  551         1962</t>
        </is>
      </c>
      <c r="D50" t="inlineStr">
        <is>
          <t>Mark Twain : the development of a writer.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Smith, Henry Nash.</t>
        </is>
      </c>
      <c r="L50" t="inlineStr">
        <is>
          <t>Cambridge : Belknap Press of Harvard University Press, 1962.</t>
        </is>
      </c>
      <c r="M50" t="inlineStr">
        <is>
          <t>1962</t>
        </is>
      </c>
      <c r="O50" t="inlineStr">
        <is>
          <t>eng</t>
        </is>
      </c>
      <c r="P50" t="inlineStr">
        <is>
          <t>mau</t>
        </is>
      </c>
      <c r="R50" t="inlineStr">
        <is>
          <t xml:space="preserve">PS </t>
        </is>
      </c>
      <c r="S50" t="n">
        <v>5</v>
      </c>
      <c r="T50" t="n">
        <v>5</v>
      </c>
      <c r="U50" t="inlineStr">
        <is>
          <t>2003-06-23</t>
        </is>
      </c>
      <c r="V50" t="inlineStr">
        <is>
          <t>2003-06-23</t>
        </is>
      </c>
      <c r="W50" t="inlineStr">
        <is>
          <t>1992-02-17</t>
        </is>
      </c>
      <c r="X50" t="inlineStr">
        <is>
          <t>1992-02-17</t>
        </is>
      </c>
      <c r="Y50" t="n">
        <v>1298</v>
      </c>
      <c r="Z50" t="n">
        <v>1126</v>
      </c>
      <c r="AA50" t="n">
        <v>1214</v>
      </c>
      <c r="AB50" t="n">
        <v>10</v>
      </c>
      <c r="AC50" t="n">
        <v>10</v>
      </c>
      <c r="AD50" t="n">
        <v>48</v>
      </c>
      <c r="AE50" t="n">
        <v>51</v>
      </c>
      <c r="AF50" t="n">
        <v>19</v>
      </c>
      <c r="AG50" t="n">
        <v>22</v>
      </c>
      <c r="AH50" t="n">
        <v>10</v>
      </c>
      <c r="AI50" t="n">
        <v>10</v>
      </c>
      <c r="AJ50" t="n">
        <v>22</v>
      </c>
      <c r="AK50" t="n">
        <v>22</v>
      </c>
      <c r="AL50" t="n">
        <v>9</v>
      </c>
      <c r="AM50" t="n">
        <v>9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R50">
        <f>HYPERLINK("http://catalog.hathitrust.org/Record/000665320","HathiTrust Record")</f>
        <v/>
      </c>
      <c r="AS50">
        <f>HYPERLINK("https://creighton-primo.hosted.exlibrisgroup.com/primo-explore/search?tab=default_tab&amp;search_scope=EVERYTHING&amp;vid=01CRU&amp;lang=en_US&amp;offset=0&amp;query=any,contains,991000407529702656","Catalog Record")</f>
        <v/>
      </c>
      <c r="AT50">
        <f>HYPERLINK("http://www.worldcat.org/oclc/10695829","WorldCat Record")</f>
        <v/>
      </c>
      <c r="AU50" t="inlineStr">
        <is>
          <t>1399061:eng</t>
        </is>
      </c>
      <c r="AV50" t="inlineStr">
        <is>
          <t>10695829</t>
        </is>
      </c>
      <c r="AW50" t="inlineStr">
        <is>
          <t>991000407529702656</t>
        </is>
      </c>
      <c r="AX50" t="inlineStr">
        <is>
          <t>991000407529702656</t>
        </is>
      </c>
      <c r="AY50" t="inlineStr">
        <is>
          <t>2267206430002656</t>
        </is>
      </c>
      <c r="AZ50" t="inlineStr">
        <is>
          <t>BOOK</t>
        </is>
      </c>
      <c r="BC50" t="inlineStr">
        <is>
          <t>32285000959667</t>
        </is>
      </c>
      <c r="BD50" t="inlineStr">
        <is>
          <t>893243218</t>
        </is>
      </c>
    </row>
    <row r="51">
      <c r="A51" t="inlineStr">
        <is>
          <t>No</t>
        </is>
      </c>
      <c r="B51" t="inlineStr">
        <is>
          <t>PS1331 .T44</t>
        </is>
      </c>
      <c r="C51" t="inlineStr">
        <is>
          <t>0                      PS 1331000T  44</t>
        </is>
      </c>
      <c r="D51" t="inlineStr">
        <is>
          <t>Mark Twain : a reference guide / Thomas Asa Tenney.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Tenney, Thomas Asa.</t>
        </is>
      </c>
      <c r="L51" t="inlineStr">
        <is>
          <t>Boston : G. K. Hall, c1977.</t>
        </is>
      </c>
      <c r="M51" t="inlineStr">
        <is>
          <t>1977</t>
        </is>
      </c>
      <c r="O51" t="inlineStr">
        <is>
          <t>eng</t>
        </is>
      </c>
      <c r="P51" t="inlineStr">
        <is>
          <t>mau</t>
        </is>
      </c>
      <c r="Q51" t="inlineStr">
        <is>
          <t>Reference guides in literature</t>
        </is>
      </c>
      <c r="R51" t="inlineStr">
        <is>
          <t xml:space="preserve">PS </t>
        </is>
      </c>
      <c r="S51" t="n">
        <v>6</v>
      </c>
      <c r="T51" t="n">
        <v>6</v>
      </c>
      <c r="U51" t="inlineStr">
        <is>
          <t>1994-03-01</t>
        </is>
      </c>
      <c r="V51" t="inlineStr">
        <is>
          <t>1994-03-01</t>
        </is>
      </c>
      <c r="W51" t="inlineStr">
        <is>
          <t>1993-05-17</t>
        </is>
      </c>
      <c r="X51" t="inlineStr">
        <is>
          <t>1993-05-17</t>
        </is>
      </c>
      <c r="Y51" t="n">
        <v>747</v>
      </c>
      <c r="Z51" t="n">
        <v>650</v>
      </c>
      <c r="AA51" t="n">
        <v>656</v>
      </c>
      <c r="AB51" t="n">
        <v>6</v>
      </c>
      <c r="AC51" t="n">
        <v>6</v>
      </c>
      <c r="AD51" t="n">
        <v>39</v>
      </c>
      <c r="AE51" t="n">
        <v>39</v>
      </c>
      <c r="AF51" t="n">
        <v>17</v>
      </c>
      <c r="AG51" t="n">
        <v>17</v>
      </c>
      <c r="AH51" t="n">
        <v>11</v>
      </c>
      <c r="AI51" t="n">
        <v>11</v>
      </c>
      <c r="AJ51" t="n">
        <v>16</v>
      </c>
      <c r="AK51" t="n">
        <v>16</v>
      </c>
      <c r="AL51" t="n">
        <v>5</v>
      </c>
      <c r="AM51" t="n">
        <v>5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HYPERLINK("http://catalog.hathitrust.org/Record/000721585","HathiTrust Record")</f>
        <v/>
      </c>
      <c r="AS51">
        <f>HYPERLINK("https://creighton-primo.hosted.exlibrisgroup.com/primo-explore/search?tab=default_tab&amp;search_scope=EVERYTHING&amp;vid=01CRU&amp;lang=en_US&amp;offset=0&amp;query=any,contains,991004119059702656","Catalog Record")</f>
        <v/>
      </c>
      <c r="AT51">
        <f>HYPERLINK("http://www.worldcat.org/oclc/2423690","WorldCat Record")</f>
        <v/>
      </c>
      <c r="AU51" t="inlineStr">
        <is>
          <t>3943686051:eng</t>
        </is>
      </c>
      <c r="AV51" t="inlineStr">
        <is>
          <t>2423690</t>
        </is>
      </c>
      <c r="AW51" t="inlineStr">
        <is>
          <t>991004119059702656</t>
        </is>
      </c>
      <c r="AX51" t="inlineStr">
        <is>
          <t>991004119059702656</t>
        </is>
      </c>
      <c r="AY51" t="inlineStr">
        <is>
          <t>2262999960002656</t>
        </is>
      </c>
      <c r="AZ51" t="inlineStr">
        <is>
          <t>BOOK</t>
        </is>
      </c>
      <c r="BB51" t="inlineStr">
        <is>
          <t>9780816179664</t>
        </is>
      </c>
      <c r="BC51" t="inlineStr">
        <is>
          <t>32285001659092</t>
        </is>
      </c>
      <c r="BD51" t="inlineStr">
        <is>
          <t>893875703</t>
        </is>
      </c>
    </row>
    <row r="52">
      <c r="A52" t="inlineStr">
        <is>
          <t>No</t>
        </is>
      </c>
      <c r="B52" t="inlineStr">
        <is>
          <t>PS1332 .H5</t>
        </is>
      </c>
      <c r="C52" t="inlineStr">
        <is>
          <t>0                      PS 1332000H  5</t>
        </is>
      </c>
      <c r="D52" t="inlineStr">
        <is>
          <t>Mark Twain, God's fool / by Hamlin Hill.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Hill, Hamlin Lewis, 1931-2002.</t>
        </is>
      </c>
      <c r="L52" t="inlineStr">
        <is>
          <t>New York : Harper &amp; Row, [1973]</t>
        </is>
      </c>
      <c r="M52" t="inlineStr">
        <is>
          <t>1973</t>
        </is>
      </c>
      <c r="N52" t="inlineStr">
        <is>
          <t>[1st ed.]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PS </t>
        </is>
      </c>
      <c r="S52" t="n">
        <v>3</v>
      </c>
      <c r="T52" t="n">
        <v>3</v>
      </c>
      <c r="U52" t="inlineStr">
        <is>
          <t>2003-06-24</t>
        </is>
      </c>
      <c r="V52" t="inlineStr">
        <is>
          <t>2003-06-24</t>
        </is>
      </c>
      <c r="W52" t="inlineStr">
        <is>
          <t>1993-04-20</t>
        </is>
      </c>
      <c r="X52" t="inlineStr">
        <is>
          <t>1993-04-20</t>
        </is>
      </c>
      <c r="Y52" t="n">
        <v>1569</v>
      </c>
      <c r="Z52" t="n">
        <v>1440</v>
      </c>
      <c r="AA52" t="n">
        <v>1489</v>
      </c>
      <c r="AB52" t="n">
        <v>10</v>
      </c>
      <c r="AC52" t="n">
        <v>12</v>
      </c>
      <c r="AD52" t="n">
        <v>42</v>
      </c>
      <c r="AE52" t="n">
        <v>45</v>
      </c>
      <c r="AF52" t="n">
        <v>17</v>
      </c>
      <c r="AG52" t="n">
        <v>20</v>
      </c>
      <c r="AH52" t="n">
        <v>9</v>
      </c>
      <c r="AI52" t="n">
        <v>9</v>
      </c>
      <c r="AJ52" t="n">
        <v>18</v>
      </c>
      <c r="AK52" t="n">
        <v>19</v>
      </c>
      <c r="AL52" t="n">
        <v>9</v>
      </c>
      <c r="AM52" t="n">
        <v>9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HYPERLINK("http://catalog.hathitrust.org/Record/000664551","HathiTrust Record")</f>
        <v/>
      </c>
      <c r="AS52">
        <f>HYPERLINK("https://creighton-primo.hosted.exlibrisgroup.com/primo-explore/search?tab=default_tab&amp;search_scope=EVERYTHING&amp;vid=01CRU&amp;lang=en_US&amp;offset=0&amp;query=any,contains,991003024349702656","Catalog Record")</f>
        <v/>
      </c>
      <c r="AT52">
        <f>HYPERLINK("http://www.worldcat.org/oclc/588938","WorldCat Record")</f>
        <v/>
      </c>
      <c r="AU52" t="inlineStr">
        <is>
          <t>509392888:eng</t>
        </is>
      </c>
      <c r="AV52" t="inlineStr">
        <is>
          <t>588938</t>
        </is>
      </c>
      <c r="AW52" t="inlineStr">
        <is>
          <t>991003024349702656</t>
        </is>
      </c>
      <c r="AX52" t="inlineStr">
        <is>
          <t>991003024349702656</t>
        </is>
      </c>
      <c r="AY52" t="inlineStr">
        <is>
          <t>2270037190002656</t>
        </is>
      </c>
      <c r="AZ52" t="inlineStr">
        <is>
          <t>BOOK</t>
        </is>
      </c>
      <c r="BB52" t="inlineStr">
        <is>
          <t>9780060118938</t>
        </is>
      </c>
      <c r="BC52" t="inlineStr">
        <is>
          <t>32285001621605</t>
        </is>
      </c>
      <c r="BD52" t="inlineStr">
        <is>
          <t>893627420</t>
        </is>
      </c>
    </row>
    <row r="53">
      <c r="A53" t="inlineStr">
        <is>
          <t>No</t>
        </is>
      </c>
      <c r="B53" t="inlineStr">
        <is>
          <t>PS1336 .L68 1996</t>
        </is>
      </c>
      <c r="C53" t="inlineStr">
        <is>
          <t>0                      PS 1336000L  68          1996</t>
        </is>
      </c>
      <c r="D53" t="inlineStr">
        <is>
          <t>"Littery man" : Mark Twain and modern authorship / Richard S. Lowry.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Lowry, Richard S., 1954-</t>
        </is>
      </c>
      <c r="L53" t="inlineStr">
        <is>
          <t>New York : Oxford University Press, 1996.</t>
        </is>
      </c>
      <c r="M53" t="inlineStr">
        <is>
          <t>1996</t>
        </is>
      </c>
      <c r="O53" t="inlineStr">
        <is>
          <t>eng</t>
        </is>
      </c>
      <c r="P53" t="inlineStr">
        <is>
          <t>nyu</t>
        </is>
      </c>
      <c r="Q53" t="inlineStr">
        <is>
          <t>Commonwealth Center studies in American culture</t>
        </is>
      </c>
      <c r="R53" t="inlineStr">
        <is>
          <t xml:space="preserve">PS </t>
        </is>
      </c>
      <c r="S53" t="n">
        <v>5</v>
      </c>
      <c r="T53" t="n">
        <v>5</v>
      </c>
      <c r="U53" t="inlineStr">
        <is>
          <t>2001-03-14</t>
        </is>
      </c>
      <c r="V53" t="inlineStr">
        <is>
          <t>2001-03-14</t>
        </is>
      </c>
      <c r="W53" t="inlineStr">
        <is>
          <t>1997-05-05</t>
        </is>
      </c>
      <c r="X53" t="inlineStr">
        <is>
          <t>1997-05-05</t>
        </is>
      </c>
      <c r="Y53" t="n">
        <v>445</v>
      </c>
      <c r="Z53" t="n">
        <v>360</v>
      </c>
      <c r="AA53" t="n">
        <v>740</v>
      </c>
      <c r="AB53" t="n">
        <v>4</v>
      </c>
      <c r="AC53" t="n">
        <v>7</v>
      </c>
      <c r="AD53" t="n">
        <v>24</v>
      </c>
      <c r="AE53" t="n">
        <v>37</v>
      </c>
      <c r="AF53" t="n">
        <v>10</v>
      </c>
      <c r="AG53" t="n">
        <v>14</v>
      </c>
      <c r="AH53" t="n">
        <v>6</v>
      </c>
      <c r="AI53" t="n">
        <v>9</v>
      </c>
      <c r="AJ53" t="n">
        <v>12</v>
      </c>
      <c r="AK53" t="n">
        <v>15</v>
      </c>
      <c r="AL53" t="n">
        <v>3</v>
      </c>
      <c r="AM53" t="n">
        <v>6</v>
      </c>
      <c r="AN53" t="n">
        <v>0</v>
      </c>
      <c r="AO53" t="n">
        <v>1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HYPERLINK("https://creighton-primo.hosted.exlibrisgroup.com/primo-explore/search?tab=default_tab&amp;search_scope=EVERYTHING&amp;vid=01CRU&amp;lang=en_US&amp;offset=0&amp;query=any,contains,991002532139702656","Catalog Record")</f>
        <v/>
      </c>
      <c r="AT53">
        <f>HYPERLINK("http://www.worldcat.org/oclc/32894951","WorldCat Record")</f>
        <v/>
      </c>
      <c r="AU53" t="inlineStr">
        <is>
          <t>793991007:eng</t>
        </is>
      </c>
      <c r="AV53" t="inlineStr">
        <is>
          <t>32894951</t>
        </is>
      </c>
      <c r="AW53" t="inlineStr">
        <is>
          <t>991002532139702656</t>
        </is>
      </c>
      <c r="AX53" t="inlineStr">
        <is>
          <t>991002532139702656</t>
        </is>
      </c>
      <c r="AY53" t="inlineStr">
        <is>
          <t>2257431110002656</t>
        </is>
      </c>
      <c r="AZ53" t="inlineStr">
        <is>
          <t>BOOK</t>
        </is>
      </c>
      <c r="BB53" t="inlineStr">
        <is>
          <t>9780195102123</t>
        </is>
      </c>
      <c r="BC53" t="inlineStr">
        <is>
          <t>32285002544228</t>
        </is>
      </c>
      <c r="BD53" t="inlineStr">
        <is>
          <t>893245293</t>
        </is>
      </c>
    </row>
    <row r="54">
      <c r="A54" t="inlineStr">
        <is>
          <t>No</t>
        </is>
      </c>
      <c r="B54" t="inlineStr">
        <is>
          <t>PS1338 .A5</t>
        </is>
      </c>
      <c r="C54" t="inlineStr">
        <is>
          <t>0                      PS 1338000A  5</t>
        </is>
      </c>
      <c r="D54" t="inlineStr">
        <is>
          <t>Mark Twain : the critical heritage / edited by Frederick Anderson ; with the assistance of Kenneth M. Sanderson.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Anderson, Frederick, 1926-, compiler.</t>
        </is>
      </c>
      <c r="L54" t="inlineStr">
        <is>
          <t>London : Routledge and K. Paul, 1971.</t>
        </is>
      </c>
      <c r="M54" t="inlineStr">
        <is>
          <t>1971</t>
        </is>
      </c>
      <c r="O54" t="inlineStr">
        <is>
          <t>eng</t>
        </is>
      </c>
      <c r="P54" t="inlineStr">
        <is>
          <t>enk</t>
        </is>
      </c>
      <c r="Q54" t="inlineStr">
        <is>
          <t>The Critical heritage series</t>
        </is>
      </c>
      <c r="R54" t="inlineStr">
        <is>
          <t xml:space="preserve">PS </t>
        </is>
      </c>
      <c r="S54" t="n">
        <v>11</v>
      </c>
      <c r="T54" t="n">
        <v>11</v>
      </c>
      <c r="U54" t="inlineStr">
        <is>
          <t>1998-10-04</t>
        </is>
      </c>
      <c r="V54" t="inlineStr">
        <is>
          <t>1998-10-04</t>
        </is>
      </c>
      <c r="W54" t="inlineStr">
        <is>
          <t>1992-02-13</t>
        </is>
      </c>
      <c r="X54" t="inlineStr">
        <is>
          <t>1992-02-13</t>
        </is>
      </c>
      <c r="Y54" t="n">
        <v>391</v>
      </c>
      <c r="Z54" t="n">
        <v>186</v>
      </c>
      <c r="AA54" t="n">
        <v>801</v>
      </c>
      <c r="AB54" t="n">
        <v>1</v>
      </c>
      <c r="AC54" t="n">
        <v>6</v>
      </c>
      <c r="AD54" t="n">
        <v>11</v>
      </c>
      <c r="AE54" t="n">
        <v>37</v>
      </c>
      <c r="AF54" t="n">
        <v>6</v>
      </c>
      <c r="AG54" t="n">
        <v>15</v>
      </c>
      <c r="AH54" t="n">
        <v>1</v>
      </c>
      <c r="AI54" t="n">
        <v>9</v>
      </c>
      <c r="AJ54" t="n">
        <v>8</v>
      </c>
      <c r="AK54" t="n">
        <v>21</v>
      </c>
      <c r="AL54" t="n">
        <v>0</v>
      </c>
      <c r="AM54" t="n">
        <v>5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HYPERLINK("http://catalog.hathitrust.org/Record/000663989","HathiTrust Record")</f>
        <v/>
      </c>
      <c r="AS54">
        <f>HYPERLINK("https://creighton-primo.hosted.exlibrisgroup.com/primo-explore/search?tab=default_tab&amp;search_scope=EVERYTHING&amp;vid=01CRU&amp;lang=en_US&amp;offset=0&amp;query=any,contains,991002207589702656","Catalog Record")</f>
        <v/>
      </c>
      <c r="AT54">
        <f>HYPERLINK("http://www.worldcat.org/oclc/286483","WorldCat Record")</f>
        <v/>
      </c>
      <c r="AU54" t="inlineStr">
        <is>
          <t>4916798684:eng</t>
        </is>
      </c>
      <c r="AV54" t="inlineStr">
        <is>
          <t>286483</t>
        </is>
      </c>
      <c r="AW54" t="inlineStr">
        <is>
          <t>991002207589702656</t>
        </is>
      </c>
      <c r="AX54" t="inlineStr">
        <is>
          <t>991002207589702656</t>
        </is>
      </c>
      <c r="AY54" t="inlineStr">
        <is>
          <t>2262996930002656</t>
        </is>
      </c>
      <c r="AZ54" t="inlineStr">
        <is>
          <t>BOOK</t>
        </is>
      </c>
      <c r="BB54" t="inlineStr">
        <is>
          <t>9780710070845</t>
        </is>
      </c>
      <c r="BC54" t="inlineStr">
        <is>
          <t>32285000957562</t>
        </is>
      </c>
      <c r="BD54" t="inlineStr">
        <is>
          <t>893798307</t>
        </is>
      </c>
    </row>
    <row r="55">
      <c r="A55" t="inlineStr">
        <is>
          <t>No</t>
        </is>
      </c>
      <c r="B55" t="inlineStr">
        <is>
          <t>PS1338 .C7</t>
        </is>
      </c>
      <c r="C55" t="inlineStr">
        <is>
          <t>0                      PS 1338000C  7</t>
        </is>
      </c>
      <c r="D55" t="inlineStr">
        <is>
          <t>Critical approaches to Mark Twain's short stories / edited by Elizabeth McMahan.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Port Washington, NY : Kennikat Press, 1981.</t>
        </is>
      </c>
      <c r="M55" t="inlineStr">
        <is>
          <t>1981</t>
        </is>
      </c>
      <c r="O55" t="inlineStr">
        <is>
          <t>eng</t>
        </is>
      </c>
      <c r="P55" t="inlineStr">
        <is>
          <t>nyu</t>
        </is>
      </c>
      <c r="Q55" t="inlineStr">
        <is>
          <t>National university publications. Literary criticism series</t>
        </is>
      </c>
      <c r="R55" t="inlineStr">
        <is>
          <t xml:space="preserve">PS </t>
        </is>
      </c>
      <c r="S55" t="n">
        <v>2</v>
      </c>
      <c r="T55" t="n">
        <v>2</v>
      </c>
      <c r="U55" t="inlineStr">
        <is>
          <t>1994-04-14</t>
        </is>
      </c>
      <c r="V55" t="inlineStr">
        <is>
          <t>1994-04-14</t>
        </is>
      </c>
      <c r="W55" t="inlineStr">
        <is>
          <t>1990-10-25</t>
        </is>
      </c>
      <c r="X55" t="inlineStr">
        <is>
          <t>1990-10-25</t>
        </is>
      </c>
      <c r="Y55" t="n">
        <v>479</v>
      </c>
      <c r="Z55" t="n">
        <v>428</v>
      </c>
      <c r="AA55" t="n">
        <v>433</v>
      </c>
      <c r="AB55" t="n">
        <v>5</v>
      </c>
      <c r="AC55" t="n">
        <v>5</v>
      </c>
      <c r="AD55" t="n">
        <v>19</v>
      </c>
      <c r="AE55" t="n">
        <v>19</v>
      </c>
      <c r="AF55" t="n">
        <v>7</v>
      </c>
      <c r="AG55" t="n">
        <v>7</v>
      </c>
      <c r="AH55" t="n">
        <v>8</v>
      </c>
      <c r="AI55" t="n">
        <v>8</v>
      </c>
      <c r="AJ55" t="n">
        <v>6</v>
      </c>
      <c r="AK55" t="n">
        <v>6</v>
      </c>
      <c r="AL55" t="n">
        <v>4</v>
      </c>
      <c r="AM55" t="n">
        <v>4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HYPERLINK("http://catalog.hathitrust.org/Record/000099727","HathiTrust Record")</f>
        <v/>
      </c>
      <c r="AS55">
        <f>HYPERLINK("https://creighton-primo.hosted.exlibrisgroup.com/primo-explore/search?tab=default_tab&amp;search_scope=EVERYTHING&amp;vid=01CRU&amp;lang=en_US&amp;offset=0&amp;query=any,contains,991005002079702656","Catalog Record")</f>
        <v/>
      </c>
      <c r="AT55">
        <f>HYPERLINK("http://www.worldcat.org/oclc/6554301","WorldCat Record")</f>
        <v/>
      </c>
      <c r="AU55" t="inlineStr">
        <is>
          <t>459168:eng</t>
        </is>
      </c>
      <c r="AV55" t="inlineStr">
        <is>
          <t>6554301</t>
        </is>
      </c>
      <c r="AW55" t="inlineStr">
        <is>
          <t>991005002079702656</t>
        </is>
      </c>
      <c r="AX55" t="inlineStr">
        <is>
          <t>991005002079702656</t>
        </is>
      </c>
      <c r="AY55" t="inlineStr">
        <is>
          <t>2255166460002656</t>
        </is>
      </c>
      <c r="AZ55" t="inlineStr">
        <is>
          <t>BOOK</t>
        </is>
      </c>
      <c r="BB55" t="inlineStr">
        <is>
          <t>9780804692748</t>
        </is>
      </c>
      <c r="BC55" t="inlineStr">
        <is>
          <t>32285000362599</t>
        </is>
      </c>
      <c r="BD55" t="inlineStr">
        <is>
          <t>893694610</t>
        </is>
      </c>
    </row>
    <row r="56">
      <c r="A56" t="inlineStr">
        <is>
          <t>No</t>
        </is>
      </c>
      <c r="B56" t="inlineStr">
        <is>
          <t>PS1338 .G5</t>
        </is>
      </c>
      <c r="C56" t="inlineStr">
        <is>
          <t>0                      PS 1338000G  5</t>
        </is>
      </c>
      <c r="D56" t="inlineStr">
        <is>
          <t>The art of Mark Twain / William M. Gibson.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Gibson, William M. (William Merriam), 1912-1987.</t>
        </is>
      </c>
      <c r="L56" t="inlineStr">
        <is>
          <t>New York : Oxford University Press, 1976.</t>
        </is>
      </c>
      <c r="M56" t="inlineStr">
        <is>
          <t>1976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PS </t>
        </is>
      </c>
      <c r="S56" t="n">
        <v>8</v>
      </c>
      <c r="T56" t="n">
        <v>8</v>
      </c>
      <c r="U56" t="inlineStr">
        <is>
          <t>1997-05-08</t>
        </is>
      </c>
      <c r="V56" t="inlineStr">
        <is>
          <t>1997-05-08</t>
        </is>
      </c>
      <c r="W56" t="inlineStr">
        <is>
          <t>1990-11-30</t>
        </is>
      </c>
      <c r="X56" t="inlineStr">
        <is>
          <t>1990-11-30</t>
        </is>
      </c>
      <c r="Y56" t="n">
        <v>1254</v>
      </c>
      <c r="Z56" t="n">
        <v>1069</v>
      </c>
      <c r="AA56" t="n">
        <v>1075</v>
      </c>
      <c r="AB56" t="n">
        <v>10</v>
      </c>
      <c r="AC56" t="n">
        <v>10</v>
      </c>
      <c r="AD56" t="n">
        <v>48</v>
      </c>
      <c r="AE56" t="n">
        <v>48</v>
      </c>
      <c r="AF56" t="n">
        <v>20</v>
      </c>
      <c r="AG56" t="n">
        <v>20</v>
      </c>
      <c r="AH56" t="n">
        <v>9</v>
      </c>
      <c r="AI56" t="n">
        <v>9</v>
      </c>
      <c r="AJ56" t="n">
        <v>20</v>
      </c>
      <c r="AK56" t="n">
        <v>20</v>
      </c>
      <c r="AL56" t="n">
        <v>9</v>
      </c>
      <c r="AM56" t="n">
        <v>9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HYPERLINK("http://catalog.hathitrust.org/Record/007113407","HathiTrust Record")</f>
        <v/>
      </c>
      <c r="AS56">
        <f>HYPERLINK("https://creighton-primo.hosted.exlibrisgroup.com/primo-explore/search?tab=default_tab&amp;search_scope=EVERYTHING&amp;vid=01CRU&amp;lang=en_US&amp;offset=0&amp;query=any,contains,991004048359702656","Catalog Record")</f>
        <v/>
      </c>
      <c r="AT56">
        <f>HYPERLINK("http://www.worldcat.org/oclc/2205992","WorldCat Record")</f>
        <v/>
      </c>
      <c r="AU56" t="inlineStr">
        <is>
          <t>159726991:eng</t>
        </is>
      </c>
      <c r="AV56" t="inlineStr">
        <is>
          <t>2205992</t>
        </is>
      </c>
      <c r="AW56" t="inlineStr">
        <is>
          <t>991004048359702656</t>
        </is>
      </c>
      <c r="AX56" t="inlineStr">
        <is>
          <t>991004048359702656</t>
        </is>
      </c>
      <c r="AY56" t="inlineStr">
        <is>
          <t>2258001350002656</t>
        </is>
      </c>
      <c r="AZ56" t="inlineStr">
        <is>
          <t>BOOK</t>
        </is>
      </c>
      <c r="BB56" t="inlineStr">
        <is>
          <t>9780195019933</t>
        </is>
      </c>
      <c r="BC56" t="inlineStr">
        <is>
          <t>32285000411206</t>
        </is>
      </c>
      <c r="BD56" t="inlineStr">
        <is>
          <t>893788210</t>
        </is>
      </c>
    </row>
    <row r="57">
      <c r="A57" t="inlineStr">
        <is>
          <t>No</t>
        </is>
      </c>
      <c r="B57" t="inlineStr">
        <is>
          <t>PS1338 .L9</t>
        </is>
      </c>
      <c r="C57" t="inlineStr">
        <is>
          <t>0                      PS 1338000L  9</t>
        </is>
      </c>
      <c r="D57" t="inlineStr">
        <is>
          <t>Mark Twain and Southwestern humor.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Lynn, Kenneth Schuyler.</t>
        </is>
      </c>
      <c r="L57" t="inlineStr">
        <is>
          <t>Boston : Little, Brown, [1960 ,c1959]</t>
        </is>
      </c>
      <c r="M57" t="inlineStr">
        <is>
          <t>1960</t>
        </is>
      </c>
      <c r="N57" t="inlineStr">
        <is>
          <t>[1st ed.]</t>
        </is>
      </c>
      <c r="O57" t="inlineStr">
        <is>
          <t>eng</t>
        </is>
      </c>
      <c r="P57" t="inlineStr">
        <is>
          <t>mau</t>
        </is>
      </c>
      <c r="R57" t="inlineStr">
        <is>
          <t xml:space="preserve">PS </t>
        </is>
      </c>
      <c r="S57" t="n">
        <v>6</v>
      </c>
      <c r="T57" t="n">
        <v>6</v>
      </c>
      <c r="U57" t="inlineStr">
        <is>
          <t>1993-02-17</t>
        </is>
      </c>
      <c r="V57" t="inlineStr">
        <is>
          <t>1993-02-17</t>
        </is>
      </c>
      <c r="W57" t="inlineStr">
        <is>
          <t>1991-09-26</t>
        </is>
      </c>
      <c r="X57" t="inlineStr">
        <is>
          <t>1991-09-26</t>
        </is>
      </c>
      <c r="Y57" t="n">
        <v>566</v>
      </c>
      <c r="Z57" t="n">
        <v>533</v>
      </c>
      <c r="AA57" t="n">
        <v>897</v>
      </c>
      <c r="AB57" t="n">
        <v>5</v>
      </c>
      <c r="AC57" t="n">
        <v>8</v>
      </c>
      <c r="AD57" t="n">
        <v>25</v>
      </c>
      <c r="AE57" t="n">
        <v>42</v>
      </c>
      <c r="AF57" t="n">
        <v>10</v>
      </c>
      <c r="AG57" t="n">
        <v>17</v>
      </c>
      <c r="AH57" t="n">
        <v>5</v>
      </c>
      <c r="AI57" t="n">
        <v>10</v>
      </c>
      <c r="AJ57" t="n">
        <v>12</v>
      </c>
      <c r="AK57" t="n">
        <v>20</v>
      </c>
      <c r="AL57" t="n">
        <v>4</v>
      </c>
      <c r="AM57" t="n">
        <v>7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R57">
        <f>HYPERLINK("http://catalog.hathitrust.org/Record/000665236","HathiTrust Record")</f>
        <v/>
      </c>
      <c r="AS57">
        <f>HYPERLINK("https://creighton-primo.hosted.exlibrisgroup.com/primo-explore/search?tab=default_tab&amp;search_scope=EVERYTHING&amp;vid=01CRU&amp;lang=en_US&amp;offset=0&amp;query=any,contains,991004810099702656","Catalog Record")</f>
        <v/>
      </c>
      <c r="AT57">
        <f>HYPERLINK("http://www.worldcat.org/oclc/5270171","WorldCat Record")</f>
        <v/>
      </c>
      <c r="AU57" t="inlineStr">
        <is>
          <t>1531249:eng</t>
        </is>
      </c>
      <c r="AV57" t="inlineStr">
        <is>
          <t>5270171</t>
        </is>
      </c>
      <c r="AW57" t="inlineStr">
        <is>
          <t>991004810099702656</t>
        </is>
      </c>
      <c r="AX57" t="inlineStr">
        <is>
          <t>991004810099702656</t>
        </is>
      </c>
      <c r="AY57" t="inlineStr">
        <is>
          <t>2271720440002656</t>
        </is>
      </c>
      <c r="AZ57" t="inlineStr">
        <is>
          <t>BOOK</t>
        </is>
      </c>
      <c r="BC57" t="inlineStr">
        <is>
          <t>32285000760875</t>
        </is>
      </c>
      <c r="BD57" t="inlineStr">
        <is>
          <t>893789126</t>
        </is>
      </c>
    </row>
    <row r="58">
      <c r="A58" t="inlineStr">
        <is>
          <t>No</t>
        </is>
      </c>
      <c r="B58" t="inlineStr">
        <is>
          <t>PS1338 .M28 1985</t>
        </is>
      </c>
      <c r="C58" t="inlineStr">
        <is>
          <t>0                      PS 1338000M  28          1985</t>
        </is>
      </c>
      <c r="D58" t="inlineStr">
        <is>
          <t>Mark Twain : a sumptuous variety / edited by Robert Giddings.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London : Vision ; Totowa, NJ : Barnes &amp; Noble, 1985.</t>
        </is>
      </c>
      <c r="M58" t="inlineStr">
        <is>
          <t>1985</t>
        </is>
      </c>
      <c r="O58" t="inlineStr">
        <is>
          <t>eng</t>
        </is>
      </c>
      <c r="P58" t="inlineStr">
        <is>
          <t>enk</t>
        </is>
      </c>
      <c r="Q58" t="inlineStr">
        <is>
          <t>Critical studies series</t>
        </is>
      </c>
      <c r="R58" t="inlineStr">
        <is>
          <t xml:space="preserve">PS </t>
        </is>
      </c>
      <c r="S58" t="n">
        <v>4</v>
      </c>
      <c r="T58" t="n">
        <v>4</v>
      </c>
      <c r="U58" t="inlineStr">
        <is>
          <t>2002-02-25</t>
        </is>
      </c>
      <c r="V58" t="inlineStr">
        <is>
          <t>2002-02-25</t>
        </is>
      </c>
      <c r="W58" t="inlineStr">
        <is>
          <t>1990-10-25</t>
        </is>
      </c>
      <c r="X58" t="inlineStr">
        <is>
          <t>1990-10-25</t>
        </is>
      </c>
      <c r="Y58" t="n">
        <v>480</v>
      </c>
      <c r="Z58" t="n">
        <v>399</v>
      </c>
      <c r="AA58" t="n">
        <v>406</v>
      </c>
      <c r="AB58" t="n">
        <v>4</v>
      </c>
      <c r="AC58" t="n">
        <v>4</v>
      </c>
      <c r="AD58" t="n">
        <v>17</v>
      </c>
      <c r="AE58" t="n">
        <v>17</v>
      </c>
      <c r="AF58" t="n">
        <v>3</v>
      </c>
      <c r="AG58" t="n">
        <v>3</v>
      </c>
      <c r="AH58" t="n">
        <v>4</v>
      </c>
      <c r="AI58" t="n">
        <v>4</v>
      </c>
      <c r="AJ58" t="n">
        <v>11</v>
      </c>
      <c r="AK58" t="n">
        <v>11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HYPERLINK("http://catalog.hathitrust.org/Record/000607726","HathiTrust Record")</f>
        <v/>
      </c>
      <c r="AS58">
        <f>HYPERLINK("https://creighton-primo.hosted.exlibrisgroup.com/primo-explore/search?tab=default_tab&amp;search_scope=EVERYTHING&amp;vid=01CRU&amp;lang=en_US&amp;offset=0&amp;query=any,contains,991000817499702656","Catalog Record")</f>
        <v/>
      </c>
      <c r="AT58">
        <f>HYPERLINK("http://www.worldcat.org/oclc/13360452","WorldCat Record")</f>
        <v/>
      </c>
      <c r="AU58" t="inlineStr">
        <is>
          <t>807475506:eng</t>
        </is>
      </c>
      <c r="AV58" t="inlineStr">
        <is>
          <t>13360452</t>
        </is>
      </c>
      <c r="AW58" t="inlineStr">
        <is>
          <t>991000817499702656</t>
        </is>
      </c>
      <c r="AX58" t="inlineStr">
        <is>
          <t>991000817499702656</t>
        </is>
      </c>
      <c r="AY58" t="inlineStr">
        <is>
          <t>2269764800002656</t>
        </is>
      </c>
      <c r="AZ58" t="inlineStr">
        <is>
          <t>BOOK</t>
        </is>
      </c>
      <c r="BB58" t="inlineStr">
        <is>
          <t>9780389205418</t>
        </is>
      </c>
      <c r="BC58" t="inlineStr">
        <is>
          <t>32285000362615</t>
        </is>
      </c>
      <c r="BD58" t="inlineStr">
        <is>
          <t>893696201</t>
        </is>
      </c>
    </row>
    <row r="59">
      <c r="A59" t="inlineStr">
        <is>
          <t>No</t>
        </is>
      </c>
      <c r="B59" t="inlineStr">
        <is>
          <t>PS1338 .W5 1987</t>
        </is>
      </c>
      <c r="C59" t="inlineStr">
        <is>
          <t>0                      PS 1338000W  5           1987</t>
        </is>
      </c>
      <c r="D59" t="inlineStr">
        <is>
          <t>A reader's guide to the short stories of Mark Twain / James D. Wilson.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Wilson, James D. (James Darrell), 1946-</t>
        </is>
      </c>
      <c r="L59" t="inlineStr">
        <is>
          <t>Boston, Mass. : G.K. Hall, c1987.</t>
        </is>
      </c>
      <c r="M59" t="inlineStr">
        <is>
          <t>1987</t>
        </is>
      </c>
      <c r="O59" t="inlineStr">
        <is>
          <t>eng</t>
        </is>
      </c>
      <c r="P59" t="inlineStr">
        <is>
          <t>mau</t>
        </is>
      </c>
      <c r="Q59" t="inlineStr">
        <is>
          <t>A Reference publication in literature</t>
        </is>
      </c>
      <c r="R59" t="inlineStr">
        <is>
          <t xml:space="preserve">PS </t>
        </is>
      </c>
      <c r="S59" t="n">
        <v>1</v>
      </c>
      <c r="T59" t="n">
        <v>1</v>
      </c>
      <c r="U59" t="inlineStr">
        <is>
          <t>1994-04-14</t>
        </is>
      </c>
      <c r="V59" t="inlineStr">
        <is>
          <t>1994-04-14</t>
        </is>
      </c>
      <c r="W59" t="inlineStr">
        <is>
          <t>1990-10-25</t>
        </is>
      </c>
      <c r="X59" t="inlineStr">
        <is>
          <t>1990-10-25</t>
        </is>
      </c>
      <c r="Y59" t="n">
        <v>1059</v>
      </c>
      <c r="Z59" t="n">
        <v>986</v>
      </c>
      <c r="AA59" t="n">
        <v>993</v>
      </c>
      <c r="AB59" t="n">
        <v>6</v>
      </c>
      <c r="AC59" t="n">
        <v>6</v>
      </c>
      <c r="AD59" t="n">
        <v>37</v>
      </c>
      <c r="AE59" t="n">
        <v>37</v>
      </c>
      <c r="AF59" t="n">
        <v>16</v>
      </c>
      <c r="AG59" t="n">
        <v>16</v>
      </c>
      <c r="AH59" t="n">
        <v>7</v>
      </c>
      <c r="AI59" t="n">
        <v>7</v>
      </c>
      <c r="AJ59" t="n">
        <v>16</v>
      </c>
      <c r="AK59" t="n">
        <v>16</v>
      </c>
      <c r="AL59" t="n">
        <v>5</v>
      </c>
      <c r="AM59" t="n">
        <v>5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HYPERLINK("http://catalog.hathitrust.org/Record/000836795","HathiTrust Record")</f>
        <v/>
      </c>
      <c r="AS59">
        <f>HYPERLINK("https://creighton-primo.hosted.exlibrisgroup.com/primo-explore/search?tab=default_tab&amp;search_scope=EVERYTHING&amp;vid=01CRU&amp;lang=en_US&amp;offset=0&amp;query=any,contains,991000969859702656","Catalog Record")</f>
        <v/>
      </c>
      <c r="AT59">
        <f>HYPERLINK("http://www.worldcat.org/oclc/14933030","WorldCat Record")</f>
        <v/>
      </c>
      <c r="AU59" t="inlineStr">
        <is>
          <t>8995951:eng</t>
        </is>
      </c>
      <c r="AV59" t="inlineStr">
        <is>
          <t>14933030</t>
        </is>
      </c>
      <c r="AW59" t="inlineStr">
        <is>
          <t>991000969859702656</t>
        </is>
      </c>
      <c r="AX59" t="inlineStr">
        <is>
          <t>991000969859702656</t>
        </is>
      </c>
      <c r="AY59" t="inlineStr">
        <is>
          <t>2260862070002656</t>
        </is>
      </c>
      <c r="AZ59" t="inlineStr">
        <is>
          <t>BOOK</t>
        </is>
      </c>
      <c r="BB59" t="inlineStr">
        <is>
          <t>9780816187218</t>
        </is>
      </c>
      <c r="BC59" t="inlineStr">
        <is>
          <t>32285000362631</t>
        </is>
      </c>
      <c r="BD59" t="inlineStr">
        <is>
          <t>893315401</t>
        </is>
      </c>
    </row>
    <row r="60">
      <c r="A60" t="inlineStr">
        <is>
          <t>No</t>
        </is>
      </c>
      <c r="B60" t="inlineStr">
        <is>
          <t>PS1342.H47 H64 1988</t>
        </is>
      </c>
      <c r="C60" t="inlineStr">
        <is>
          <t>0                      PS 1342000H  47                 H  64          1988</t>
        </is>
      </c>
      <c r="D60" t="inlineStr">
        <is>
          <t>Twain's heroes, Twain's worlds : Mark Twain's Adventures of Huckleberry Finn, A Connecticut Yankee in King Arthur's court, and Pudd'nhead Wilson / Andrew Jay Hoffman.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Hoffman, Andrew Jay.</t>
        </is>
      </c>
      <c r="L60" t="inlineStr">
        <is>
          <t>Philadelphia : University of Pennsylvania Press, c1988.</t>
        </is>
      </c>
      <c r="M60" t="inlineStr">
        <is>
          <t>1988</t>
        </is>
      </c>
      <c r="O60" t="inlineStr">
        <is>
          <t>eng</t>
        </is>
      </c>
      <c r="P60" t="inlineStr">
        <is>
          <t>pau</t>
        </is>
      </c>
      <c r="R60" t="inlineStr">
        <is>
          <t xml:space="preserve">PS </t>
        </is>
      </c>
      <c r="S60" t="n">
        <v>9</v>
      </c>
      <c r="T60" t="n">
        <v>9</v>
      </c>
      <c r="U60" t="inlineStr">
        <is>
          <t>2003-12-08</t>
        </is>
      </c>
      <c r="V60" t="inlineStr">
        <is>
          <t>2003-12-08</t>
        </is>
      </c>
      <c r="W60" t="inlineStr">
        <is>
          <t>1990-10-25</t>
        </is>
      </c>
      <c r="X60" t="inlineStr">
        <is>
          <t>1990-10-25</t>
        </is>
      </c>
      <c r="Y60" t="n">
        <v>656</v>
      </c>
      <c r="Z60" t="n">
        <v>568</v>
      </c>
      <c r="AA60" t="n">
        <v>570</v>
      </c>
      <c r="AB60" t="n">
        <v>5</v>
      </c>
      <c r="AC60" t="n">
        <v>5</v>
      </c>
      <c r="AD60" t="n">
        <v>21</v>
      </c>
      <c r="AE60" t="n">
        <v>21</v>
      </c>
      <c r="AF60" t="n">
        <v>4</v>
      </c>
      <c r="AG60" t="n">
        <v>4</v>
      </c>
      <c r="AH60" t="n">
        <v>5</v>
      </c>
      <c r="AI60" t="n">
        <v>5</v>
      </c>
      <c r="AJ60" t="n">
        <v>12</v>
      </c>
      <c r="AK60" t="n">
        <v>12</v>
      </c>
      <c r="AL60" t="n">
        <v>4</v>
      </c>
      <c r="AM60" t="n">
        <v>4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HYPERLINK("http://catalog.hathitrust.org/Record/001082608","HathiTrust Record")</f>
        <v/>
      </c>
      <c r="AS60">
        <f>HYPERLINK("https://creighton-primo.hosted.exlibrisgroup.com/primo-explore/search?tab=default_tab&amp;search_scope=EVERYTHING&amp;vid=01CRU&amp;lang=en_US&amp;offset=0&amp;query=any,contains,991001314809702656","Catalog Record")</f>
        <v/>
      </c>
      <c r="AT60">
        <f>HYPERLINK("http://www.worldcat.org/oclc/18166237","WorldCat Record")</f>
        <v/>
      </c>
      <c r="AU60" t="inlineStr">
        <is>
          <t>321758013:eng</t>
        </is>
      </c>
      <c r="AV60" t="inlineStr">
        <is>
          <t>18166237</t>
        </is>
      </c>
      <c r="AW60" t="inlineStr">
        <is>
          <t>991001314809702656</t>
        </is>
      </c>
      <c r="AX60" t="inlineStr">
        <is>
          <t>991001314809702656</t>
        </is>
      </c>
      <c r="AY60" t="inlineStr">
        <is>
          <t>2262151940002656</t>
        </is>
      </c>
      <c r="AZ60" t="inlineStr">
        <is>
          <t>BOOK</t>
        </is>
      </c>
      <c r="BB60" t="inlineStr">
        <is>
          <t>9780812281392</t>
        </is>
      </c>
      <c r="BC60" t="inlineStr">
        <is>
          <t>32285000362649</t>
        </is>
      </c>
      <c r="BD60" t="inlineStr">
        <is>
          <t>893432784</t>
        </is>
      </c>
    </row>
    <row r="61">
      <c r="A61" t="inlineStr">
        <is>
          <t>No</t>
        </is>
      </c>
      <c r="B61" t="inlineStr">
        <is>
          <t>PS1342.R6 L5 1970</t>
        </is>
      </c>
      <c r="C61" t="inlineStr">
        <is>
          <t>0                      PS 1342000R  6                  L  5           1970</t>
        </is>
      </c>
      <c r="D61" t="inlineStr">
        <is>
          <t>The revolt against romanticism in American literature as evidenced in the works of S. L. Clemens / by S. B. Liljegren.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Liljegren, S. B. (Sten Bodvar), 1885-1984.</t>
        </is>
      </c>
      <c r="L61" t="inlineStr">
        <is>
          <t>New York : Haskell House, 1970.</t>
        </is>
      </c>
      <c r="M61" t="inlineStr">
        <is>
          <t>1970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PS </t>
        </is>
      </c>
      <c r="S61" t="n">
        <v>1</v>
      </c>
      <c r="T61" t="n">
        <v>1</v>
      </c>
      <c r="U61" t="inlineStr">
        <is>
          <t>2005-04-12</t>
        </is>
      </c>
      <c r="V61" t="inlineStr">
        <is>
          <t>2005-04-12</t>
        </is>
      </c>
      <c r="W61" t="inlineStr">
        <is>
          <t>1999-06-03</t>
        </is>
      </c>
      <c r="X61" t="inlineStr">
        <is>
          <t>1999-06-03</t>
        </is>
      </c>
      <c r="Y61" t="n">
        <v>90</v>
      </c>
      <c r="Z61" t="n">
        <v>82</v>
      </c>
      <c r="AA61" t="n">
        <v>464</v>
      </c>
      <c r="AB61" t="n">
        <v>1</v>
      </c>
      <c r="AC61" t="n">
        <v>4</v>
      </c>
      <c r="AD61" t="n">
        <v>3</v>
      </c>
      <c r="AE61" t="n">
        <v>23</v>
      </c>
      <c r="AF61" t="n">
        <v>3</v>
      </c>
      <c r="AG61" t="n">
        <v>9</v>
      </c>
      <c r="AH61" t="n">
        <v>0</v>
      </c>
      <c r="AI61" t="n">
        <v>5</v>
      </c>
      <c r="AJ61" t="n">
        <v>1</v>
      </c>
      <c r="AK61" t="n">
        <v>12</v>
      </c>
      <c r="AL61" t="n">
        <v>0</v>
      </c>
      <c r="AM61" t="n">
        <v>3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HYPERLINK("http://catalog.hathitrust.org/Record/009909811","HathiTrust Record")</f>
        <v/>
      </c>
      <c r="AS61">
        <f>HYPERLINK("https://creighton-primo.hosted.exlibrisgroup.com/primo-explore/search?tab=default_tab&amp;search_scope=EVERYTHING&amp;vid=01CRU&amp;lang=en_US&amp;offset=0&amp;query=any,contains,991004447779702656","Catalog Record")</f>
        <v/>
      </c>
      <c r="AT61">
        <f>HYPERLINK("http://www.worldcat.org/oclc/3490697","WorldCat Record")</f>
        <v/>
      </c>
      <c r="AU61" t="inlineStr">
        <is>
          <t>502739:eng</t>
        </is>
      </c>
      <c r="AV61" t="inlineStr">
        <is>
          <t>3490697</t>
        </is>
      </c>
      <c r="AW61" t="inlineStr">
        <is>
          <t>991004447779702656</t>
        </is>
      </c>
      <c r="AX61" t="inlineStr">
        <is>
          <t>991004447779702656</t>
        </is>
      </c>
      <c r="AY61" t="inlineStr">
        <is>
          <t>2268196280002656</t>
        </is>
      </c>
      <c r="AZ61" t="inlineStr">
        <is>
          <t>BOOK</t>
        </is>
      </c>
      <c r="BB61" t="inlineStr">
        <is>
          <t>9780838305836</t>
        </is>
      </c>
      <c r="BC61" t="inlineStr">
        <is>
          <t>32285003572830</t>
        </is>
      </c>
      <c r="BD61" t="inlineStr">
        <is>
          <t>893876125</t>
        </is>
      </c>
    </row>
    <row r="62">
      <c r="A62" t="inlineStr">
        <is>
          <t>No</t>
        </is>
      </c>
      <c r="B62" t="inlineStr">
        <is>
          <t>PS1431 .D9 1991</t>
        </is>
      </c>
      <c r="C62" t="inlineStr">
        <is>
          <t>0                      PS 1431000D  9           1991</t>
        </is>
      </c>
      <c r="D62" t="inlineStr">
        <is>
          <t>James Fenimore Cooper : an annotated bibliography of criticism / compiled by Alan Frank Dyer.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Dyer, Alan Frank.</t>
        </is>
      </c>
      <c r="L62" t="inlineStr">
        <is>
          <t>New York : Greenwood Press, 1991.</t>
        </is>
      </c>
      <c r="M62" t="inlineStr">
        <is>
          <t>1991</t>
        </is>
      </c>
      <c r="O62" t="inlineStr">
        <is>
          <t>eng</t>
        </is>
      </c>
      <c r="P62" t="inlineStr">
        <is>
          <t>nyu</t>
        </is>
      </c>
      <c r="Q62" t="inlineStr">
        <is>
          <t>Bibliographies and indexes in American literature, 0742-6860 ; no. 16</t>
        </is>
      </c>
      <c r="R62" t="inlineStr">
        <is>
          <t xml:space="preserve">PS </t>
        </is>
      </c>
      <c r="S62" t="n">
        <v>2</v>
      </c>
      <c r="T62" t="n">
        <v>2</v>
      </c>
      <c r="U62" t="inlineStr">
        <is>
          <t>1992-12-17</t>
        </is>
      </c>
      <c r="V62" t="inlineStr">
        <is>
          <t>1992-12-17</t>
        </is>
      </c>
      <c r="W62" t="inlineStr">
        <is>
          <t>1992-06-01</t>
        </is>
      </c>
      <c r="X62" t="inlineStr">
        <is>
          <t>1992-06-01</t>
        </is>
      </c>
      <c r="Y62" t="n">
        <v>328</v>
      </c>
      <c r="Z62" t="n">
        <v>270</v>
      </c>
      <c r="AA62" t="n">
        <v>277</v>
      </c>
      <c r="AB62" t="n">
        <v>3</v>
      </c>
      <c r="AC62" t="n">
        <v>3</v>
      </c>
      <c r="AD62" t="n">
        <v>15</v>
      </c>
      <c r="AE62" t="n">
        <v>15</v>
      </c>
      <c r="AF62" t="n">
        <v>4</v>
      </c>
      <c r="AG62" t="n">
        <v>4</v>
      </c>
      <c r="AH62" t="n">
        <v>5</v>
      </c>
      <c r="AI62" t="n">
        <v>5</v>
      </c>
      <c r="AJ62" t="n">
        <v>9</v>
      </c>
      <c r="AK62" t="n">
        <v>9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HYPERLINK("http://catalog.hathitrust.org/Record/002552951","HathiTrust Record")</f>
        <v/>
      </c>
      <c r="AS62">
        <f>HYPERLINK("https://creighton-primo.hosted.exlibrisgroup.com/primo-explore/search?tab=default_tab&amp;search_scope=EVERYTHING&amp;vid=01CRU&amp;lang=en_US&amp;offset=0&amp;query=any,contains,991001913889702656","Catalog Record")</f>
        <v/>
      </c>
      <c r="AT62">
        <f>HYPERLINK("http://www.worldcat.org/oclc/24173641","WorldCat Record")</f>
        <v/>
      </c>
      <c r="AU62" t="inlineStr">
        <is>
          <t>1862946731:eng</t>
        </is>
      </c>
      <c r="AV62" t="inlineStr">
        <is>
          <t>24173641</t>
        </is>
      </c>
      <c r="AW62" t="inlineStr">
        <is>
          <t>991001913889702656</t>
        </is>
      </c>
      <c r="AX62" t="inlineStr">
        <is>
          <t>991001913889702656</t>
        </is>
      </c>
      <c r="AY62" t="inlineStr">
        <is>
          <t>2269009960002656</t>
        </is>
      </c>
      <c r="AZ62" t="inlineStr">
        <is>
          <t>BOOK</t>
        </is>
      </c>
      <c r="BB62" t="inlineStr">
        <is>
          <t>9780313279195</t>
        </is>
      </c>
      <c r="BC62" t="inlineStr">
        <is>
          <t>32285001125417</t>
        </is>
      </c>
      <c r="BD62" t="inlineStr">
        <is>
          <t>893420739</t>
        </is>
      </c>
    </row>
    <row r="63">
      <c r="A63" t="inlineStr">
        <is>
          <t>No</t>
        </is>
      </c>
      <c r="B63" t="inlineStr">
        <is>
          <t>PS1438 .D38</t>
        </is>
      </c>
      <c r="C63" t="inlineStr">
        <is>
          <t>0                      PS 1438000D  38</t>
        </is>
      </c>
      <c r="D63" t="inlineStr">
        <is>
          <t>Fenimore Cooper--the critical heritage / edited by George Dekker and John P. McWilliams.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Dekker, George, compiler.</t>
        </is>
      </c>
      <c r="L63" t="inlineStr">
        <is>
          <t>London ; Boston : Routledge and Kegan Paul, 1973.</t>
        </is>
      </c>
      <c r="M63" t="inlineStr">
        <is>
          <t>1973</t>
        </is>
      </c>
      <c r="O63" t="inlineStr">
        <is>
          <t>eng</t>
        </is>
      </c>
      <c r="P63" t="inlineStr">
        <is>
          <t>enk</t>
        </is>
      </c>
      <c r="Q63" t="inlineStr">
        <is>
          <t>Critical heritage series</t>
        </is>
      </c>
      <c r="R63" t="inlineStr">
        <is>
          <t xml:space="preserve">PS </t>
        </is>
      </c>
      <c r="S63" t="n">
        <v>4</v>
      </c>
      <c r="T63" t="n">
        <v>4</v>
      </c>
      <c r="U63" t="inlineStr">
        <is>
          <t>1996-02-24</t>
        </is>
      </c>
      <c r="V63" t="inlineStr">
        <is>
          <t>1996-02-24</t>
        </is>
      </c>
      <c r="W63" t="inlineStr">
        <is>
          <t>1992-05-07</t>
        </is>
      </c>
      <c r="X63" t="inlineStr">
        <is>
          <t>1992-05-07</t>
        </is>
      </c>
      <c r="Y63" t="n">
        <v>766</v>
      </c>
      <c r="Z63" t="n">
        <v>554</v>
      </c>
      <c r="AA63" t="n">
        <v>587</v>
      </c>
      <c r="AB63" t="n">
        <v>4</v>
      </c>
      <c r="AC63" t="n">
        <v>4</v>
      </c>
      <c r="AD63" t="n">
        <v>30</v>
      </c>
      <c r="AE63" t="n">
        <v>31</v>
      </c>
      <c r="AF63" t="n">
        <v>11</v>
      </c>
      <c r="AG63" t="n">
        <v>12</v>
      </c>
      <c r="AH63" t="n">
        <v>8</v>
      </c>
      <c r="AI63" t="n">
        <v>8</v>
      </c>
      <c r="AJ63" t="n">
        <v>16</v>
      </c>
      <c r="AK63" t="n">
        <v>17</v>
      </c>
      <c r="AL63" t="n">
        <v>3</v>
      </c>
      <c r="AM63" t="n">
        <v>3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HYPERLINK("https://creighton-primo.hosted.exlibrisgroup.com/primo-explore/search?tab=default_tab&amp;search_scope=EVERYTHING&amp;vid=01CRU&amp;lang=en_US&amp;offset=0&amp;query=any,contains,991003379469702656","Catalog Record")</f>
        <v/>
      </c>
      <c r="AT63">
        <f>HYPERLINK("http://www.worldcat.org/oclc/915710","WorldCat Record")</f>
        <v/>
      </c>
      <c r="AU63" t="inlineStr">
        <is>
          <t>505533588:eng</t>
        </is>
      </c>
      <c r="AV63" t="inlineStr">
        <is>
          <t>915710</t>
        </is>
      </c>
      <c r="AW63" t="inlineStr">
        <is>
          <t>991003379469702656</t>
        </is>
      </c>
      <c r="AX63" t="inlineStr">
        <is>
          <t>991003379469702656</t>
        </is>
      </c>
      <c r="AY63" t="inlineStr">
        <is>
          <t>2264766610002656</t>
        </is>
      </c>
      <c r="AZ63" t="inlineStr">
        <is>
          <t>BOOK</t>
        </is>
      </c>
      <c r="BB63" t="inlineStr">
        <is>
          <t>9780710076359</t>
        </is>
      </c>
      <c r="BC63" t="inlineStr">
        <is>
          <t>32285001093516</t>
        </is>
      </c>
      <c r="BD63" t="inlineStr">
        <is>
          <t>893604741</t>
        </is>
      </c>
    </row>
    <row r="64">
      <c r="A64" t="inlineStr">
        <is>
          <t>No</t>
        </is>
      </c>
      <c r="B64" t="inlineStr">
        <is>
          <t>PS1438 .F67</t>
        </is>
      </c>
      <c r="C64" t="inlineStr">
        <is>
          <t>0                      PS 1438000F  67</t>
        </is>
      </c>
      <c r="D64" t="inlineStr">
        <is>
          <t>The new world of James Fenimore Cooper / Wayne Franklin.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Franklin, Wayne.</t>
        </is>
      </c>
      <c r="L64" t="inlineStr">
        <is>
          <t>Chicago : University of Chicago Press, 1982.</t>
        </is>
      </c>
      <c r="M64" t="inlineStr">
        <is>
          <t>1982</t>
        </is>
      </c>
      <c r="O64" t="inlineStr">
        <is>
          <t>eng</t>
        </is>
      </c>
      <c r="P64" t="inlineStr">
        <is>
          <t>ilu</t>
        </is>
      </c>
      <c r="R64" t="inlineStr">
        <is>
          <t xml:space="preserve">PS </t>
        </is>
      </c>
      <c r="S64" t="n">
        <v>2</v>
      </c>
      <c r="T64" t="n">
        <v>2</v>
      </c>
      <c r="U64" t="inlineStr">
        <is>
          <t>1992-12-17</t>
        </is>
      </c>
      <c r="V64" t="inlineStr">
        <is>
          <t>1992-12-17</t>
        </is>
      </c>
      <c r="W64" t="inlineStr">
        <is>
          <t>1991-01-08</t>
        </is>
      </c>
      <c r="X64" t="inlineStr">
        <is>
          <t>1991-01-08</t>
        </is>
      </c>
      <c r="Y64" t="n">
        <v>740</v>
      </c>
      <c r="Z64" t="n">
        <v>638</v>
      </c>
      <c r="AA64" t="n">
        <v>638</v>
      </c>
      <c r="AB64" t="n">
        <v>4</v>
      </c>
      <c r="AC64" t="n">
        <v>4</v>
      </c>
      <c r="AD64" t="n">
        <v>34</v>
      </c>
      <c r="AE64" t="n">
        <v>34</v>
      </c>
      <c r="AF64" t="n">
        <v>15</v>
      </c>
      <c r="AG64" t="n">
        <v>15</v>
      </c>
      <c r="AH64" t="n">
        <v>10</v>
      </c>
      <c r="AI64" t="n">
        <v>10</v>
      </c>
      <c r="AJ64" t="n">
        <v>18</v>
      </c>
      <c r="AK64" t="n">
        <v>18</v>
      </c>
      <c r="AL64" t="n">
        <v>3</v>
      </c>
      <c r="AM64" t="n">
        <v>3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HYPERLINK("https://creighton-primo.hosted.exlibrisgroup.com/primo-explore/search?tab=default_tab&amp;search_scope=EVERYTHING&amp;vid=01CRU&amp;lang=en_US&amp;offset=0&amp;query=any,contains,991005172639702656","Catalog Record")</f>
        <v/>
      </c>
      <c r="AT64">
        <f>HYPERLINK("http://www.worldcat.org/oclc/7876228","WorldCat Record")</f>
        <v/>
      </c>
      <c r="AU64" t="inlineStr">
        <is>
          <t>418318:eng</t>
        </is>
      </c>
      <c r="AV64" t="inlineStr">
        <is>
          <t>7876228</t>
        </is>
      </c>
      <c r="AW64" t="inlineStr">
        <is>
          <t>991005172639702656</t>
        </is>
      </c>
      <c r="AX64" t="inlineStr">
        <is>
          <t>991005172639702656</t>
        </is>
      </c>
      <c r="AY64" t="inlineStr">
        <is>
          <t>2266552290002656</t>
        </is>
      </c>
      <c r="AZ64" t="inlineStr">
        <is>
          <t>BOOK</t>
        </is>
      </c>
      <c r="BB64" t="inlineStr">
        <is>
          <t>9780226260808</t>
        </is>
      </c>
      <c r="BC64" t="inlineStr">
        <is>
          <t>32285000454644</t>
        </is>
      </c>
      <c r="BD64" t="inlineStr">
        <is>
          <t>893707389</t>
        </is>
      </c>
    </row>
    <row r="65">
      <c r="A65" t="inlineStr">
        <is>
          <t>No</t>
        </is>
      </c>
      <c r="B65" t="inlineStr">
        <is>
          <t>PS1438 .J33 1985b</t>
        </is>
      </c>
      <c r="C65" t="inlineStr">
        <is>
          <t>0                      PS 1438000J  33          1985b</t>
        </is>
      </c>
      <c r="D65" t="inlineStr">
        <is>
          <t>James Fenimore Cooper : new critical essays / edited by Robert Clark.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London : Vision ; Totowa, NJ : Barnes &amp; Noble, 1985.</t>
        </is>
      </c>
      <c r="M65" t="inlineStr">
        <is>
          <t>1985</t>
        </is>
      </c>
      <c r="O65" t="inlineStr">
        <is>
          <t>eng</t>
        </is>
      </c>
      <c r="P65" t="inlineStr">
        <is>
          <t>enk</t>
        </is>
      </c>
      <c r="Q65" t="inlineStr">
        <is>
          <t>Critical studies series</t>
        </is>
      </c>
      <c r="R65" t="inlineStr">
        <is>
          <t xml:space="preserve">PS </t>
        </is>
      </c>
      <c r="S65" t="n">
        <v>7</v>
      </c>
      <c r="T65" t="n">
        <v>7</v>
      </c>
      <c r="U65" t="inlineStr">
        <is>
          <t>1996-02-15</t>
        </is>
      </c>
      <c r="V65" t="inlineStr">
        <is>
          <t>1996-02-15</t>
        </is>
      </c>
      <c r="W65" t="inlineStr">
        <is>
          <t>1990-10-25</t>
        </is>
      </c>
      <c r="X65" t="inlineStr">
        <is>
          <t>1990-10-25</t>
        </is>
      </c>
      <c r="Y65" t="n">
        <v>601</v>
      </c>
      <c r="Z65" t="n">
        <v>509</v>
      </c>
      <c r="AA65" t="n">
        <v>615</v>
      </c>
      <c r="AB65" t="n">
        <v>5</v>
      </c>
      <c r="AC65" t="n">
        <v>6</v>
      </c>
      <c r="AD65" t="n">
        <v>26</v>
      </c>
      <c r="AE65" t="n">
        <v>30</v>
      </c>
      <c r="AF65" t="n">
        <v>8</v>
      </c>
      <c r="AG65" t="n">
        <v>11</v>
      </c>
      <c r="AH65" t="n">
        <v>6</v>
      </c>
      <c r="AI65" t="n">
        <v>6</v>
      </c>
      <c r="AJ65" t="n">
        <v>15</v>
      </c>
      <c r="AK65" t="n">
        <v>17</v>
      </c>
      <c r="AL65" t="n">
        <v>4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HYPERLINK("http://catalog.hathitrust.org/Record/000577172","HathiTrust Record")</f>
        <v/>
      </c>
      <c r="AS65">
        <f>HYPERLINK("https://creighton-primo.hosted.exlibrisgroup.com/primo-explore/search?tab=default_tab&amp;search_scope=EVERYTHING&amp;vid=01CRU&amp;lang=en_US&amp;offset=0&amp;query=any,contains,991000751579702656","Catalog Record")</f>
        <v/>
      </c>
      <c r="AT65">
        <f>HYPERLINK("http://www.worldcat.org/oclc/12933680","WorldCat Record")</f>
        <v/>
      </c>
      <c r="AU65" t="inlineStr">
        <is>
          <t>836684301:eng</t>
        </is>
      </c>
      <c r="AV65" t="inlineStr">
        <is>
          <t>12933680</t>
        </is>
      </c>
      <c r="AW65" t="inlineStr">
        <is>
          <t>991000751579702656</t>
        </is>
      </c>
      <c r="AX65" t="inlineStr">
        <is>
          <t>991000751579702656</t>
        </is>
      </c>
      <c r="AY65" t="inlineStr">
        <is>
          <t>2256021390002656</t>
        </is>
      </c>
      <c r="AZ65" t="inlineStr">
        <is>
          <t>BOOK</t>
        </is>
      </c>
      <c r="BB65" t="inlineStr">
        <is>
          <t>9780389205920</t>
        </is>
      </c>
      <c r="BC65" t="inlineStr">
        <is>
          <t>32285000362680</t>
        </is>
      </c>
      <c r="BD65" t="inlineStr">
        <is>
          <t>893690002</t>
        </is>
      </c>
    </row>
    <row r="66">
      <c r="A66" t="inlineStr">
        <is>
          <t>No</t>
        </is>
      </c>
      <c r="B66" t="inlineStr">
        <is>
          <t>PS1438 .R5 1988</t>
        </is>
      </c>
      <c r="C66" t="inlineStr">
        <is>
          <t>0                      PS 1438000R  5           1988</t>
        </is>
      </c>
      <c r="D66" t="inlineStr">
        <is>
          <t>James Fenimore Cooper / Donald A. Ringe.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Yes</t>
        </is>
      </c>
      <c r="J66" t="inlineStr">
        <is>
          <t>0</t>
        </is>
      </c>
      <c r="K66" t="inlineStr">
        <is>
          <t>Ringe, Donald A.</t>
        </is>
      </c>
      <c r="L66" t="inlineStr">
        <is>
          <t>Boston : Twayne, c1988.</t>
        </is>
      </c>
      <c r="M66" t="inlineStr">
        <is>
          <t>1988</t>
        </is>
      </c>
      <c r="N66" t="inlineStr">
        <is>
          <t>Updated ed.</t>
        </is>
      </c>
      <c r="O66" t="inlineStr">
        <is>
          <t>eng</t>
        </is>
      </c>
      <c r="P66" t="inlineStr">
        <is>
          <t>mau</t>
        </is>
      </c>
      <c r="Q66" t="inlineStr">
        <is>
          <t>Twayne's United States authors series ; TUSAS 11</t>
        </is>
      </c>
      <c r="R66" t="inlineStr">
        <is>
          <t xml:space="preserve">PS </t>
        </is>
      </c>
      <c r="S66" t="n">
        <v>4</v>
      </c>
      <c r="T66" t="n">
        <v>4</v>
      </c>
      <c r="U66" t="inlineStr">
        <is>
          <t>1996-02-15</t>
        </is>
      </c>
      <c r="V66" t="inlineStr">
        <is>
          <t>1996-02-15</t>
        </is>
      </c>
      <c r="W66" t="inlineStr">
        <is>
          <t>1990-10-25</t>
        </is>
      </c>
      <c r="X66" t="inlineStr">
        <is>
          <t>1990-10-25</t>
        </is>
      </c>
      <c r="Y66" t="n">
        <v>861</v>
      </c>
      <c r="Z66" t="n">
        <v>786</v>
      </c>
      <c r="AA66" t="n">
        <v>2182</v>
      </c>
      <c r="AB66" t="n">
        <v>6</v>
      </c>
      <c r="AC66" t="n">
        <v>18</v>
      </c>
      <c r="AD66" t="n">
        <v>27</v>
      </c>
      <c r="AE66" t="n">
        <v>63</v>
      </c>
      <c r="AF66" t="n">
        <v>12</v>
      </c>
      <c r="AG66" t="n">
        <v>27</v>
      </c>
      <c r="AH66" t="n">
        <v>4</v>
      </c>
      <c r="AI66" t="n">
        <v>10</v>
      </c>
      <c r="AJ66" t="n">
        <v>14</v>
      </c>
      <c r="AK66" t="n">
        <v>25</v>
      </c>
      <c r="AL66" t="n">
        <v>4</v>
      </c>
      <c r="AM66" t="n">
        <v>14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HYPERLINK("http://catalog.hathitrust.org/Record/001074414","HathiTrust Record")</f>
        <v/>
      </c>
      <c r="AS66">
        <f>HYPERLINK("https://creighton-primo.hosted.exlibrisgroup.com/primo-explore/search?tab=default_tab&amp;search_scope=EVERYTHING&amp;vid=01CRU&amp;lang=en_US&amp;offset=0&amp;query=any,contains,991001277249702656","Catalog Record")</f>
        <v/>
      </c>
      <c r="AT66">
        <f>HYPERLINK("http://www.worldcat.org/oclc/17877136","WorldCat Record")</f>
        <v/>
      </c>
      <c r="AU66" t="inlineStr">
        <is>
          <t>579416:eng</t>
        </is>
      </c>
      <c r="AV66" t="inlineStr">
        <is>
          <t>17877136</t>
        </is>
      </c>
      <c r="AW66" t="inlineStr">
        <is>
          <t>991001277249702656</t>
        </is>
      </c>
      <c r="AX66" t="inlineStr">
        <is>
          <t>991001277249702656</t>
        </is>
      </c>
      <c r="AY66" t="inlineStr">
        <is>
          <t>2266939950002656</t>
        </is>
      </c>
      <c r="AZ66" t="inlineStr">
        <is>
          <t>BOOK</t>
        </is>
      </c>
      <c r="BB66" t="inlineStr">
        <is>
          <t>9780805775273</t>
        </is>
      </c>
      <c r="BC66" t="inlineStr">
        <is>
          <t>32285000362698</t>
        </is>
      </c>
      <c r="BD66" t="inlineStr">
        <is>
          <t>893321813</t>
        </is>
      </c>
    </row>
    <row r="67">
      <c r="A67" t="inlineStr">
        <is>
          <t>No</t>
        </is>
      </c>
      <c r="B67" t="inlineStr">
        <is>
          <t>PS1438 .S5 1972</t>
        </is>
      </c>
      <c r="C67" t="inlineStr">
        <is>
          <t>0                      PS 1438000S  5           1972</t>
        </is>
      </c>
      <c r="D67" t="inlineStr">
        <is>
          <t>Cooper's theory of fiction : his prefaces and their relation to his novels.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Shulenberger, Arvid.</t>
        </is>
      </c>
      <c r="L67" t="inlineStr">
        <is>
          <t>New York : Octagon Books, 1972 [c1955]</t>
        </is>
      </c>
      <c r="M67" t="inlineStr">
        <is>
          <t>1972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PS </t>
        </is>
      </c>
      <c r="S67" t="n">
        <v>2</v>
      </c>
      <c r="T67" t="n">
        <v>2</v>
      </c>
      <c r="U67" t="inlineStr">
        <is>
          <t>1992-12-17</t>
        </is>
      </c>
      <c r="V67" t="inlineStr">
        <is>
          <t>1992-12-17</t>
        </is>
      </c>
      <c r="W67" t="inlineStr">
        <is>
          <t>1992-05-07</t>
        </is>
      </c>
      <c r="X67" t="inlineStr">
        <is>
          <t>1992-05-07</t>
        </is>
      </c>
      <c r="Y67" t="n">
        <v>223</v>
      </c>
      <c r="Z67" t="n">
        <v>197</v>
      </c>
      <c r="AA67" t="n">
        <v>436</v>
      </c>
      <c r="AB67" t="n">
        <v>1</v>
      </c>
      <c r="AC67" t="n">
        <v>4</v>
      </c>
      <c r="AD67" t="n">
        <v>9</v>
      </c>
      <c r="AE67" t="n">
        <v>24</v>
      </c>
      <c r="AF67" t="n">
        <v>1</v>
      </c>
      <c r="AG67" t="n">
        <v>6</v>
      </c>
      <c r="AH67" t="n">
        <v>5</v>
      </c>
      <c r="AI67" t="n">
        <v>7</v>
      </c>
      <c r="AJ67" t="n">
        <v>5</v>
      </c>
      <c r="AK67" t="n">
        <v>14</v>
      </c>
      <c r="AL67" t="n">
        <v>0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HYPERLINK("https://creighton-primo.hosted.exlibrisgroup.com/primo-explore/search?tab=default_tab&amp;search_scope=EVERYTHING&amp;vid=01CRU&amp;lang=en_US&amp;offset=0&amp;query=any,contains,991002257679702656","Catalog Record")</f>
        <v/>
      </c>
      <c r="AT67">
        <f>HYPERLINK("http://www.worldcat.org/oclc/302418","WorldCat Record")</f>
        <v/>
      </c>
      <c r="AU67" t="inlineStr">
        <is>
          <t>1346920:eng</t>
        </is>
      </c>
      <c r="AV67" t="inlineStr">
        <is>
          <t>302418</t>
        </is>
      </c>
      <c r="AW67" t="inlineStr">
        <is>
          <t>991002257679702656</t>
        </is>
      </c>
      <c r="AX67" t="inlineStr">
        <is>
          <t>991002257679702656</t>
        </is>
      </c>
      <c r="AY67" t="inlineStr">
        <is>
          <t>2271915430002656</t>
        </is>
      </c>
      <c r="AZ67" t="inlineStr">
        <is>
          <t>BOOK</t>
        </is>
      </c>
      <c r="BB67" t="inlineStr">
        <is>
          <t>9780374974152</t>
        </is>
      </c>
      <c r="BC67" t="inlineStr">
        <is>
          <t>32285001093508</t>
        </is>
      </c>
      <c r="BD67" t="inlineStr">
        <is>
          <t>893238838</t>
        </is>
      </c>
    </row>
    <row r="68">
      <c r="A68" t="inlineStr">
        <is>
          <t>No</t>
        </is>
      </c>
      <c r="B68" t="inlineStr">
        <is>
          <t>PS1438 .W3</t>
        </is>
      </c>
      <c r="C68" t="inlineStr">
        <is>
          <t>0                      PS 1438000W  3</t>
        </is>
      </c>
      <c r="D68" t="inlineStr">
        <is>
          <t>Leatherstocking and the critics / [by] Waren S. Walker.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Walker, Warren S. editor.</t>
        </is>
      </c>
      <c r="L68" t="inlineStr">
        <is>
          <t>Chicago : Scott, Foresman, [1965]</t>
        </is>
      </c>
      <c r="M68" t="inlineStr">
        <is>
          <t>1965</t>
        </is>
      </c>
      <c r="O68" t="inlineStr">
        <is>
          <t>eng</t>
        </is>
      </c>
      <c r="P68" t="inlineStr">
        <is>
          <t>ilu</t>
        </is>
      </c>
      <c r="R68" t="inlineStr">
        <is>
          <t xml:space="preserve">PS </t>
        </is>
      </c>
      <c r="S68" t="n">
        <v>5</v>
      </c>
      <c r="T68" t="n">
        <v>5</v>
      </c>
      <c r="U68" t="inlineStr">
        <is>
          <t>1996-02-24</t>
        </is>
      </c>
      <c r="V68" t="inlineStr">
        <is>
          <t>1996-02-24</t>
        </is>
      </c>
      <c r="W68" t="inlineStr">
        <is>
          <t>1991-12-11</t>
        </is>
      </c>
      <c r="X68" t="inlineStr">
        <is>
          <t>1991-12-11</t>
        </is>
      </c>
      <c r="Y68" t="n">
        <v>430</v>
      </c>
      <c r="Z68" t="n">
        <v>381</v>
      </c>
      <c r="AA68" t="n">
        <v>382</v>
      </c>
      <c r="AB68" t="n">
        <v>5</v>
      </c>
      <c r="AC68" t="n">
        <v>5</v>
      </c>
      <c r="AD68" t="n">
        <v>21</v>
      </c>
      <c r="AE68" t="n">
        <v>21</v>
      </c>
      <c r="AF68" t="n">
        <v>6</v>
      </c>
      <c r="AG68" t="n">
        <v>6</v>
      </c>
      <c r="AH68" t="n">
        <v>4</v>
      </c>
      <c r="AI68" t="n">
        <v>4</v>
      </c>
      <c r="AJ68" t="n">
        <v>9</v>
      </c>
      <c r="AK68" t="n">
        <v>9</v>
      </c>
      <c r="AL68" t="n">
        <v>3</v>
      </c>
      <c r="AM68" t="n">
        <v>3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HYPERLINK("https://creighton-primo.hosted.exlibrisgroup.com/primo-explore/search?tab=default_tab&amp;search_scope=EVERYTHING&amp;vid=01CRU&amp;lang=en_US&amp;offset=0&amp;query=any,contains,991002144029702656","Catalog Record")</f>
        <v/>
      </c>
      <c r="AT68">
        <f>HYPERLINK("http://www.worldcat.org/oclc/271134","WorldCat Record")</f>
        <v/>
      </c>
      <c r="AU68" t="inlineStr">
        <is>
          <t>1399471:eng</t>
        </is>
      </c>
      <c r="AV68" t="inlineStr">
        <is>
          <t>271134</t>
        </is>
      </c>
      <c r="AW68" t="inlineStr">
        <is>
          <t>991002144029702656</t>
        </is>
      </c>
      <c r="AX68" t="inlineStr">
        <is>
          <t>991002144029702656</t>
        </is>
      </c>
      <c r="AY68" t="inlineStr">
        <is>
          <t>2261868930002656</t>
        </is>
      </c>
      <c r="AZ68" t="inlineStr">
        <is>
          <t>BOOK</t>
        </is>
      </c>
      <c r="BC68" t="inlineStr">
        <is>
          <t>32285000875038</t>
        </is>
      </c>
      <c r="BD68" t="inlineStr">
        <is>
          <t>893590967</t>
        </is>
      </c>
    </row>
    <row r="69">
      <c r="A69" t="inlineStr">
        <is>
          <t>No</t>
        </is>
      </c>
      <c r="B69" t="inlineStr">
        <is>
          <t>PS1441 .W3 1978</t>
        </is>
      </c>
      <c r="C69" t="inlineStr">
        <is>
          <t>0                      PS 1441000W  3           1978</t>
        </is>
      </c>
      <c r="D69" t="inlineStr">
        <is>
          <t>Plots and characters in the fiction of James Fenimore Cooper / Warren S. Walker.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Walker, Warren S.</t>
        </is>
      </c>
      <c r="L69" t="inlineStr">
        <is>
          <t>Hamden, Conn. : Archon Books, 1978.</t>
        </is>
      </c>
      <c r="M69" t="inlineStr">
        <is>
          <t>1978</t>
        </is>
      </c>
      <c r="O69" t="inlineStr">
        <is>
          <t>eng</t>
        </is>
      </c>
      <c r="P69" t="inlineStr">
        <is>
          <t>ctu</t>
        </is>
      </c>
      <c r="Q69" t="inlineStr">
        <is>
          <t>The Plots and characters series</t>
        </is>
      </c>
      <c r="R69" t="inlineStr">
        <is>
          <t xml:space="preserve">PS </t>
        </is>
      </c>
      <c r="S69" t="n">
        <v>3</v>
      </c>
      <c r="T69" t="n">
        <v>3</v>
      </c>
      <c r="U69" t="inlineStr">
        <is>
          <t>1996-02-24</t>
        </is>
      </c>
      <c r="V69" t="inlineStr">
        <is>
          <t>1996-02-24</t>
        </is>
      </c>
      <c r="W69" t="inlineStr">
        <is>
          <t>1990-02-05</t>
        </is>
      </c>
      <c r="X69" t="inlineStr">
        <is>
          <t>1990-02-05</t>
        </is>
      </c>
      <c r="Y69" t="n">
        <v>462</v>
      </c>
      <c r="Z69" t="n">
        <v>378</v>
      </c>
      <c r="AA69" t="n">
        <v>386</v>
      </c>
      <c r="AB69" t="n">
        <v>4</v>
      </c>
      <c r="AC69" t="n">
        <v>4</v>
      </c>
      <c r="AD69" t="n">
        <v>12</v>
      </c>
      <c r="AE69" t="n">
        <v>12</v>
      </c>
      <c r="AF69" t="n">
        <v>3</v>
      </c>
      <c r="AG69" t="n">
        <v>3</v>
      </c>
      <c r="AH69" t="n">
        <v>3</v>
      </c>
      <c r="AI69" t="n">
        <v>3</v>
      </c>
      <c r="AJ69" t="n">
        <v>5</v>
      </c>
      <c r="AK69" t="n">
        <v>5</v>
      </c>
      <c r="AL69" t="n">
        <v>3</v>
      </c>
      <c r="AM69" t="n">
        <v>3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HYPERLINK("http://catalog.hathitrust.org/Record/000174658","HathiTrust Record")</f>
        <v/>
      </c>
      <c r="AS69">
        <f>HYPERLINK("https://creighton-primo.hosted.exlibrisgroup.com/primo-explore/search?tab=default_tab&amp;search_scope=EVERYTHING&amp;vid=01CRU&amp;lang=en_US&amp;offset=0&amp;query=any,contains,991004550689702656","Catalog Record")</f>
        <v/>
      </c>
      <c r="AT69">
        <f>HYPERLINK("http://www.worldcat.org/oclc/3933657","WorldCat Record")</f>
        <v/>
      </c>
      <c r="AU69" t="inlineStr">
        <is>
          <t>417598:eng</t>
        </is>
      </c>
      <c r="AV69" t="inlineStr">
        <is>
          <t>3933657</t>
        </is>
      </c>
      <c r="AW69" t="inlineStr">
        <is>
          <t>991004550689702656</t>
        </is>
      </c>
      <c r="AX69" t="inlineStr">
        <is>
          <t>991004550689702656</t>
        </is>
      </c>
      <c r="AY69" t="inlineStr">
        <is>
          <t>2266960300002656</t>
        </is>
      </c>
      <c r="AZ69" t="inlineStr">
        <is>
          <t>BOOK</t>
        </is>
      </c>
      <c r="BB69" t="inlineStr">
        <is>
          <t>9780208014979</t>
        </is>
      </c>
      <c r="BC69" t="inlineStr">
        <is>
          <t>32285000032689</t>
        </is>
      </c>
      <c r="BD69" t="inlineStr">
        <is>
          <t>893624854</t>
        </is>
      </c>
    </row>
    <row r="70">
      <c r="A70" t="inlineStr">
        <is>
          <t>No</t>
        </is>
      </c>
      <c r="B70" t="inlineStr">
        <is>
          <t>PS1442.A66 N4</t>
        </is>
      </c>
      <c r="C70" t="inlineStr">
        <is>
          <t>0                      PS 1442000A  66                 N  4</t>
        </is>
      </c>
      <c r="D70" t="inlineStr">
        <is>
          <t>Cooper's landscapes : an essay on the picturesque vision / Blake Nevius.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Nevius, Blake.</t>
        </is>
      </c>
      <c r="L70" t="inlineStr">
        <is>
          <t>Berkeley : University of California Press, c1976.</t>
        </is>
      </c>
      <c r="M70" t="inlineStr">
        <is>
          <t>1976</t>
        </is>
      </c>
      <c r="O70" t="inlineStr">
        <is>
          <t>eng</t>
        </is>
      </c>
      <c r="P70" t="inlineStr">
        <is>
          <t>cau</t>
        </is>
      </c>
      <c r="Q70" t="inlineStr">
        <is>
          <t>Quantum books</t>
        </is>
      </c>
      <c r="R70" t="inlineStr">
        <is>
          <t xml:space="preserve">PS </t>
        </is>
      </c>
      <c r="S70" t="n">
        <v>2</v>
      </c>
      <c r="T70" t="n">
        <v>2</v>
      </c>
      <c r="U70" t="inlineStr">
        <is>
          <t>1996-02-24</t>
        </is>
      </c>
      <c r="V70" t="inlineStr">
        <is>
          <t>1996-02-24</t>
        </is>
      </c>
      <c r="W70" t="inlineStr">
        <is>
          <t>1991-01-08</t>
        </is>
      </c>
      <c r="X70" t="inlineStr">
        <is>
          <t>1991-01-08</t>
        </is>
      </c>
      <c r="Y70" t="n">
        <v>658</v>
      </c>
      <c r="Z70" t="n">
        <v>535</v>
      </c>
      <c r="AA70" t="n">
        <v>535</v>
      </c>
      <c r="AB70" t="n">
        <v>7</v>
      </c>
      <c r="AC70" t="n">
        <v>7</v>
      </c>
      <c r="AD70" t="n">
        <v>39</v>
      </c>
      <c r="AE70" t="n">
        <v>39</v>
      </c>
      <c r="AF70" t="n">
        <v>13</v>
      </c>
      <c r="AG70" t="n">
        <v>13</v>
      </c>
      <c r="AH70" t="n">
        <v>8</v>
      </c>
      <c r="AI70" t="n">
        <v>8</v>
      </c>
      <c r="AJ70" t="n">
        <v>19</v>
      </c>
      <c r="AK70" t="n">
        <v>19</v>
      </c>
      <c r="AL70" t="n">
        <v>6</v>
      </c>
      <c r="AM70" t="n">
        <v>6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HYPERLINK("https://creighton-primo.hosted.exlibrisgroup.com/primo-explore/search?tab=default_tab&amp;search_scope=EVERYTHING&amp;vid=01CRU&amp;lang=en_US&amp;offset=0&amp;query=any,contains,991004004489702656","Catalog Record")</f>
        <v/>
      </c>
      <c r="AT70">
        <f>HYPERLINK("http://www.worldcat.org/oclc/2081314","WorldCat Record")</f>
        <v/>
      </c>
      <c r="AU70" t="inlineStr">
        <is>
          <t>864112413:eng</t>
        </is>
      </c>
      <c r="AV70" t="inlineStr">
        <is>
          <t>2081314</t>
        </is>
      </c>
      <c r="AW70" t="inlineStr">
        <is>
          <t>991004004489702656</t>
        </is>
      </c>
      <c r="AX70" t="inlineStr">
        <is>
          <t>991004004489702656</t>
        </is>
      </c>
      <c r="AY70" t="inlineStr">
        <is>
          <t>2259042320002656</t>
        </is>
      </c>
      <c r="AZ70" t="inlineStr">
        <is>
          <t>BOOK</t>
        </is>
      </c>
      <c r="BB70" t="inlineStr">
        <is>
          <t>9780520027510</t>
        </is>
      </c>
      <c r="BC70" t="inlineStr">
        <is>
          <t>32285000454651</t>
        </is>
      </c>
      <c r="BD70" t="inlineStr">
        <is>
          <t>893410994</t>
        </is>
      </c>
    </row>
    <row r="71">
      <c r="A71" t="inlineStr">
        <is>
          <t>No</t>
        </is>
      </c>
      <c r="B71" t="inlineStr">
        <is>
          <t>PS1449.C85 Z4597 1972</t>
        </is>
      </c>
      <c r="C71" t="inlineStr">
        <is>
          <t>0                      PS 1449000C  85                 Z  4597        1972</t>
        </is>
      </c>
      <c r="D71" t="inlineStr">
        <is>
          <t>Stephen Crane : a critical bibliography / by R. W. Stallman.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Stallman, R. W. (Robert Wooster), 1911-1982.</t>
        </is>
      </c>
      <c r="L71" t="inlineStr">
        <is>
          <t>Ames : Iowa State University Press, 1972.</t>
        </is>
      </c>
      <c r="M71" t="inlineStr">
        <is>
          <t>1972</t>
        </is>
      </c>
      <c r="N71" t="inlineStr">
        <is>
          <t>[1st ed.]</t>
        </is>
      </c>
      <c r="O71" t="inlineStr">
        <is>
          <t>eng</t>
        </is>
      </c>
      <c r="P71" t="inlineStr">
        <is>
          <t>iau</t>
        </is>
      </c>
      <c r="R71" t="inlineStr">
        <is>
          <t xml:space="preserve">PS </t>
        </is>
      </c>
      <c r="S71" t="n">
        <v>4</v>
      </c>
      <c r="T71" t="n">
        <v>4</v>
      </c>
      <c r="U71" t="inlineStr">
        <is>
          <t>2005-09-26</t>
        </is>
      </c>
      <c r="V71" t="inlineStr">
        <is>
          <t>2005-09-26</t>
        </is>
      </c>
      <c r="W71" t="inlineStr">
        <is>
          <t>1990-05-09</t>
        </is>
      </c>
      <c r="X71" t="inlineStr">
        <is>
          <t>1990-05-09</t>
        </is>
      </c>
      <c r="Y71" t="n">
        <v>797</v>
      </c>
      <c r="Z71" t="n">
        <v>660</v>
      </c>
      <c r="AA71" t="n">
        <v>666</v>
      </c>
      <c r="AB71" t="n">
        <v>5</v>
      </c>
      <c r="AC71" t="n">
        <v>5</v>
      </c>
      <c r="AD71" t="n">
        <v>33</v>
      </c>
      <c r="AE71" t="n">
        <v>33</v>
      </c>
      <c r="AF71" t="n">
        <v>12</v>
      </c>
      <c r="AG71" t="n">
        <v>12</v>
      </c>
      <c r="AH71" t="n">
        <v>10</v>
      </c>
      <c r="AI71" t="n">
        <v>10</v>
      </c>
      <c r="AJ71" t="n">
        <v>18</v>
      </c>
      <c r="AK71" t="n">
        <v>18</v>
      </c>
      <c r="AL71" t="n">
        <v>4</v>
      </c>
      <c r="AM71" t="n">
        <v>4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HYPERLINK("http://catalog.hathitrust.org/Record/000395546","HathiTrust Record")</f>
        <v/>
      </c>
      <c r="AS71">
        <f>HYPERLINK("https://creighton-primo.hosted.exlibrisgroup.com/primo-explore/search?tab=default_tab&amp;search_scope=EVERYTHING&amp;vid=01CRU&amp;lang=en_US&amp;offset=0&amp;query=any,contains,991002713489702656","Catalog Record")</f>
        <v/>
      </c>
      <c r="AT71">
        <f>HYPERLINK("http://www.worldcat.org/oclc/410527","WorldCat Record")</f>
        <v/>
      </c>
      <c r="AU71" t="inlineStr">
        <is>
          <t>3856219848:eng</t>
        </is>
      </c>
      <c r="AV71" t="inlineStr">
        <is>
          <t>410527</t>
        </is>
      </c>
      <c r="AW71" t="inlineStr">
        <is>
          <t>991002713489702656</t>
        </is>
      </c>
      <c r="AX71" t="inlineStr">
        <is>
          <t>991002713489702656</t>
        </is>
      </c>
      <c r="AY71" t="inlineStr">
        <is>
          <t>2262507660002656</t>
        </is>
      </c>
      <c r="AZ71" t="inlineStr">
        <is>
          <t>BOOK</t>
        </is>
      </c>
      <c r="BB71" t="inlineStr">
        <is>
          <t>9780813803579</t>
        </is>
      </c>
      <c r="BC71" t="inlineStr">
        <is>
          <t>32285000138817</t>
        </is>
      </c>
      <c r="BD71" t="inlineStr">
        <is>
          <t>893867596</t>
        </is>
      </c>
    </row>
    <row r="72">
      <c r="A72" t="inlineStr">
        <is>
          <t>No</t>
        </is>
      </c>
      <c r="B72" t="inlineStr">
        <is>
          <t>PS1449.C85 Z554 1992</t>
        </is>
      </c>
      <c r="C72" t="inlineStr">
        <is>
          <t>0                      PS 1449000C  85                 Z  554         1992</t>
        </is>
      </c>
      <c r="D72" t="inlineStr">
        <is>
          <t>The double life of Stephen Crane / Christopher Benfey.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Benfey, Christopher E. G., 1954-</t>
        </is>
      </c>
      <c r="L72" t="inlineStr">
        <is>
          <t>New York : Knopf : Distributed by Random House, 1992.</t>
        </is>
      </c>
      <c r="M72" t="inlineStr">
        <is>
          <t>1992</t>
        </is>
      </c>
      <c r="N72" t="inlineStr">
        <is>
          <t>1st ed.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PS </t>
        </is>
      </c>
      <c r="S72" t="n">
        <v>2</v>
      </c>
      <c r="T72" t="n">
        <v>2</v>
      </c>
      <c r="U72" t="inlineStr">
        <is>
          <t>1995-07-21</t>
        </is>
      </c>
      <c r="V72" t="inlineStr">
        <is>
          <t>1995-07-21</t>
        </is>
      </c>
      <c r="W72" t="inlineStr">
        <is>
          <t>1993-02-01</t>
        </is>
      </c>
      <c r="X72" t="inlineStr">
        <is>
          <t>1993-02-01</t>
        </is>
      </c>
      <c r="Y72" t="n">
        <v>1103</v>
      </c>
      <c r="Z72" t="n">
        <v>1031</v>
      </c>
      <c r="AA72" t="n">
        <v>1068</v>
      </c>
      <c r="AB72" t="n">
        <v>12</v>
      </c>
      <c r="AC72" t="n">
        <v>12</v>
      </c>
      <c r="AD72" t="n">
        <v>43</v>
      </c>
      <c r="AE72" t="n">
        <v>43</v>
      </c>
      <c r="AF72" t="n">
        <v>18</v>
      </c>
      <c r="AG72" t="n">
        <v>18</v>
      </c>
      <c r="AH72" t="n">
        <v>10</v>
      </c>
      <c r="AI72" t="n">
        <v>10</v>
      </c>
      <c r="AJ72" t="n">
        <v>18</v>
      </c>
      <c r="AK72" t="n">
        <v>18</v>
      </c>
      <c r="AL72" t="n">
        <v>8</v>
      </c>
      <c r="AM72" t="n">
        <v>8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HYPERLINK("http://catalog.hathitrust.org/Record/004519644","HathiTrust Record")</f>
        <v/>
      </c>
      <c r="AS72">
        <f>HYPERLINK("https://creighton-primo.hosted.exlibrisgroup.com/primo-explore/search?tab=default_tab&amp;search_scope=EVERYTHING&amp;vid=01CRU&amp;lang=en_US&amp;offset=0&amp;query=any,contains,991001943509702656","Catalog Record")</f>
        <v/>
      </c>
      <c r="AT72">
        <f>HYPERLINK("http://www.worldcat.org/oclc/24546013","WorldCat Record")</f>
        <v/>
      </c>
      <c r="AU72" t="inlineStr">
        <is>
          <t>20742807:eng</t>
        </is>
      </c>
      <c r="AV72" t="inlineStr">
        <is>
          <t>24546013</t>
        </is>
      </c>
      <c r="AW72" t="inlineStr">
        <is>
          <t>991001943509702656</t>
        </is>
      </c>
      <c r="AX72" t="inlineStr">
        <is>
          <t>991001943509702656</t>
        </is>
      </c>
      <c r="AY72" t="inlineStr">
        <is>
          <t>2266310290002656</t>
        </is>
      </c>
      <c r="AZ72" t="inlineStr">
        <is>
          <t>BOOK</t>
        </is>
      </c>
      <c r="BB72" t="inlineStr">
        <is>
          <t>9780394568645</t>
        </is>
      </c>
      <c r="BC72" t="inlineStr">
        <is>
          <t>32285001449023</t>
        </is>
      </c>
      <c r="BD72" t="inlineStr">
        <is>
          <t>893773049</t>
        </is>
      </c>
    </row>
    <row r="73">
      <c r="A73" t="inlineStr">
        <is>
          <t>No</t>
        </is>
      </c>
      <c r="B73" t="inlineStr">
        <is>
          <t>PS1449.C85 Z556</t>
        </is>
      </c>
      <c r="C73" t="inlineStr">
        <is>
          <t>0                      PS 1449000C  85                 Z  556</t>
        </is>
      </c>
      <c r="D73" t="inlineStr">
        <is>
          <t>Stephen Crane's artistry / Frank Bergon.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Bergon, Frank.</t>
        </is>
      </c>
      <c r="L73" t="inlineStr">
        <is>
          <t>New York : Columbia University Press, 1975.</t>
        </is>
      </c>
      <c r="M73" t="inlineStr">
        <is>
          <t>1975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PS </t>
        </is>
      </c>
      <c r="S73" t="n">
        <v>4</v>
      </c>
      <c r="T73" t="n">
        <v>4</v>
      </c>
      <c r="U73" t="inlineStr">
        <is>
          <t>1996-02-08</t>
        </is>
      </c>
      <c r="V73" t="inlineStr">
        <is>
          <t>1996-02-08</t>
        </is>
      </c>
      <c r="W73" t="inlineStr">
        <is>
          <t>1992-04-24</t>
        </is>
      </c>
      <c r="X73" t="inlineStr">
        <is>
          <t>1992-04-24</t>
        </is>
      </c>
      <c r="Y73" t="n">
        <v>989</v>
      </c>
      <c r="Z73" t="n">
        <v>848</v>
      </c>
      <c r="AA73" t="n">
        <v>856</v>
      </c>
      <c r="AB73" t="n">
        <v>6</v>
      </c>
      <c r="AC73" t="n">
        <v>6</v>
      </c>
      <c r="AD73" t="n">
        <v>39</v>
      </c>
      <c r="AE73" t="n">
        <v>40</v>
      </c>
      <c r="AF73" t="n">
        <v>17</v>
      </c>
      <c r="AG73" t="n">
        <v>18</v>
      </c>
      <c r="AH73" t="n">
        <v>10</v>
      </c>
      <c r="AI73" t="n">
        <v>10</v>
      </c>
      <c r="AJ73" t="n">
        <v>18</v>
      </c>
      <c r="AK73" t="n">
        <v>19</v>
      </c>
      <c r="AL73" t="n">
        <v>4</v>
      </c>
      <c r="AM73" t="n">
        <v>4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HYPERLINK("https://creighton-primo.hosted.exlibrisgroup.com/primo-explore/search?tab=default_tab&amp;search_scope=EVERYTHING&amp;vid=01CRU&amp;lang=en_US&amp;offset=0&amp;query=any,contains,991003787239702656","Catalog Record")</f>
        <v/>
      </c>
      <c r="AT73">
        <f>HYPERLINK("http://www.worldcat.org/oclc/1502573","WorldCat Record")</f>
        <v/>
      </c>
      <c r="AU73" t="inlineStr">
        <is>
          <t>419895:eng</t>
        </is>
      </c>
      <c r="AV73" t="inlineStr">
        <is>
          <t>1502573</t>
        </is>
      </c>
      <c r="AW73" t="inlineStr">
        <is>
          <t>991003787239702656</t>
        </is>
      </c>
      <c r="AX73" t="inlineStr">
        <is>
          <t>991003787239702656</t>
        </is>
      </c>
      <c r="AY73" t="inlineStr">
        <is>
          <t>2263465140002656</t>
        </is>
      </c>
      <c r="AZ73" t="inlineStr">
        <is>
          <t>BOOK</t>
        </is>
      </c>
      <c r="BB73" t="inlineStr">
        <is>
          <t>9780231039055</t>
        </is>
      </c>
      <c r="BC73" t="inlineStr">
        <is>
          <t>32285001086213</t>
        </is>
      </c>
      <c r="BD73" t="inlineStr">
        <is>
          <t>893512359</t>
        </is>
      </c>
    </row>
    <row r="74">
      <c r="A74" t="inlineStr">
        <is>
          <t>No</t>
        </is>
      </c>
      <c r="B74" t="inlineStr">
        <is>
          <t>PS1449.C85 Z56 1962</t>
        </is>
      </c>
      <c r="C74" t="inlineStr">
        <is>
          <t>0                      PS 1449000C  85                 Z  56          1962</t>
        </is>
      </c>
      <c r="D74" t="inlineStr">
        <is>
          <t>Stephen Crane.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Yes</t>
        </is>
      </c>
      <c r="J74" t="inlineStr">
        <is>
          <t>0</t>
        </is>
      </c>
      <c r="K74" t="inlineStr">
        <is>
          <t>Berryman, John, 1914-1972.</t>
        </is>
      </c>
      <c r="L74" t="inlineStr">
        <is>
          <t>Cleveland, World Pub. Co. [1962, c1950]</t>
        </is>
      </c>
      <c r="M74" t="inlineStr">
        <is>
          <t>1962</t>
        </is>
      </c>
      <c r="O74" t="inlineStr">
        <is>
          <t>eng</t>
        </is>
      </c>
      <c r="P74" t="inlineStr">
        <is>
          <t>ohu</t>
        </is>
      </c>
      <c r="Q74" t="inlineStr">
        <is>
          <t>Meridian books ; M131</t>
        </is>
      </c>
      <c r="R74" t="inlineStr">
        <is>
          <t xml:space="preserve">PS </t>
        </is>
      </c>
      <c r="S74" t="n">
        <v>2</v>
      </c>
      <c r="T74" t="n">
        <v>2</v>
      </c>
      <c r="U74" t="inlineStr">
        <is>
          <t>1992-04-23</t>
        </is>
      </c>
      <c r="V74" t="inlineStr">
        <is>
          <t>1992-04-23</t>
        </is>
      </c>
      <c r="W74" t="inlineStr">
        <is>
          <t>1992-04-22</t>
        </is>
      </c>
      <c r="X74" t="inlineStr">
        <is>
          <t>1992-04-22</t>
        </is>
      </c>
      <c r="Y74" t="n">
        <v>443</v>
      </c>
      <c r="Z74" t="n">
        <v>377</v>
      </c>
      <c r="AA74" t="n">
        <v>1249</v>
      </c>
      <c r="AB74" t="n">
        <v>3</v>
      </c>
      <c r="AC74" t="n">
        <v>12</v>
      </c>
      <c r="AD74" t="n">
        <v>12</v>
      </c>
      <c r="AE74" t="n">
        <v>50</v>
      </c>
      <c r="AF74" t="n">
        <v>4</v>
      </c>
      <c r="AG74" t="n">
        <v>20</v>
      </c>
      <c r="AH74" t="n">
        <v>1</v>
      </c>
      <c r="AI74" t="n">
        <v>6</v>
      </c>
      <c r="AJ74" t="n">
        <v>5</v>
      </c>
      <c r="AK74" t="n">
        <v>25</v>
      </c>
      <c r="AL74" t="n">
        <v>2</v>
      </c>
      <c r="AM74" t="n">
        <v>10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HYPERLINK("http://catalog.hathitrust.org/Record/001422303","HathiTrust Record")</f>
        <v/>
      </c>
      <c r="AS74">
        <f>HYPERLINK("https://creighton-primo.hosted.exlibrisgroup.com/primo-explore/search?tab=default_tab&amp;search_scope=EVERYTHING&amp;vid=01CRU&amp;lang=en_US&amp;offset=0&amp;query=any,contains,991002144629702656","Catalog Record")</f>
        <v/>
      </c>
      <c r="AT74">
        <f>HYPERLINK("http://www.worldcat.org/oclc/271280","WorldCat Record")</f>
        <v/>
      </c>
      <c r="AU74" t="inlineStr">
        <is>
          <t>4714401833:eng</t>
        </is>
      </c>
      <c r="AV74" t="inlineStr">
        <is>
          <t>271280</t>
        </is>
      </c>
      <c r="AW74" t="inlineStr">
        <is>
          <t>991002144629702656</t>
        </is>
      </c>
      <c r="AX74" t="inlineStr">
        <is>
          <t>991002144629702656</t>
        </is>
      </c>
      <c r="AY74" t="inlineStr">
        <is>
          <t>2261922570002656</t>
        </is>
      </c>
      <c r="AZ74" t="inlineStr">
        <is>
          <t>BOOK</t>
        </is>
      </c>
      <c r="BC74" t="inlineStr">
        <is>
          <t>32285001054930</t>
        </is>
      </c>
      <c r="BD74" t="inlineStr">
        <is>
          <t>893697405</t>
        </is>
      </c>
    </row>
    <row r="75">
      <c r="A75" t="inlineStr">
        <is>
          <t>No</t>
        </is>
      </c>
      <c r="B75" t="inlineStr">
        <is>
          <t>PS1449.C85 Z575</t>
        </is>
      </c>
      <c r="C75" t="inlineStr">
        <is>
          <t>0                      PS 1449000C  85                 Z  575</t>
        </is>
      </c>
      <c r="D75" t="inlineStr">
        <is>
          <t>Stephen Crane.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Cady, Edwin Harrison.</t>
        </is>
      </c>
      <c r="L75" t="inlineStr">
        <is>
          <t>New York : Twayne Publishers, [1962]</t>
        </is>
      </c>
      <c r="M75" t="inlineStr">
        <is>
          <t>1962</t>
        </is>
      </c>
      <c r="O75" t="inlineStr">
        <is>
          <t>eng</t>
        </is>
      </c>
      <c r="P75" t="inlineStr">
        <is>
          <t>nyu</t>
        </is>
      </c>
      <c r="Q75" t="inlineStr">
        <is>
          <t>Twayne's United States authors series, 23</t>
        </is>
      </c>
      <c r="R75" t="inlineStr">
        <is>
          <t xml:space="preserve">PS </t>
        </is>
      </c>
      <c r="S75" t="n">
        <v>3</v>
      </c>
      <c r="T75" t="n">
        <v>3</v>
      </c>
      <c r="U75" t="inlineStr">
        <is>
          <t>1996-02-08</t>
        </is>
      </c>
      <c r="V75" t="inlineStr">
        <is>
          <t>1996-02-08</t>
        </is>
      </c>
      <c r="W75" t="inlineStr">
        <is>
          <t>1991-01-22</t>
        </is>
      </c>
      <c r="X75" t="inlineStr">
        <is>
          <t>1991-01-22</t>
        </is>
      </c>
      <c r="Y75" t="n">
        <v>1692</v>
      </c>
      <c r="Z75" t="n">
        <v>1559</v>
      </c>
      <c r="AA75" t="n">
        <v>1567</v>
      </c>
      <c r="AB75" t="n">
        <v>15</v>
      </c>
      <c r="AC75" t="n">
        <v>15</v>
      </c>
      <c r="AD75" t="n">
        <v>40</v>
      </c>
      <c r="AE75" t="n">
        <v>40</v>
      </c>
      <c r="AF75" t="n">
        <v>15</v>
      </c>
      <c r="AG75" t="n">
        <v>15</v>
      </c>
      <c r="AH75" t="n">
        <v>5</v>
      </c>
      <c r="AI75" t="n">
        <v>5</v>
      </c>
      <c r="AJ75" t="n">
        <v>18</v>
      </c>
      <c r="AK75" t="n">
        <v>18</v>
      </c>
      <c r="AL75" t="n">
        <v>10</v>
      </c>
      <c r="AM75" t="n">
        <v>10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HYPERLINK("http://catalog.hathitrust.org/Record/000395340","HathiTrust Record")</f>
        <v/>
      </c>
      <c r="AS75">
        <f>HYPERLINK("https://creighton-primo.hosted.exlibrisgroup.com/primo-explore/search?tab=default_tab&amp;search_scope=EVERYTHING&amp;vid=01CRU&amp;lang=en_US&amp;offset=0&amp;query=any,contains,991002144599702656","Catalog Record")</f>
        <v/>
      </c>
      <c r="AT75">
        <f>HYPERLINK("http://www.worldcat.org/oclc/271278","WorldCat Record")</f>
        <v/>
      </c>
      <c r="AU75" t="inlineStr">
        <is>
          <t>10792665420:eng</t>
        </is>
      </c>
      <c r="AV75" t="inlineStr">
        <is>
          <t>271278</t>
        </is>
      </c>
      <c r="AW75" t="inlineStr">
        <is>
          <t>991002144599702656</t>
        </is>
      </c>
      <c r="AX75" t="inlineStr">
        <is>
          <t>991002144599702656</t>
        </is>
      </c>
      <c r="AY75" t="inlineStr">
        <is>
          <t>2261931520002656</t>
        </is>
      </c>
      <c r="AZ75" t="inlineStr">
        <is>
          <t>BOOK</t>
        </is>
      </c>
      <c r="BC75" t="inlineStr">
        <is>
          <t>32285000430685</t>
        </is>
      </c>
      <c r="BD75" t="inlineStr">
        <is>
          <t>893427244</t>
        </is>
      </c>
    </row>
    <row r="76">
      <c r="A76" t="inlineStr">
        <is>
          <t>No</t>
        </is>
      </c>
      <c r="B76" t="inlineStr">
        <is>
          <t>PS1449.C85 Z575 1980</t>
        </is>
      </c>
      <c r="C76" t="inlineStr">
        <is>
          <t>0                      PS 1449000C  85                 Z  575         1980</t>
        </is>
      </c>
      <c r="D76" t="inlineStr">
        <is>
          <t>Stephen Crane / by Edwin H. Cady.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Cady, Edwin Harrison.</t>
        </is>
      </c>
      <c r="L76" t="inlineStr">
        <is>
          <t>Boston : Twayne Publishers, 1980.</t>
        </is>
      </c>
      <c r="M76" t="inlineStr">
        <is>
          <t>1980</t>
        </is>
      </c>
      <c r="N76" t="inlineStr">
        <is>
          <t>Rev. ed.</t>
        </is>
      </c>
      <c r="O76" t="inlineStr">
        <is>
          <t>eng</t>
        </is>
      </c>
      <c r="P76" t="inlineStr">
        <is>
          <t>mau</t>
        </is>
      </c>
      <c r="Q76" t="inlineStr">
        <is>
          <t>Twayne's United States authors series ; TUSAS 23</t>
        </is>
      </c>
      <c r="R76" t="inlineStr">
        <is>
          <t xml:space="preserve">PS </t>
        </is>
      </c>
      <c r="S76" t="n">
        <v>6</v>
      </c>
      <c r="T76" t="n">
        <v>6</v>
      </c>
      <c r="U76" t="inlineStr">
        <is>
          <t>2005-09-26</t>
        </is>
      </c>
      <c r="V76" t="inlineStr">
        <is>
          <t>2005-09-26</t>
        </is>
      </c>
      <c r="W76" t="inlineStr">
        <is>
          <t>1990-10-25</t>
        </is>
      </c>
      <c r="X76" t="inlineStr">
        <is>
          <t>1990-10-25</t>
        </is>
      </c>
      <c r="Y76" t="n">
        <v>1423</v>
      </c>
      <c r="Z76" t="n">
        <v>1313</v>
      </c>
      <c r="AA76" t="n">
        <v>1438</v>
      </c>
      <c r="AB76" t="n">
        <v>6</v>
      </c>
      <c r="AC76" t="n">
        <v>7</v>
      </c>
      <c r="AD76" t="n">
        <v>38</v>
      </c>
      <c r="AE76" t="n">
        <v>38</v>
      </c>
      <c r="AF76" t="n">
        <v>17</v>
      </c>
      <c r="AG76" t="n">
        <v>17</v>
      </c>
      <c r="AH76" t="n">
        <v>9</v>
      </c>
      <c r="AI76" t="n">
        <v>9</v>
      </c>
      <c r="AJ76" t="n">
        <v>17</v>
      </c>
      <c r="AK76" t="n">
        <v>17</v>
      </c>
      <c r="AL76" t="n">
        <v>5</v>
      </c>
      <c r="AM76" t="n">
        <v>5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HYPERLINK("http://catalog.hathitrust.org/Record/000703177","HathiTrust Record")</f>
        <v/>
      </c>
      <c r="AS76">
        <f>HYPERLINK("https://creighton-primo.hosted.exlibrisgroup.com/primo-explore/search?tab=default_tab&amp;search_scope=EVERYTHING&amp;vid=01CRU&amp;lang=en_US&amp;offset=0&amp;query=any,contains,991004868819702656","Catalog Record")</f>
        <v/>
      </c>
      <c r="AT76">
        <f>HYPERLINK("http://www.worldcat.org/oclc/5749532","WorldCat Record")</f>
        <v/>
      </c>
      <c r="AU76" t="inlineStr">
        <is>
          <t>4918816503:eng</t>
        </is>
      </c>
      <c r="AV76" t="inlineStr">
        <is>
          <t>5749532</t>
        </is>
      </c>
      <c r="AW76" t="inlineStr">
        <is>
          <t>991004868819702656</t>
        </is>
      </c>
      <c r="AX76" t="inlineStr">
        <is>
          <t>991004868819702656</t>
        </is>
      </c>
      <c r="AY76" t="inlineStr">
        <is>
          <t>2262033680002656</t>
        </is>
      </c>
      <c r="AZ76" t="inlineStr">
        <is>
          <t>BOOK</t>
        </is>
      </c>
      <c r="BB76" t="inlineStr">
        <is>
          <t>9780805772999</t>
        </is>
      </c>
      <c r="BC76" t="inlineStr">
        <is>
          <t>32285000362748</t>
        </is>
      </c>
      <c r="BD76" t="inlineStr">
        <is>
          <t>893430572</t>
        </is>
      </c>
    </row>
    <row r="77">
      <c r="A77" t="inlineStr">
        <is>
          <t>No</t>
        </is>
      </c>
      <c r="B77" t="inlineStr">
        <is>
          <t>PS1449.C85 Z643</t>
        </is>
      </c>
      <c r="C77" t="inlineStr">
        <is>
          <t>0                      PS 1449000C  85                 Z  643</t>
        </is>
      </c>
      <c r="D77" t="inlineStr">
        <is>
          <t>Stephen Crane's career : perspectives and evaluations / edited with introductions and notes by Thomas A. Gullason.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Gullason, Thomas A., compiler.</t>
        </is>
      </c>
      <c r="L77" t="inlineStr">
        <is>
          <t>New York : New York University Press, 1972.</t>
        </is>
      </c>
      <c r="M77" t="inlineStr">
        <is>
          <t>1972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PS </t>
        </is>
      </c>
      <c r="S77" t="n">
        <v>5</v>
      </c>
      <c r="T77" t="n">
        <v>5</v>
      </c>
      <c r="U77" t="inlineStr">
        <is>
          <t>2005-09-26</t>
        </is>
      </c>
      <c r="V77" t="inlineStr">
        <is>
          <t>2005-09-26</t>
        </is>
      </c>
      <c r="W77" t="inlineStr">
        <is>
          <t>1992-03-10</t>
        </is>
      </c>
      <c r="X77" t="inlineStr">
        <is>
          <t>1992-03-10</t>
        </is>
      </c>
      <c r="Y77" t="n">
        <v>765</v>
      </c>
      <c r="Z77" t="n">
        <v>683</v>
      </c>
      <c r="AA77" t="n">
        <v>724</v>
      </c>
      <c r="AB77" t="n">
        <v>6</v>
      </c>
      <c r="AC77" t="n">
        <v>6</v>
      </c>
      <c r="AD77" t="n">
        <v>29</v>
      </c>
      <c r="AE77" t="n">
        <v>30</v>
      </c>
      <c r="AF77" t="n">
        <v>14</v>
      </c>
      <c r="AG77" t="n">
        <v>15</v>
      </c>
      <c r="AH77" t="n">
        <v>5</v>
      </c>
      <c r="AI77" t="n">
        <v>5</v>
      </c>
      <c r="AJ77" t="n">
        <v>12</v>
      </c>
      <c r="AK77" t="n">
        <v>13</v>
      </c>
      <c r="AL77" t="n">
        <v>5</v>
      </c>
      <c r="AM77" t="n">
        <v>5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HYPERLINK("https://creighton-primo.hosted.exlibrisgroup.com/primo-explore/search?tab=default_tab&amp;search_scope=EVERYTHING&amp;vid=01CRU&amp;lang=en_US&amp;offset=0&amp;query=any,contains,991002263149702656","Catalog Record")</f>
        <v/>
      </c>
      <c r="AT77">
        <f>HYPERLINK("http://www.worldcat.org/oclc/305490","WorldCat Record")</f>
        <v/>
      </c>
      <c r="AU77" t="inlineStr">
        <is>
          <t>327150619:eng</t>
        </is>
      </c>
      <c r="AV77" t="inlineStr">
        <is>
          <t>305490</t>
        </is>
      </c>
      <c r="AW77" t="inlineStr">
        <is>
          <t>991002263149702656</t>
        </is>
      </c>
      <c r="AX77" t="inlineStr">
        <is>
          <t>991002263149702656</t>
        </is>
      </c>
      <c r="AY77" t="inlineStr">
        <is>
          <t>2265534510002656</t>
        </is>
      </c>
      <c r="AZ77" t="inlineStr">
        <is>
          <t>BOOK</t>
        </is>
      </c>
      <c r="BB77" t="inlineStr">
        <is>
          <t>9780814729526</t>
        </is>
      </c>
      <c r="BC77" t="inlineStr">
        <is>
          <t>32285000994011</t>
        </is>
      </c>
      <c r="BD77" t="inlineStr">
        <is>
          <t>893510520</t>
        </is>
      </c>
    </row>
    <row r="78">
      <c r="A78" t="inlineStr">
        <is>
          <t>No</t>
        </is>
      </c>
      <c r="B78" t="inlineStr">
        <is>
          <t>PS1449.C85 Z68</t>
        </is>
      </c>
      <c r="C78" t="inlineStr">
        <is>
          <t>0                      PS 1449000C  85                 Z  68</t>
        </is>
      </c>
      <c r="D78" t="inlineStr">
        <is>
          <t>Cylinder of vision : the fiction and journalistic writing of Stephen Crane.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Holton, Milne.</t>
        </is>
      </c>
      <c r="L78" t="inlineStr">
        <is>
          <t>Baton Rouge : Louisiana State University Press, [1972]</t>
        </is>
      </c>
      <c r="M78" t="inlineStr">
        <is>
          <t>1972</t>
        </is>
      </c>
      <c r="O78" t="inlineStr">
        <is>
          <t>eng</t>
        </is>
      </c>
      <c r="P78" t="inlineStr">
        <is>
          <t>lau</t>
        </is>
      </c>
      <c r="R78" t="inlineStr">
        <is>
          <t xml:space="preserve">PS </t>
        </is>
      </c>
      <c r="S78" t="n">
        <v>5</v>
      </c>
      <c r="T78" t="n">
        <v>5</v>
      </c>
      <c r="U78" t="inlineStr">
        <is>
          <t>1999-03-17</t>
        </is>
      </c>
      <c r="V78" t="inlineStr">
        <is>
          <t>1999-03-17</t>
        </is>
      </c>
      <c r="W78" t="inlineStr">
        <is>
          <t>1993-05-04</t>
        </is>
      </c>
      <c r="X78" t="inlineStr">
        <is>
          <t>1993-05-04</t>
        </is>
      </c>
      <c r="Y78" t="n">
        <v>857</v>
      </c>
      <c r="Z78" t="n">
        <v>765</v>
      </c>
      <c r="AA78" t="n">
        <v>771</v>
      </c>
      <c r="AB78" t="n">
        <v>7</v>
      </c>
      <c r="AC78" t="n">
        <v>7</v>
      </c>
      <c r="AD78" t="n">
        <v>33</v>
      </c>
      <c r="AE78" t="n">
        <v>33</v>
      </c>
      <c r="AF78" t="n">
        <v>9</v>
      </c>
      <c r="AG78" t="n">
        <v>9</v>
      </c>
      <c r="AH78" t="n">
        <v>8</v>
      </c>
      <c r="AI78" t="n">
        <v>8</v>
      </c>
      <c r="AJ78" t="n">
        <v>17</v>
      </c>
      <c r="AK78" t="n">
        <v>17</v>
      </c>
      <c r="AL78" t="n">
        <v>6</v>
      </c>
      <c r="AM78" t="n">
        <v>6</v>
      </c>
      <c r="AN78" t="n">
        <v>1</v>
      </c>
      <c r="AO78" t="n">
        <v>1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HYPERLINK("http://catalog.hathitrust.org/Record/000395313","HathiTrust Record")</f>
        <v/>
      </c>
      <c r="AS78">
        <f>HYPERLINK("https://creighton-primo.hosted.exlibrisgroup.com/primo-explore/search?tab=default_tab&amp;search_scope=EVERYTHING&amp;vid=01CRU&amp;lang=en_US&amp;offset=0&amp;query=any,contains,991002754209702656","Catalog Record")</f>
        <v/>
      </c>
      <c r="AT78">
        <f>HYPERLINK("http://www.worldcat.org/oclc/425827","WorldCat Record")</f>
        <v/>
      </c>
      <c r="AU78" t="inlineStr">
        <is>
          <t>489078934:eng</t>
        </is>
      </c>
      <c r="AV78" t="inlineStr">
        <is>
          <t>425827</t>
        </is>
      </c>
      <c r="AW78" t="inlineStr">
        <is>
          <t>991002754209702656</t>
        </is>
      </c>
      <c r="AX78" t="inlineStr">
        <is>
          <t>991002754209702656</t>
        </is>
      </c>
      <c r="AY78" t="inlineStr">
        <is>
          <t>2267891650002656</t>
        </is>
      </c>
      <c r="AZ78" t="inlineStr">
        <is>
          <t>BOOK</t>
        </is>
      </c>
      <c r="BB78" t="inlineStr">
        <is>
          <t>9780807100455</t>
        </is>
      </c>
      <c r="BC78" t="inlineStr">
        <is>
          <t>32285001632859</t>
        </is>
      </c>
      <c r="BD78" t="inlineStr">
        <is>
          <t>893792868</t>
        </is>
      </c>
    </row>
    <row r="79">
      <c r="A79" t="inlineStr">
        <is>
          <t>No</t>
        </is>
      </c>
      <c r="B79" t="inlineStr">
        <is>
          <t>PS1449.C85 Z69</t>
        </is>
      </c>
      <c r="C79" t="inlineStr">
        <is>
          <t>0                      PS 1449000C  85                 Z  69</t>
        </is>
      </c>
      <c r="D79" t="inlineStr">
        <is>
          <t>Stephen Crane in transition : centenary essays / edited, with an introd. and afterword, by Joseph Katz.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Katz, Joseph, 1937-</t>
        </is>
      </c>
      <c r="L79" t="inlineStr">
        <is>
          <t>DeKalb : Northern Illinois University Press, [1972]</t>
        </is>
      </c>
      <c r="M79" t="inlineStr">
        <is>
          <t>1972</t>
        </is>
      </c>
      <c r="O79" t="inlineStr">
        <is>
          <t>eng</t>
        </is>
      </c>
      <c r="P79" t="inlineStr">
        <is>
          <t>ilu</t>
        </is>
      </c>
      <c r="R79" t="inlineStr">
        <is>
          <t xml:space="preserve">PS </t>
        </is>
      </c>
      <c r="S79" t="n">
        <v>8</v>
      </c>
      <c r="T79" t="n">
        <v>8</v>
      </c>
      <c r="U79" t="inlineStr">
        <is>
          <t>2005-10-03</t>
        </is>
      </c>
      <c r="V79" t="inlineStr">
        <is>
          <t>2005-10-03</t>
        </is>
      </c>
      <c r="W79" t="inlineStr">
        <is>
          <t>1991-01-22</t>
        </is>
      </c>
      <c r="X79" t="inlineStr">
        <is>
          <t>1991-01-22</t>
        </is>
      </c>
      <c r="Y79" t="n">
        <v>1010</v>
      </c>
      <c r="Z79" t="n">
        <v>918</v>
      </c>
      <c r="AA79" t="n">
        <v>922</v>
      </c>
      <c r="AB79" t="n">
        <v>8</v>
      </c>
      <c r="AC79" t="n">
        <v>8</v>
      </c>
      <c r="AD79" t="n">
        <v>41</v>
      </c>
      <c r="AE79" t="n">
        <v>41</v>
      </c>
      <c r="AF79" t="n">
        <v>13</v>
      </c>
      <c r="AG79" t="n">
        <v>13</v>
      </c>
      <c r="AH79" t="n">
        <v>9</v>
      </c>
      <c r="AI79" t="n">
        <v>9</v>
      </c>
      <c r="AJ79" t="n">
        <v>21</v>
      </c>
      <c r="AK79" t="n">
        <v>21</v>
      </c>
      <c r="AL79" t="n">
        <v>7</v>
      </c>
      <c r="AM79" t="n">
        <v>7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HYPERLINK("https://creighton-primo.hosted.exlibrisgroup.com/primo-explore/search?tab=default_tab&amp;search_scope=EVERYTHING&amp;vid=01CRU&amp;lang=en_US&amp;offset=0&amp;query=any,contains,991002712209702656","Catalog Record")</f>
        <v/>
      </c>
      <c r="AT79">
        <f>HYPERLINK("http://www.worldcat.org/oclc/409621","WorldCat Record")</f>
        <v/>
      </c>
      <c r="AU79" t="inlineStr">
        <is>
          <t>114815783:eng</t>
        </is>
      </c>
      <c r="AV79" t="inlineStr">
        <is>
          <t>409621</t>
        </is>
      </c>
      <c r="AW79" t="inlineStr">
        <is>
          <t>991002712209702656</t>
        </is>
      </c>
      <c r="AX79" t="inlineStr">
        <is>
          <t>991002712209702656</t>
        </is>
      </c>
      <c r="AY79" t="inlineStr">
        <is>
          <t>2262271900002656</t>
        </is>
      </c>
      <c r="AZ79" t="inlineStr">
        <is>
          <t>BOOK</t>
        </is>
      </c>
      <c r="BB79" t="inlineStr">
        <is>
          <t>9780875800325</t>
        </is>
      </c>
      <c r="BC79" t="inlineStr">
        <is>
          <t>32285000430677</t>
        </is>
      </c>
      <c r="BD79" t="inlineStr">
        <is>
          <t>893597782</t>
        </is>
      </c>
    </row>
    <row r="80">
      <c r="A80" t="inlineStr">
        <is>
          <t>No</t>
        </is>
      </c>
      <c r="B80" t="inlineStr">
        <is>
          <t>PS1449.C85 Z72</t>
        </is>
      </c>
      <c r="C80" t="inlineStr">
        <is>
          <t>0                      PS 1449000C  85                 Z  72</t>
        </is>
      </c>
      <c r="D80" t="inlineStr">
        <is>
          <t>A reading of Stephen Crane.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LaFrance, Marston, 1927-1975.</t>
        </is>
      </c>
      <c r="L80" t="inlineStr">
        <is>
          <t>Oxford : Clarendon Press, 1971.</t>
        </is>
      </c>
      <c r="M80" t="inlineStr">
        <is>
          <t>1971</t>
        </is>
      </c>
      <c r="O80" t="inlineStr">
        <is>
          <t>eng</t>
        </is>
      </c>
      <c r="P80" t="inlineStr">
        <is>
          <t>enk</t>
        </is>
      </c>
      <c r="R80" t="inlineStr">
        <is>
          <t xml:space="preserve">PS </t>
        </is>
      </c>
      <c r="S80" t="n">
        <v>9</v>
      </c>
      <c r="T80" t="n">
        <v>9</v>
      </c>
      <c r="U80" t="inlineStr">
        <is>
          <t>2005-09-28</t>
        </is>
      </c>
      <c r="V80" t="inlineStr">
        <is>
          <t>2005-09-28</t>
        </is>
      </c>
      <c r="W80" t="inlineStr">
        <is>
          <t>1992-04-24</t>
        </is>
      </c>
      <c r="X80" t="inlineStr">
        <is>
          <t>1992-04-24</t>
        </is>
      </c>
      <c r="Y80" t="n">
        <v>1150</v>
      </c>
      <c r="Z80" t="n">
        <v>996</v>
      </c>
      <c r="AA80" t="n">
        <v>1009</v>
      </c>
      <c r="AB80" t="n">
        <v>10</v>
      </c>
      <c r="AC80" t="n">
        <v>10</v>
      </c>
      <c r="AD80" t="n">
        <v>42</v>
      </c>
      <c r="AE80" t="n">
        <v>42</v>
      </c>
      <c r="AF80" t="n">
        <v>15</v>
      </c>
      <c r="AG80" t="n">
        <v>15</v>
      </c>
      <c r="AH80" t="n">
        <v>10</v>
      </c>
      <c r="AI80" t="n">
        <v>10</v>
      </c>
      <c r="AJ80" t="n">
        <v>17</v>
      </c>
      <c r="AK80" t="n">
        <v>17</v>
      </c>
      <c r="AL80" t="n">
        <v>9</v>
      </c>
      <c r="AM80" t="n">
        <v>9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HYPERLINK("http://catalog.hathitrust.org/Record/000395376","HathiTrust Record")</f>
        <v/>
      </c>
      <c r="AS80">
        <f>HYPERLINK("https://creighton-primo.hosted.exlibrisgroup.com/primo-explore/search?tab=default_tab&amp;search_scope=EVERYTHING&amp;vid=01CRU&amp;lang=en_US&amp;offset=0&amp;query=any,contains,991000910249702656","Catalog Record")</f>
        <v/>
      </c>
      <c r="AT80">
        <f>HYPERLINK("http://www.worldcat.org/oclc/159436","WorldCat Record")</f>
        <v/>
      </c>
      <c r="AU80" t="inlineStr">
        <is>
          <t>1261030:eng</t>
        </is>
      </c>
      <c r="AV80" t="inlineStr">
        <is>
          <t>159436</t>
        </is>
      </c>
      <c r="AW80" t="inlineStr">
        <is>
          <t>991000910249702656</t>
        </is>
      </c>
      <c r="AX80" t="inlineStr">
        <is>
          <t>991000910249702656</t>
        </is>
      </c>
      <c r="AY80" t="inlineStr">
        <is>
          <t>2259107160002656</t>
        </is>
      </c>
      <c r="AZ80" t="inlineStr">
        <is>
          <t>BOOK</t>
        </is>
      </c>
      <c r="BB80" t="inlineStr">
        <is>
          <t>9780198120117</t>
        </is>
      </c>
      <c r="BC80" t="inlineStr">
        <is>
          <t>32285001086205</t>
        </is>
      </c>
      <c r="BD80" t="inlineStr">
        <is>
          <t>893528488</t>
        </is>
      </c>
    </row>
    <row r="81">
      <c r="A81" t="inlineStr">
        <is>
          <t>No</t>
        </is>
      </c>
      <c r="B81" t="inlineStr">
        <is>
          <t>PS1449.C85 Z73</t>
        </is>
      </c>
      <c r="C81" t="inlineStr">
        <is>
          <t>0                      PS 1449000C  85                 Z  73</t>
        </is>
      </c>
      <c r="D81" t="inlineStr">
        <is>
          <t>My Stephen Crane / edited with an introd. by Edwin H. Cady.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Linson, Corwin Knapp, 1864-</t>
        </is>
      </c>
      <c r="L81" t="inlineStr">
        <is>
          <t>[Syracuse, N.Y.] : Syracuse University Press, 1958.</t>
        </is>
      </c>
      <c r="M81" t="inlineStr">
        <is>
          <t>1958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PS </t>
        </is>
      </c>
      <c r="S81" t="n">
        <v>7</v>
      </c>
      <c r="T81" t="n">
        <v>7</v>
      </c>
      <c r="U81" t="inlineStr">
        <is>
          <t>2004-02-16</t>
        </is>
      </c>
      <c r="V81" t="inlineStr">
        <is>
          <t>2004-02-16</t>
        </is>
      </c>
      <c r="W81" t="inlineStr">
        <is>
          <t>1993-09-30</t>
        </is>
      </c>
      <c r="X81" t="inlineStr">
        <is>
          <t>1993-09-30</t>
        </is>
      </c>
      <c r="Y81" t="n">
        <v>723</v>
      </c>
      <c r="Z81" t="n">
        <v>664</v>
      </c>
      <c r="AA81" t="n">
        <v>678</v>
      </c>
      <c r="AB81" t="n">
        <v>6</v>
      </c>
      <c r="AC81" t="n">
        <v>6</v>
      </c>
      <c r="AD81" t="n">
        <v>36</v>
      </c>
      <c r="AE81" t="n">
        <v>37</v>
      </c>
      <c r="AF81" t="n">
        <v>14</v>
      </c>
      <c r="AG81" t="n">
        <v>15</v>
      </c>
      <c r="AH81" t="n">
        <v>8</v>
      </c>
      <c r="AI81" t="n">
        <v>8</v>
      </c>
      <c r="AJ81" t="n">
        <v>18</v>
      </c>
      <c r="AK81" t="n">
        <v>18</v>
      </c>
      <c r="AL81" t="n">
        <v>5</v>
      </c>
      <c r="AM81" t="n">
        <v>5</v>
      </c>
      <c r="AN81" t="n">
        <v>0</v>
      </c>
      <c r="AO81" t="n">
        <v>0</v>
      </c>
      <c r="AP81" t="inlineStr">
        <is>
          <t>Yes</t>
        </is>
      </c>
      <c r="AQ81" t="inlineStr">
        <is>
          <t>No</t>
        </is>
      </c>
      <c r="AR81">
        <f>HYPERLINK("http://catalog.hathitrust.org/Record/000395377","HathiTrust Record")</f>
        <v/>
      </c>
      <c r="AS81">
        <f>HYPERLINK("https://creighton-primo.hosted.exlibrisgroup.com/primo-explore/search?tab=default_tab&amp;search_scope=EVERYTHING&amp;vid=01CRU&amp;lang=en_US&amp;offset=0&amp;query=any,contains,991002144509702656","Catalog Record")</f>
        <v/>
      </c>
      <c r="AT81">
        <f>HYPERLINK("http://www.worldcat.org/oclc/271274","WorldCat Record")</f>
        <v/>
      </c>
      <c r="AU81" t="inlineStr">
        <is>
          <t>3768911490:eng</t>
        </is>
      </c>
      <c r="AV81" t="inlineStr">
        <is>
          <t>271274</t>
        </is>
      </c>
      <c r="AW81" t="inlineStr">
        <is>
          <t>991002144509702656</t>
        </is>
      </c>
      <c r="AX81" t="inlineStr">
        <is>
          <t>991002144509702656</t>
        </is>
      </c>
      <c r="AY81" t="inlineStr">
        <is>
          <t>2261930810002656</t>
        </is>
      </c>
      <c r="AZ81" t="inlineStr">
        <is>
          <t>BOOK</t>
        </is>
      </c>
      <c r="BC81" t="inlineStr">
        <is>
          <t>32285001772069</t>
        </is>
      </c>
      <c r="BD81" t="inlineStr">
        <is>
          <t>893879544</t>
        </is>
      </c>
    </row>
    <row r="82">
      <c r="A82" t="inlineStr">
        <is>
          <t>No</t>
        </is>
      </c>
      <c r="B82" t="inlineStr">
        <is>
          <t>PS1449.C85 Z74</t>
        </is>
      </c>
      <c r="C82" t="inlineStr">
        <is>
          <t>0                      PS 1449000C  85                 Z  74</t>
        </is>
      </c>
      <c r="D82" t="inlineStr">
        <is>
          <t>Stephen Crane at Brede : an Anglo-American literary circle of the 1890's / Gordon Milne.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Milne, Gordon.</t>
        </is>
      </c>
      <c r="L82" t="inlineStr">
        <is>
          <t>Lanham, MD : University Press of America, c1980.</t>
        </is>
      </c>
      <c r="M82" t="inlineStr">
        <is>
          <t>1980</t>
        </is>
      </c>
      <c r="O82" t="inlineStr">
        <is>
          <t>eng</t>
        </is>
      </c>
      <c r="P82" t="inlineStr">
        <is>
          <t>mdu</t>
        </is>
      </c>
      <c r="R82" t="inlineStr">
        <is>
          <t xml:space="preserve">PS </t>
        </is>
      </c>
      <c r="S82" t="n">
        <v>1</v>
      </c>
      <c r="T82" t="n">
        <v>1</v>
      </c>
      <c r="U82" t="inlineStr">
        <is>
          <t>1993-01-13</t>
        </is>
      </c>
      <c r="V82" t="inlineStr">
        <is>
          <t>1993-01-13</t>
        </is>
      </c>
      <c r="W82" t="inlineStr">
        <is>
          <t>1990-10-25</t>
        </is>
      </c>
      <c r="X82" t="inlineStr">
        <is>
          <t>1990-10-25</t>
        </is>
      </c>
      <c r="Y82" t="n">
        <v>346</v>
      </c>
      <c r="Z82" t="n">
        <v>309</v>
      </c>
      <c r="AA82" t="n">
        <v>314</v>
      </c>
      <c r="AB82" t="n">
        <v>2</v>
      </c>
      <c r="AC82" t="n">
        <v>2</v>
      </c>
      <c r="AD82" t="n">
        <v>14</v>
      </c>
      <c r="AE82" t="n">
        <v>14</v>
      </c>
      <c r="AF82" t="n">
        <v>2</v>
      </c>
      <c r="AG82" t="n">
        <v>2</v>
      </c>
      <c r="AH82" t="n">
        <v>4</v>
      </c>
      <c r="AI82" t="n">
        <v>4</v>
      </c>
      <c r="AJ82" t="n">
        <v>10</v>
      </c>
      <c r="AK82" t="n">
        <v>10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HYPERLINK("https://creighton-primo.hosted.exlibrisgroup.com/primo-explore/search?tab=default_tab&amp;search_scope=EVERYTHING&amp;vid=01CRU&amp;lang=en_US&amp;offset=0&amp;query=any,contains,991005083699702656","Catalog Record")</f>
        <v/>
      </c>
      <c r="AT82">
        <f>HYPERLINK("http://www.worldcat.org/oclc/7177092","WorldCat Record")</f>
        <v/>
      </c>
      <c r="AU82" t="inlineStr">
        <is>
          <t>196900781:eng</t>
        </is>
      </c>
      <c r="AV82" t="inlineStr">
        <is>
          <t>7177092</t>
        </is>
      </c>
      <c r="AW82" t="inlineStr">
        <is>
          <t>991005083699702656</t>
        </is>
      </c>
      <c r="AX82" t="inlineStr">
        <is>
          <t>991005083699702656</t>
        </is>
      </c>
      <c r="AY82" t="inlineStr">
        <is>
          <t>2271467090002656</t>
        </is>
      </c>
      <c r="AZ82" t="inlineStr">
        <is>
          <t>BOOK</t>
        </is>
      </c>
      <c r="BB82" t="inlineStr">
        <is>
          <t>9780819111395</t>
        </is>
      </c>
      <c r="BC82" t="inlineStr">
        <is>
          <t>32285000362763</t>
        </is>
      </c>
      <c r="BD82" t="inlineStr">
        <is>
          <t>893344610</t>
        </is>
      </c>
    </row>
    <row r="83">
      <c r="A83" t="inlineStr">
        <is>
          <t>No</t>
        </is>
      </c>
      <c r="B83" t="inlineStr">
        <is>
          <t>PS1449.C85 Z848</t>
        </is>
      </c>
      <c r="C83" t="inlineStr">
        <is>
          <t>0                      PS 1449000C  85                 Z  848</t>
        </is>
      </c>
      <c r="D83" t="inlineStr">
        <is>
          <t>Stephen Crane, from parody to realism.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Solomon, Eric.</t>
        </is>
      </c>
      <c r="L83" t="inlineStr">
        <is>
          <t>Cambridge : Harvard University Press, 1966.</t>
        </is>
      </c>
      <c r="M83" t="inlineStr">
        <is>
          <t>1966</t>
        </is>
      </c>
      <c r="O83" t="inlineStr">
        <is>
          <t>eng</t>
        </is>
      </c>
      <c r="P83" t="inlineStr">
        <is>
          <t>mau</t>
        </is>
      </c>
      <c r="R83" t="inlineStr">
        <is>
          <t xml:space="preserve">PS </t>
        </is>
      </c>
      <c r="S83" t="n">
        <v>6</v>
      </c>
      <c r="T83" t="n">
        <v>6</v>
      </c>
      <c r="U83" t="inlineStr">
        <is>
          <t>2005-09-28</t>
        </is>
      </c>
      <c r="V83" t="inlineStr">
        <is>
          <t>2005-09-28</t>
        </is>
      </c>
      <c r="W83" t="inlineStr">
        <is>
          <t>1991-01-22</t>
        </is>
      </c>
      <c r="X83" t="inlineStr">
        <is>
          <t>1991-01-22</t>
        </is>
      </c>
      <c r="Y83" t="n">
        <v>1113</v>
      </c>
      <c r="Z83" t="n">
        <v>998</v>
      </c>
      <c r="AA83" t="n">
        <v>1071</v>
      </c>
      <c r="AB83" t="n">
        <v>10</v>
      </c>
      <c r="AC83" t="n">
        <v>10</v>
      </c>
      <c r="AD83" t="n">
        <v>41</v>
      </c>
      <c r="AE83" t="n">
        <v>44</v>
      </c>
      <c r="AF83" t="n">
        <v>17</v>
      </c>
      <c r="AG83" t="n">
        <v>19</v>
      </c>
      <c r="AH83" t="n">
        <v>8</v>
      </c>
      <c r="AI83" t="n">
        <v>8</v>
      </c>
      <c r="AJ83" t="n">
        <v>18</v>
      </c>
      <c r="AK83" t="n">
        <v>19</v>
      </c>
      <c r="AL83" t="n">
        <v>8</v>
      </c>
      <c r="AM83" t="n">
        <v>8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HYPERLINK("http://catalog.hathitrust.org/Record/000395384","HathiTrust Record")</f>
        <v/>
      </c>
      <c r="AS83">
        <f>HYPERLINK("https://creighton-primo.hosted.exlibrisgroup.com/primo-explore/search?tab=default_tab&amp;search_scope=EVERYTHING&amp;vid=01CRU&amp;lang=en_US&amp;offset=0&amp;query=any,contains,991002144479702656","Catalog Record")</f>
        <v/>
      </c>
      <c r="AT83">
        <f>HYPERLINK("http://www.worldcat.org/oclc/271273","WorldCat Record")</f>
        <v/>
      </c>
      <c r="AU83" t="inlineStr">
        <is>
          <t>1399870:eng</t>
        </is>
      </c>
      <c r="AV83" t="inlineStr">
        <is>
          <t>271273</t>
        </is>
      </c>
      <c r="AW83" t="inlineStr">
        <is>
          <t>991002144479702656</t>
        </is>
      </c>
      <c r="AX83" t="inlineStr">
        <is>
          <t>991002144479702656</t>
        </is>
      </c>
      <c r="AY83" t="inlineStr">
        <is>
          <t>2261930570002656</t>
        </is>
      </c>
      <c r="AZ83" t="inlineStr">
        <is>
          <t>BOOK</t>
        </is>
      </c>
      <c r="BC83" t="inlineStr">
        <is>
          <t>32285000430669</t>
        </is>
      </c>
      <c r="BD83" t="inlineStr">
        <is>
          <t>893697404</t>
        </is>
      </c>
    </row>
    <row r="84">
      <c r="A84" t="inlineStr">
        <is>
          <t>No</t>
        </is>
      </c>
      <c r="B84" t="inlineStr">
        <is>
          <t>PS1449.C85 Z98</t>
        </is>
      </c>
      <c r="C84" t="inlineStr">
        <is>
          <t>0                      PS 1449000C  85                 Z  98</t>
        </is>
      </c>
      <c r="D84" t="inlineStr">
        <is>
          <t>Stephen Crane, the critical heritage / edited by Richard M. Weatherford.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Weatherford, Richard M., compiler.</t>
        </is>
      </c>
      <c r="L84" t="inlineStr">
        <is>
          <t>London ; Boston : Routledge and Kegan Paul, 1973.</t>
        </is>
      </c>
      <c r="M84" t="inlineStr">
        <is>
          <t>1973</t>
        </is>
      </c>
      <c r="O84" t="inlineStr">
        <is>
          <t>eng</t>
        </is>
      </c>
      <c r="P84" t="inlineStr">
        <is>
          <t>enk</t>
        </is>
      </c>
      <c r="Q84" t="inlineStr">
        <is>
          <t>The Critical heritage series</t>
        </is>
      </c>
      <c r="R84" t="inlineStr">
        <is>
          <t xml:space="preserve">PS </t>
        </is>
      </c>
      <c r="S84" t="n">
        <v>6</v>
      </c>
      <c r="T84" t="n">
        <v>6</v>
      </c>
      <c r="U84" t="inlineStr">
        <is>
          <t>2004-05-29</t>
        </is>
      </c>
      <c r="V84" t="inlineStr">
        <is>
          <t>2004-05-29</t>
        </is>
      </c>
      <c r="W84" t="inlineStr">
        <is>
          <t>1992-11-16</t>
        </is>
      </c>
      <c r="X84" t="inlineStr">
        <is>
          <t>1992-11-16</t>
        </is>
      </c>
      <c r="Y84" t="n">
        <v>857</v>
      </c>
      <c r="Z84" t="n">
        <v>642</v>
      </c>
      <c r="AA84" t="n">
        <v>684</v>
      </c>
      <c r="AB84" t="n">
        <v>7</v>
      </c>
      <c r="AC84" t="n">
        <v>7</v>
      </c>
      <c r="AD84" t="n">
        <v>33</v>
      </c>
      <c r="AE84" t="n">
        <v>34</v>
      </c>
      <c r="AF84" t="n">
        <v>13</v>
      </c>
      <c r="AG84" t="n">
        <v>14</v>
      </c>
      <c r="AH84" t="n">
        <v>8</v>
      </c>
      <c r="AI84" t="n">
        <v>8</v>
      </c>
      <c r="AJ84" t="n">
        <v>18</v>
      </c>
      <c r="AK84" t="n">
        <v>18</v>
      </c>
      <c r="AL84" t="n">
        <v>6</v>
      </c>
      <c r="AM84" t="n">
        <v>6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HYPERLINK("http://catalog.hathitrust.org/Record/000395530","HathiTrust Record")</f>
        <v/>
      </c>
      <c r="AS84">
        <f>HYPERLINK("https://creighton-primo.hosted.exlibrisgroup.com/primo-explore/search?tab=default_tab&amp;search_scope=EVERYTHING&amp;vid=01CRU&amp;lang=en_US&amp;offset=0&amp;query=any,contains,991003722709702656","Catalog Record")</f>
        <v/>
      </c>
      <c r="AT84">
        <f>HYPERLINK("http://www.worldcat.org/oclc/1367127","WorldCat Record")</f>
        <v/>
      </c>
      <c r="AU84" t="inlineStr">
        <is>
          <t>808646287:eng</t>
        </is>
      </c>
      <c r="AV84" t="inlineStr">
        <is>
          <t>1367127</t>
        </is>
      </c>
      <c r="AW84" t="inlineStr">
        <is>
          <t>991003722709702656</t>
        </is>
      </c>
      <c r="AX84" t="inlineStr">
        <is>
          <t>991003722709702656</t>
        </is>
      </c>
      <c r="AY84" t="inlineStr">
        <is>
          <t>2255258950002656</t>
        </is>
      </c>
      <c r="AZ84" t="inlineStr">
        <is>
          <t>BOOK</t>
        </is>
      </c>
      <c r="BB84" t="inlineStr">
        <is>
          <t>9780710076366</t>
        </is>
      </c>
      <c r="BC84" t="inlineStr">
        <is>
          <t>32285001384568</t>
        </is>
      </c>
      <c r="BD84" t="inlineStr">
        <is>
          <t>893252688</t>
        </is>
      </c>
    </row>
    <row r="85">
      <c r="A85" t="inlineStr">
        <is>
          <t>No</t>
        </is>
      </c>
      <c r="B85" t="inlineStr">
        <is>
          <t>PS1449.C85 Z984 1989</t>
        </is>
      </c>
      <c r="C85" t="inlineStr">
        <is>
          <t>0                      PS 1449000C  85                 Z  984         1989</t>
        </is>
      </c>
      <c r="D85" t="inlineStr">
        <is>
          <t>Stephen Crane : a study of the short fiction / Chester L. Wolford.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Wolford, Chester L., 1944-2009.</t>
        </is>
      </c>
      <c r="L85" t="inlineStr">
        <is>
          <t>Boston : Twayne Publishers, c1989.</t>
        </is>
      </c>
      <c r="M85" t="inlineStr">
        <is>
          <t>1989</t>
        </is>
      </c>
      <c r="O85" t="inlineStr">
        <is>
          <t>eng</t>
        </is>
      </c>
      <c r="P85" t="inlineStr">
        <is>
          <t>mau</t>
        </is>
      </c>
      <c r="Q85" t="inlineStr">
        <is>
          <t>Twayne's studies in short fiction ; [7]</t>
        </is>
      </c>
      <c r="R85" t="inlineStr">
        <is>
          <t xml:space="preserve">PS </t>
        </is>
      </c>
      <c r="S85" t="n">
        <v>10</v>
      </c>
      <c r="T85" t="n">
        <v>10</v>
      </c>
      <c r="U85" t="inlineStr">
        <is>
          <t>2000-11-22</t>
        </is>
      </c>
      <c r="V85" t="inlineStr">
        <is>
          <t>2000-11-22</t>
        </is>
      </c>
      <c r="W85" t="inlineStr">
        <is>
          <t>1989-11-13</t>
        </is>
      </c>
      <c r="X85" t="inlineStr">
        <is>
          <t>1989-11-13</t>
        </is>
      </c>
      <c r="Y85" t="n">
        <v>964</v>
      </c>
      <c r="Z85" t="n">
        <v>887</v>
      </c>
      <c r="AA85" t="n">
        <v>893</v>
      </c>
      <c r="AB85" t="n">
        <v>7</v>
      </c>
      <c r="AC85" t="n">
        <v>7</v>
      </c>
      <c r="AD85" t="n">
        <v>32</v>
      </c>
      <c r="AE85" t="n">
        <v>32</v>
      </c>
      <c r="AF85" t="n">
        <v>12</v>
      </c>
      <c r="AG85" t="n">
        <v>12</v>
      </c>
      <c r="AH85" t="n">
        <v>7</v>
      </c>
      <c r="AI85" t="n">
        <v>7</v>
      </c>
      <c r="AJ85" t="n">
        <v>16</v>
      </c>
      <c r="AK85" t="n">
        <v>16</v>
      </c>
      <c r="AL85" t="n">
        <v>6</v>
      </c>
      <c r="AM85" t="n">
        <v>6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HYPERLINK("http://catalog.hathitrust.org/Record/002230542","HathiTrust Record")</f>
        <v/>
      </c>
      <c r="AS85">
        <f>HYPERLINK("https://creighton-primo.hosted.exlibrisgroup.com/primo-explore/search?tab=default_tab&amp;search_scope=EVERYTHING&amp;vid=01CRU&amp;lang=en_US&amp;offset=0&amp;query=any,contains,991001436619702656","Catalog Record")</f>
        <v/>
      </c>
      <c r="AT85">
        <f>HYPERLINK("http://www.worldcat.org/oclc/19130441","WorldCat Record")</f>
        <v/>
      </c>
      <c r="AU85" t="inlineStr">
        <is>
          <t>346810407:eng</t>
        </is>
      </c>
      <c r="AV85" t="inlineStr">
        <is>
          <t>19130441</t>
        </is>
      </c>
      <c r="AW85" t="inlineStr">
        <is>
          <t>991001436619702656</t>
        </is>
      </c>
      <c r="AX85" t="inlineStr">
        <is>
          <t>991001436619702656</t>
        </is>
      </c>
      <c r="AY85" t="inlineStr">
        <is>
          <t>2261645730002656</t>
        </is>
      </c>
      <c r="AZ85" t="inlineStr">
        <is>
          <t>BOOK</t>
        </is>
      </c>
      <c r="BB85" t="inlineStr">
        <is>
          <t>9780805783155</t>
        </is>
      </c>
      <c r="BC85" t="inlineStr">
        <is>
          <t>32285000012830</t>
        </is>
      </c>
      <c r="BD85" t="inlineStr">
        <is>
          <t>893621389</t>
        </is>
      </c>
    </row>
    <row r="86">
      <c r="A86" t="inlineStr">
        <is>
          <t>No</t>
        </is>
      </c>
      <c r="B86" t="inlineStr">
        <is>
          <t>PS147 .F4 1978</t>
        </is>
      </c>
      <c r="C86" t="inlineStr">
        <is>
          <t>0                      PS 0147000F  4           1978</t>
        </is>
      </c>
      <c r="D86" t="inlineStr">
        <is>
          <t>Feminist criticism : essays on theory, poetry, and prose / edited by Cheryl L. Brown and Karen Olson.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Metuchen, N.J. : Scarecrow Press, 1978.</t>
        </is>
      </c>
      <c r="M86" t="inlineStr">
        <is>
          <t>1978</t>
        </is>
      </c>
      <c r="O86" t="inlineStr">
        <is>
          <t>eng</t>
        </is>
      </c>
      <c r="P86" t="inlineStr">
        <is>
          <t>nju</t>
        </is>
      </c>
      <c r="R86" t="inlineStr">
        <is>
          <t xml:space="preserve">PS </t>
        </is>
      </c>
      <c r="S86" t="n">
        <v>12</v>
      </c>
      <c r="T86" t="n">
        <v>12</v>
      </c>
      <c r="U86" t="inlineStr">
        <is>
          <t>2001-09-29</t>
        </is>
      </c>
      <c r="V86" t="inlineStr">
        <is>
          <t>2001-09-29</t>
        </is>
      </c>
      <c r="W86" t="inlineStr">
        <is>
          <t>1992-03-10</t>
        </is>
      </c>
      <c r="X86" t="inlineStr">
        <is>
          <t>1992-03-10</t>
        </is>
      </c>
      <c r="Y86" t="n">
        <v>648</v>
      </c>
      <c r="Z86" t="n">
        <v>535</v>
      </c>
      <c r="AA86" t="n">
        <v>542</v>
      </c>
      <c r="AB86" t="n">
        <v>7</v>
      </c>
      <c r="AC86" t="n">
        <v>7</v>
      </c>
      <c r="AD86" t="n">
        <v>25</v>
      </c>
      <c r="AE86" t="n">
        <v>25</v>
      </c>
      <c r="AF86" t="n">
        <v>8</v>
      </c>
      <c r="AG86" t="n">
        <v>8</v>
      </c>
      <c r="AH86" t="n">
        <v>8</v>
      </c>
      <c r="AI86" t="n">
        <v>8</v>
      </c>
      <c r="AJ86" t="n">
        <v>9</v>
      </c>
      <c r="AK86" t="n">
        <v>9</v>
      </c>
      <c r="AL86" t="n">
        <v>6</v>
      </c>
      <c r="AM86" t="n">
        <v>6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HYPERLINK("http://catalog.hathitrust.org/Record/000137295","HathiTrust Record")</f>
        <v/>
      </c>
      <c r="AS86">
        <f>HYPERLINK("https://creighton-primo.hosted.exlibrisgroup.com/primo-explore/search?tab=default_tab&amp;search_scope=EVERYTHING&amp;vid=01CRU&amp;lang=en_US&amp;offset=0&amp;query=any,contains,991004541029702656","Catalog Record")</f>
        <v/>
      </c>
      <c r="AT86">
        <f>HYPERLINK("http://www.worldcat.org/oclc/3893676","WorldCat Record")</f>
        <v/>
      </c>
      <c r="AU86" t="inlineStr">
        <is>
          <t>424959572:eng</t>
        </is>
      </c>
      <c r="AV86" t="inlineStr">
        <is>
          <t>3893676</t>
        </is>
      </c>
      <c r="AW86" t="inlineStr">
        <is>
          <t>991004541029702656</t>
        </is>
      </c>
      <c r="AX86" t="inlineStr">
        <is>
          <t>991004541029702656</t>
        </is>
      </c>
      <c r="AY86" t="inlineStr">
        <is>
          <t>2271877030002656</t>
        </is>
      </c>
      <c r="AZ86" t="inlineStr">
        <is>
          <t>BOOK</t>
        </is>
      </c>
      <c r="BB86" t="inlineStr">
        <is>
          <t>9780810811430</t>
        </is>
      </c>
      <c r="BC86" t="inlineStr">
        <is>
          <t>32285001001113</t>
        </is>
      </c>
      <c r="BD86" t="inlineStr">
        <is>
          <t>893712743</t>
        </is>
      </c>
    </row>
    <row r="87">
      <c r="A87" t="inlineStr">
        <is>
          <t>No</t>
        </is>
      </c>
      <c r="B87" t="inlineStr">
        <is>
          <t>PS1502 .H86 1987</t>
        </is>
      </c>
      <c r="C87" t="inlineStr">
        <is>
          <t>0                      PS 1502000H  86          1987</t>
        </is>
      </c>
      <c r="D87" t="inlineStr">
        <is>
          <t>Richard Henry Dana, Sr. / by Doreen M. Hunter.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Hunter, Doreen M.</t>
        </is>
      </c>
      <c r="L87" t="inlineStr">
        <is>
          <t>Boston : Twayne, 1987.</t>
        </is>
      </c>
      <c r="M87" t="inlineStr">
        <is>
          <t>1987</t>
        </is>
      </c>
      <c r="O87" t="inlineStr">
        <is>
          <t>eng</t>
        </is>
      </c>
      <c r="P87" t="inlineStr">
        <is>
          <t>mau</t>
        </is>
      </c>
      <c r="Q87" t="inlineStr">
        <is>
          <t>Twayne's United States authors series ; TUSAS 511</t>
        </is>
      </c>
      <c r="R87" t="inlineStr">
        <is>
          <t xml:space="preserve">PS </t>
        </is>
      </c>
      <c r="S87" t="n">
        <v>1</v>
      </c>
      <c r="T87" t="n">
        <v>1</v>
      </c>
      <c r="U87" t="inlineStr">
        <is>
          <t>2002-06-04</t>
        </is>
      </c>
      <c r="V87" t="inlineStr">
        <is>
          <t>2002-06-04</t>
        </is>
      </c>
      <c r="W87" t="inlineStr">
        <is>
          <t>1990-10-26</t>
        </is>
      </c>
      <c r="X87" t="inlineStr">
        <is>
          <t>1990-10-26</t>
        </is>
      </c>
      <c r="Y87" t="n">
        <v>512</v>
      </c>
      <c r="Z87" t="n">
        <v>455</v>
      </c>
      <c r="AA87" t="n">
        <v>462</v>
      </c>
      <c r="AB87" t="n">
        <v>7</v>
      </c>
      <c r="AC87" t="n">
        <v>7</v>
      </c>
      <c r="AD87" t="n">
        <v>23</v>
      </c>
      <c r="AE87" t="n">
        <v>23</v>
      </c>
      <c r="AF87" t="n">
        <v>6</v>
      </c>
      <c r="AG87" t="n">
        <v>6</v>
      </c>
      <c r="AH87" t="n">
        <v>4</v>
      </c>
      <c r="AI87" t="n">
        <v>4</v>
      </c>
      <c r="AJ87" t="n">
        <v>14</v>
      </c>
      <c r="AK87" t="n">
        <v>14</v>
      </c>
      <c r="AL87" t="n">
        <v>6</v>
      </c>
      <c r="AM87" t="n">
        <v>6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HYPERLINK("http://catalog.hathitrust.org/Record/000819484","HathiTrust Record")</f>
        <v/>
      </c>
      <c r="AS87">
        <f>HYPERLINK("https://creighton-primo.hosted.exlibrisgroup.com/primo-explore/search?tab=default_tab&amp;search_scope=EVERYTHING&amp;vid=01CRU&amp;lang=en_US&amp;offset=0&amp;query=any,contains,991000923199702656","Catalog Record")</f>
        <v/>
      </c>
      <c r="AT87">
        <f>HYPERLINK("http://www.worldcat.org/oclc/14214815","WorldCat Record")</f>
        <v/>
      </c>
      <c r="AU87" t="inlineStr">
        <is>
          <t>8252729:eng</t>
        </is>
      </c>
      <c r="AV87" t="inlineStr">
        <is>
          <t>14214815</t>
        </is>
      </c>
      <c r="AW87" t="inlineStr">
        <is>
          <t>991000923199702656</t>
        </is>
      </c>
      <c r="AX87" t="inlineStr">
        <is>
          <t>991000923199702656</t>
        </is>
      </c>
      <c r="AY87" t="inlineStr">
        <is>
          <t>2267418850002656</t>
        </is>
      </c>
      <c r="AZ87" t="inlineStr">
        <is>
          <t>BOOK</t>
        </is>
      </c>
      <c r="BB87" t="inlineStr">
        <is>
          <t>9780805774900</t>
        </is>
      </c>
      <c r="BC87" t="inlineStr">
        <is>
          <t>32285000362847</t>
        </is>
      </c>
      <c r="BD87" t="inlineStr">
        <is>
          <t>893602174</t>
        </is>
      </c>
    </row>
    <row r="88">
      <c r="A88" t="inlineStr">
        <is>
          <t>No</t>
        </is>
      </c>
      <c r="B88" t="inlineStr">
        <is>
          <t>PS1506 .G3</t>
        </is>
      </c>
      <c r="C88" t="inlineStr">
        <is>
          <t>0                      PS 1506000G  3</t>
        </is>
      </c>
      <c r="D88" t="inlineStr">
        <is>
          <t>Richard Henry Dana, Jr. / by Robert L. Gale.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Gale, Robert L., 1919-</t>
        </is>
      </c>
      <c r="L88" t="inlineStr">
        <is>
          <t>New York : Twayne Publishers, [1969]</t>
        </is>
      </c>
      <c r="M88" t="inlineStr">
        <is>
          <t>1969</t>
        </is>
      </c>
      <c r="O88" t="inlineStr">
        <is>
          <t>eng</t>
        </is>
      </c>
      <c r="P88" t="inlineStr">
        <is>
          <t>nyu</t>
        </is>
      </c>
      <c r="Q88" t="inlineStr">
        <is>
          <t>Twayne's United States authors series, 143</t>
        </is>
      </c>
      <c r="R88" t="inlineStr">
        <is>
          <t xml:space="preserve">PS </t>
        </is>
      </c>
      <c r="S88" t="n">
        <v>2</v>
      </c>
      <c r="T88" t="n">
        <v>2</v>
      </c>
      <c r="U88" t="inlineStr">
        <is>
          <t>2005-03-04</t>
        </is>
      </c>
      <c r="V88" t="inlineStr">
        <is>
          <t>2005-03-04</t>
        </is>
      </c>
      <c r="W88" t="inlineStr">
        <is>
          <t>1994-10-12</t>
        </is>
      </c>
      <c r="X88" t="inlineStr">
        <is>
          <t>1994-10-12</t>
        </is>
      </c>
      <c r="Y88" t="n">
        <v>953</v>
      </c>
      <c r="Z88" t="n">
        <v>876</v>
      </c>
      <c r="AA88" t="n">
        <v>881</v>
      </c>
      <c r="AB88" t="n">
        <v>8</v>
      </c>
      <c r="AC88" t="n">
        <v>8</v>
      </c>
      <c r="AD88" t="n">
        <v>41</v>
      </c>
      <c r="AE88" t="n">
        <v>41</v>
      </c>
      <c r="AF88" t="n">
        <v>15</v>
      </c>
      <c r="AG88" t="n">
        <v>15</v>
      </c>
      <c r="AH88" t="n">
        <v>7</v>
      </c>
      <c r="AI88" t="n">
        <v>7</v>
      </c>
      <c r="AJ88" t="n">
        <v>20</v>
      </c>
      <c r="AK88" t="n">
        <v>20</v>
      </c>
      <c r="AL88" t="n">
        <v>7</v>
      </c>
      <c r="AM88" t="n">
        <v>7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HYPERLINK("http://catalog.hathitrust.org/Record/000438747","HathiTrust Record")</f>
        <v/>
      </c>
      <c r="AS88">
        <f>HYPERLINK("https://creighton-primo.hosted.exlibrisgroup.com/primo-explore/search?tab=default_tab&amp;search_scope=EVERYTHING&amp;vid=01CRU&amp;lang=en_US&amp;offset=0&amp;query=any,contains,991000103419702656","Catalog Record")</f>
        <v/>
      </c>
      <c r="AT88">
        <f>HYPERLINK("http://www.worldcat.org/oclc/45473","WorldCat Record")</f>
        <v/>
      </c>
      <c r="AU88" t="inlineStr">
        <is>
          <t>32561850:eng</t>
        </is>
      </c>
      <c r="AV88" t="inlineStr">
        <is>
          <t>45473</t>
        </is>
      </c>
      <c r="AW88" t="inlineStr">
        <is>
          <t>991000103419702656</t>
        </is>
      </c>
      <c r="AX88" t="inlineStr">
        <is>
          <t>991000103419702656</t>
        </is>
      </c>
      <c r="AY88" t="inlineStr">
        <is>
          <t>2261602330002656</t>
        </is>
      </c>
      <c r="AZ88" t="inlineStr">
        <is>
          <t>BOOK</t>
        </is>
      </c>
      <c r="BC88" t="inlineStr">
        <is>
          <t>32285001961019</t>
        </is>
      </c>
      <c r="BD88" t="inlineStr">
        <is>
          <t>893796411</t>
        </is>
      </c>
    </row>
    <row r="89">
      <c r="A89" t="inlineStr">
        <is>
          <t>No</t>
        </is>
      </c>
      <c r="B89" t="inlineStr">
        <is>
          <t>PS151 .C65 1985</t>
        </is>
      </c>
      <c r="C89" t="inlineStr">
        <is>
          <t>0                      PS 0151000C  65          1985</t>
        </is>
      </c>
      <c r="D89" t="inlineStr">
        <is>
          <t>Coming to light : American women poets in the twentieth century / edited by Diane Wood Middlebrook and Marilyn Yalom.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Ann Arbor : University of Michigan Press, c1985.</t>
        </is>
      </c>
      <c r="M89" t="inlineStr">
        <is>
          <t>1985</t>
        </is>
      </c>
      <c r="O89" t="inlineStr">
        <is>
          <t>eng</t>
        </is>
      </c>
      <c r="P89" t="inlineStr">
        <is>
          <t>miu</t>
        </is>
      </c>
      <c r="Q89" t="inlineStr">
        <is>
          <t>Women and culture series</t>
        </is>
      </c>
      <c r="R89" t="inlineStr">
        <is>
          <t xml:space="preserve">PS </t>
        </is>
      </c>
      <c r="S89" t="n">
        <v>3</v>
      </c>
      <c r="T89" t="n">
        <v>3</v>
      </c>
      <c r="U89" t="inlineStr">
        <is>
          <t>1998-02-18</t>
        </is>
      </c>
      <c r="V89" t="inlineStr">
        <is>
          <t>1998-02-18</t>
        </is>
      </c>
      <c r="W89" t="inlineStr">
        <is>
          <t>1991-12-11</t>
        </is>
      </c>
      <c r="X89" t="inlineStr">
        <is>
          <t>1991-12-11</t>
        </is>
      </c>
      <c r="Y89" t="n">
        <v>1229</v>
      </c>
      <c r="Z89" t="n">
        <v>1118</v>
      </c>
      <c r="AA89" t="n">
        <v>1121</v>
      </c>
      <c r="AB89" t="n">
        <v>12</v>
      </c>
      <c r="AC89" t="n">
        <v>12</v>
      </c>
      <c r="AD89" t="n">
        <v>47</v>
      </c>
      <c r="AE89" t="n">
        <v>47</v>
      </c>
      <c r="AF89" t="n">
        <v>20</v>
      </c>
      <c r="AG89" t="n">
        <v>20</v>
      </c>
      <c r="AH89" t="n">
        <v>8</v>
      </c>
      <c r="AI89" t="n">
        <v>8</v>
      </c>
      <c r="AJ89" t="n">
        <v>19</v>
      </c>
      <c r="AK89" t="n">
        <v>19</v>
      </c>
      <c r="AL89" t="n">
        <v>11</v>
      </c>
      <c r="AM89" t="n">
        <v>11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HYPERLINK("http://catalog.hathitrust.org/Record/000459708","HathiTrust Record")</f>
        <v/>
      </c>
      <c r="AS89">
        <f>HYPERLINK("https://creighton-primo.hosted.exlibrisgroup.com/primo-explore/search?tab=default_tab&amp;search_scope=EVERYTHING&amp;vid=01CRU&amp;lang=en_US&amp;offset=0&amp;query=any,contains,991000598279702656","Catalog Record")</f>
        <v/>
      </c>
      <c r="AT89">
        <f>HYPERLINK("http://www.worldcat.org/oclc/11815713","WorldCat Record")</f>
        <v/>
      </c>
      <c r="AU89" t="inlineStr">
        <is>
          <t>807056050:eng</t>
        </is>
      </c>
      <c r="AV89" t="inlineStr">
        <is>
          <t>11815713</t>
        </is>
      </c>
      <c r="AW89" t="inlineStr">
        <is>
          <t>991000598279702656</t>
        </is>
      </c>
      <c r="AX89" t="inlineStr">
        <is>
          <t>991000598279702656</t>
        </is>
      </c>
      <c r="AY89" t="inlineStr">
        <is>
          <t>2261729050002656</t>
        </is>
      </c>
      <c r="AZ89" t="inlineStr">
        <is>
          <t>BOOK</t>
        </is>
      </c>
      <c r="BB89" t="inlineStr">
        <is>
          <t>9780472100668</t>
        </is>
      </c>
      <c r="BC89" t="inlineStr">
        <is>
          <t>32285000900661</t>
        </is>
      </c>
      <c r="BD89" t="inlineStr">
        <is>
          <t>893608083</t>
        </is>
      </c>
    </row>
    <row r="90">
      <c r="A90" t="inlineStr">
        <is>
          <t>No</t>
        </is>
      </c>
      <c r="B90" t="inlineStr">
        <is>
          <t>PS151 .O8 1918</t>
        </is>
      </c>
      <c r="C90" t="inlineStr">
        <is>
          <t>0                      PS 0151000O  8           1918</t>
        </is>
      </c>
      <c r="D90" t="inlineStr">
        <is>
          <t>The women who make our novels, by Grant M. Overton.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Yes</t>
        </is>
      </c>
      <c r="J90" t="inlineStr">
        <is>
          <t>0</t>
        </is>
      </c>
      <c r="K90" t="inlineStr">
        <is>
          <t>Overton, Grant M. (Grant Martin), 1887-1930.</t>
        </is>
      </c>
      <c r="L90" t="inlineStr">
        <is>
          <t>New York, Moffat, Yard &amp; company, 1918.</t>
        </is>
      </c>
      <c r="M90" t="inlineStr">
        <is>
          <t>1918</t>
        </is>
      </c>
      <c r="O90" t="inlineStr">
        <is>
          <t>eng</t>
        </is>
      </c>
      <c r="P90" t="inlineStr">
        <is>
          <t xml:space="preserve">xx </t>
        </is>
      </c>
      <c r="R90" t="inlineStr">
        <is>
          <t xml:space="preserve">PS </t>
        </is>
      </c>
      <c r="S90" t="n">
        <v>5</v>
      </c>
      <c r="T90" t="n">
        <v>5</v>
      </c>
      <c r="U90" t="inlineStr">
        <is>
          <t>2000-05-03</t>
        </is>
      </c>
      <c r="V90" t="inlineStr">
        <is>
          <t>2000-05-03</t>
        </is>
      </c>
      <c r="W90" t="inlineStr">
        <is>
          <t>1997-04-29</t>
        </is>
      </c>
      <c r="X90" t="inlineStr">
        <is>
          <t>1997-04-29</t>
        </is>
      </c>
      <c r="Y90" t="n">
        <v>133</v>
      </c>
      <c r="Z90" t="n">
        <v>130</v>
      </c>
      <c r="AA90" t="n">
        <v>785</v>
      </c>
      <c r="AB90" t="n">
        <v>1</v>
      </c>
      <c r="AC90" t="n">
        <v>6</v>
      </c>
      <c r="AD90" t="n">
        <v>2</v>
      </c>
      <c r="AE90" t="n">
        <v>31</v>
      </c>
      <c r="AF90" t="n">
        <v>1</v>
      </c>
      <c r="AG90" t="n">
        <v>8</v>
      </c>
      <c r="AH90" t="n">
        <v>1</v>
      </c>
      <c r="AI90" t="n">
        <v>8</v>
      </c>
      <c r="AJ90" t="n">
        <v>0</v>
      </c>
      <c r="AK90" t="n">
        <v>14</v>
      </c>
      <c r="AL90" t="n">
        <v>0</v>
      </c>
      <c r="AM90" t="n">
        <v>4</v>
      </c>
      <c r="AN90" t="n">
        <v>0</v>
      </c>
      <c r="AO90" t="n">
        <v>1</v>
      </c>
      <c r="AP90" t="inlineStr">
        <is>
          <t>Yes</t>
        </is>
      </c>
      <c r="AQ90" t="inlineStr">
        <is>
          <t>No</t>
        </is>
      </c>
      <c r="AR90">
        <f>HYPERLINK("http://catalog.hathitrust.org/Record/006502370","HathiTrust Record")</f>
        <v/>
      </c>
      <c r="AS90">
        <f>HYPERLINK("https://creighton-primo.hosted.exlibrisgroup.com/primo-explore/search?tab=default_tab&amp;search_scope=EVERYTHING&amp;vid=01CRU&amp;lang=en_US&amp;offset=0&amp;query=any,contains,991003810189702656","Catalog Record")</f>
        <v/>
      </c>
      <c r="AT90">
        <f>HYPERLINK("http://www.worldcat.org/oclc/1535703","WorldCat Record")</f>
        <v/>
      </c>
      <c r="AU90" t="inlineStr">
        <is>
          <t>4915570689:eng</t>
        </is>
      </c>
      <c r="AV90" t="inlineStr">
        <is>
          <t>1535703</t>
        </is>
      </c>
      <c r="AW90" t="inlineStr">
        <is>
          <t>991003810189702656</t>
        </is>
      </c>
      <c r="AX90" t="inlineStr">
        <is>
          <t>991003810189702656</t>
        </is>
      </c>
      <c r="AY90" t="inlineStr">
        <is>
          <t>2267583420002656</t>
        </is>
      </c>
      <c r="AZ90" t="inlineStr">
        <is>
          <t>BOOK</t>
        </is>
      </c>
      <c r="BC90" t="inlineStr">
        <is>
          <t>32285002594686</t>
        </is>
      </c>
      <c r="BD90" t="inlineStr">
        <is>
          <t>893718101</t>
        </is>
      </c>
    </row>
    <row r="91">
      <c r="A91" t="inlineStr">
        <is>
          <t>No</t>
        </is>
      </c>
      <c r="B91" t="inlineStr">
        <is>
          <t>PS151 .W64 1983</t>
        </is>
      </c>
      <c r="C91" t="inlineStr">
        <is>
          <t>0                      PS 0151000W  64          1983</t>
        </is>
      </c>
      <c r="D91" t="inlineStr">
        <is>
          <t>Women writers talking / edited by Janet Todd.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New York : Holmes &amp; Meier, Publishers, c1983.</t>
        </is>
      </c>
      <c r="M91" t="inlineStr">
        <is>
          <t>1983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PS </t>
        </is>
      </c>
      <c r="S91" t="n">
        <v>2</v>
      </c>
      <c r="T91" t="n">
        <v>2</v>
      </c>
      <c r="U91" t="inlineStr">
        <is>
          <t>1994-12-07</t>
        </is>
      </c>
      <c r="V91" t="inlineStr">
        <is>
          <t>1994-12-07</t>
        </is>
      </c>
      <c r="W91" t="inlineStr">
        <is>
          <t>1995-01-25</t>
        </is>
      </c>
      <c r="X91" t="inlineStr">
        <is>
          <t>1995-01-25</t>
        </is>
      </c>
      <c r="Y91" t="n">
        <v>608</v>
      </c>
      <c r="Z91" t="n">
        <v>516</v>
      </c>
      <c r="AA91" t="n">
        <v>523</v>
      </c>
      <c r="AB91" t="n">
        <v>7</v>
      </c>
      <c r="AC91" t="n">
        <v>7</v>
      </c>
      <c r="AD91" t="n">
        <v>21</v>
      </c>
      <c r="AE91" t="n">
        <v>21</v>
      </c>
      <c r="AF91" t="n">
        <v>6</v>
      </c>
      <c r="AG91" t="n">
        <v>6</v>
      </c>
      <c r="AH91" t="n">
        <v>5</v>
      </c>
      <c r="AI91" t="n">
        <v>5</v>
      </c>
      <c r="AJ91" t="n">
        <v>10</v>
      </c>
      <c r="AK91" t="n">
        <v>10</v>
      </c>
      <c r="AL91" t="n">
        <v>6</v>
      </c>
      <c r="AM91" t="n">
        <v>6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HYPERLINK("http://catalog.hathitrust.org/Record/000314524","HathiTrust Record")</f>
        <v/>
      </c>
      <c r="AS91">
        <f>HYPERLINK("https://creighton-primo.hosted.exlibrisgroup.com/primo-explore/search?tab=default_tab&amp;search_scope=EVERYTHING&amp;vid=01CRU&amp;lang=en_US&amp;offset=0&amp;query=any,contains,991005232659702656","Catalog Record")</f>
        <v/>
      </c>
      <c r="AT91">
        <f>HYPERLINK("http://www.worldcat.org/oclc/8345648","WorldCat Record")</f>
        <v/>
      </c>
      <c r="AU91" t="inlineStr">
        <is>
          <t>505932:eng</t>
        </is>
      </c>
      <c r="AV91" t="inlineStr">
        <is>
          <t>8345648</t>
        </is>
      </c>
      <c r="AW91" t="inlineStr">
        <is>
          <t>991005232659702656</t>
        </is>
      </c>
      <c r="AX91" t="inlineStr">
        <is>
          <t>991005232659702656</t>
        </is>
      </c>
      <c r="AY91" t="inlineStr">
        <is>
          <t>2263262620002656</t>
        </is>
      </c>
      <c r="AZ91" t="inlineStr">
        <is>
          <t>BOOK</t>
        </is>
      </c>
      <c r="BB91" t="inlineStr">
        <is>
          <t>9780841907560</t>
        </is>
      </c>
      <c r="BC91" t="inlineStr">
        <is>
          <t>32285001779213</t>
        </is>
      </c>
      <c r="BD91" t="inlineStr">
        <is>
          <t>893694955</t>
        </is>
      </c>
    </row>
    <row r="92">
      <c r="A92" t="inlineStr">
        <is>
          <t>No</t>
        </is>
      </c>
      <c r="B92" t="inlineStr">
        <is>
          <t>PS1513.D62 A16 1989</t>
        </is>
      </c>
      <c r="C92" t="inlineStr">
        <is>
          <t>0                      PS 1513000D  62                 A  16          1989</t>
        </is>
      </c>
      <c r="D92" t="inlineStr">
        <is>
          <t>Verdicts out of court / Clarence Darrow ; edited with an introduction by Arthur and Lila Weinberg.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Darrow, Clarence, 1857-1938.</t>
        </is>
      </c>
      <c r="L92" t="inlineStr">
        <is>
          <t>Chicago : Elephant Paperbacks, 1989, c1963.</t>
        </is>
      </c>
      <c r="M92" t="inlineStr">
        <is>
          <t>1989</t>
        </is>
      </c>
      <c r="N92" t="inlineStr">
        <is>
          <t>1st Elephant Paperbacks ed.</t>
        </is>
      </c>
      <c r="O92" t="inlineStr">
        <is>
          <t>eng</t>
        </is>
      </c>
      <c r="P92" t="inlineStr">
        <is>
          <t>ilu</t>
        </is>
      </c>
      <c r="R92" t="inlineStr">
        <is>
          <t xml:space="preserve">PS </t>
        </is>
      </c>
      <c r="S92" t="n">
        <v>7</v>
      </c>
      <c r="T92" t="n">
        <v>7</v>
      </c>
      <c r="U92" t="inlineStr">
        <is>
          <t>1997-03-18</t>
        </is>
      </c>
      <c r="V92" t="inlineStr">
        <is>
          <t>1997-03-18</t>
        </is>
      </c>
      <c r="W92" t="inlineStr">
        <is>
          <t>1990-11-26</t>
        </is>
      </c>
      <c r="X92" t="inlineStr">
        <is>
          <t>1990-11-26</t>
        </is>
      </c>
      <c r="Y92" t="n">
        <v>125</v>
      </c>
      <c r="Z92" t="n">
        <v>118</v>
      </c>
      <c r="AA92" t="n">
        <v>886</v>
      </c>
      <c r="AB92" t="n">
        <v>1</v>
      </c>
      <c r="AC92" t="n">
        <v>7</v>
      </c>
      <c r="AD92" t="n">
        <v>7</v>
      </c>
      <c r="AE92" t="n">
        <v>43</v>
      </c>
      <c r="AF92" t="n">
        <v>0</v>
      </c>
      <c r="AG92" t="n">
        <v>12</v>
      </c>
      <c r="AH92" t="n">
        <v>0</v>
      </c>
      <c r="AI92" t="n">
        <v>4</v>
      </c>
      <c r="AJ92" t="n">
        <v>2</v>
      </c>
      <c r="AK92" t="n">
        <v>11</v>
      </c>
      <c r="AL92" t="n">
        <v>0</v>
      </c>
      <c r="AM92" t="n">
        <v>4</v>
      </c>
      <c r="AN92" t="n">
        <v>5</v>
      </c>
      <c r="AO92" t="n">
        <v>17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HYPERLINK("https://creighton-primo.hosted.exlibrisgroup.com/primo-explore/search?tab=default_tab&amp;search_scope=EVERYTHING&amp;vid=01CRU&amp;lang=en_US&amp;offset=0&amp;query=any,contains,991001574599702656","Catalog Record")</f>
        <v/>
      </c>
      <c r="AT92">
        <f>HYPERLINK("http://www.worldcat.org/oclc/20421461","WorldCat Record")</f>
        <v/>
      </c>
      <c r="AU92" t="inlineStr">
        <is>
          <t>1356185:eng</t>
        </is>
      </c>
      <c r="AV92" t="inlineStr">
        <is>
          <t>20421461</t>
        </is>
      </c>
      <c r="AW92" t="inlineStr">
        <is>
          <t>991001574599702656</t>
        </is>
      </c>
      <c r="AX92" t="inlineStr">
        <is>
          <t>991001574599702656</t>
        </is>
      </c>
      <c r="AY92" t="inlineStr">
        <is>
          <t>2267722310002656</t>
        </is>
      </c>
      <c r="AZ92" t="inlineStr">
        <is>
          <t>BOOK</t>
        </is>
      </c>
      <c r="BB92" t="inlineStr">
        <is>
          <t>9780929587011</t>
        </is>
      </c>
      <c r="BC92" t="inlineStr">
        <is>
          <t>32285000356864</t>
        </is>
      </c>
      <c r="BD92" t="inlineStr">
        <is>
          <t>893897877</t>
        </is>
      </c>
    </row>
    <row r="93">
      <c r="A93" t="inlineStr">
        <is>
          <t>No</t>
        </is>
      </c>
      <c r="B93" t="inlineStr">
        <is>
          <t>PS1523 .M48</t>
        </is>
      </c>
      <c r="C93" t="inlineStr">
        <is>
          <t>0                      PS 1523000M  48</t>
        </is>
      </c>
      <c r="D93" t="inlineStr">
        <is>
          <t>Front lines and headlines; the story of Richard Harding Davis.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Miner, Lewis S.</t>
        </is>
      </c>
      <c r="L93" t="inlineStr">
        <is>
          <t>New York, J. Messner [1959]</t>
        </is>
      </c>
      <c r="M93" t="inlineStr">
        <is>
          <t>1959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PS </t>
        </is>
      </c>
      <c r="S93" t="n">
        <v>2</v>
      </c>
      <c r="T93" t="n">
        <v>2</v>
      </c>
      <c r="U93" t="inlineStr">
        <is>
          <t>1999-04-14</t>
        </is>
      </c>
      <c r="V93" t="inlineStr">
        <is>
          <t>1999-04-14</t>
        </is>
      </c>
      <c r="W93" t="inlineStr">
        <is>
          <t>1997-05-12</t>
        </is>
      </c>
      <c r="X93" t="inlineStr">
        <is>
          <t>1997-05-12</t>
        </is>
      </c>
      <c r="Y93" t="n">
        <v>109</v>
      </c>
      <c r="Z93" t="n">
        <v>107</v>
      </c>
      <c r="AA93" t="n">
        <v>112</v>
      </c>
      <c r="AB93" t="n">
        <v>1</v>
      </c>
      <c r="AC93" t="n">
        <v>1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HYPERLINK("https://creighton-primo.hosted.exlibrisgroup.com/primo-explore/search?tab=default_tab&amp;search_scope=EVERYTHING&amp;vid=01CRU&amp;lang=en_US&amp;offset=0&amp;query=any,contains,991003810999702656","Catalog Record")</f>
        <v/>
      </c>
      <c r="AT93">
        <f>HYPERLINK("http://www.worldcat.org/oclc/1538387","WorldCat Record")</f>
        <v/>
      </c>
      <c r="AU93" t="inlineStr">
        <is>
          <t>2428254:eng</t>
        </is>
      </c>
      <c r="AV93" t="inlineStr">
        <is>
          <t>1538387</t>
        </is>
      </c>
      <c r="AW93" t="inlineStr">
        <is>
          <t>991003810999702656</t>
        </is>
      </c>
      <c r="AX93" t="inlineStr">
        <is>
          <t>991003810999702656</t>
        </is>
      </c>
      <c r="AY93" t="inlineStr">
        <is>
          <t>2269181980002656</t>
        </is>
      </c>
      <c r="AZ93" t="inlineStr">
        <is>
          <t>BOOK</t>
        </is>
      </c>
      <c r="BC93" t="inlineStr">
        <is>
          <t>32285002658853</t>
        </is>
      </c>
      <c r="BD93" t="inlineStr">
        <is>
          <t>893623924</t>
        </is>
      </c>
    </row>
    <row r="94">
      <c r="A94" t="inlineStr">
        <is>
          <t>No</t>
        </is>
      </c>
      <c r="B94" t="inlineStr">
        <is>
          <t>PS1523 .O8 1978</t>
        </is>
      </c>
      <c r="C94" t="inlineStr">
        <is>
          <t>0                      PS 1523000O  8           1978</t>
        </is>
      </c>
      <c r="D94" t="inlineStr">
        <is>
          <t>Richard Harding Davis / Scott Compton Osborn, Robert L. Phillips, Jr. --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Osborn, Scott Compton, 1913-1970.</t>
        </is>
      </c>
      <c r="L94" t="inlineStr">
        <is>
          <t>Boston : Twayne Publishers, 1978.</t>
        </is>
      </c>
      <c r="M94" t="inlineStr">
        <is>
          <t>1978</t>
        </is>
      </c>
      <c r="O94" t="inlineStr">
        <is>
          <t>eng</t>
        </is>
      </c>
      <c r="P94" t="inlineStr">
        <is>
          <t>mau</t>
        </is>
      </c>
      <c r="Q94" t="inlineStr">
        <is>
          <t>Twayne's United States author series; TUSAS 289</t>
        </is>
      </c>
      <c r="R94" t="inlineStr">
        <is>
          <t xml:space="preserve">PS </t>
        </is>
      </c>
      <c r="S94" t="n">
        <v>1</v>
      </c>
      <c r="T94" t="n">
        <v>1</v>
      </c>
      <c r="U94" t="inlineStr">
        <is>
          <t>2005-09-15</t>
        </is>
      </c>
      <c r="V94" t="inlineStr">
        <is>
          <t>2005-09-15</t>
        </is>
      </c>
      <c r="W94" t="inlineStr">
        <is>
          <t>1990-10-26</t>
        </is>
      </c>
      <c r="X94" t="inlineStr">
        <is>
          <t>1990-10-26</t>
        </is>
      </c>
      <c r="Y94" t="n">
        <v>623</v>
      </c>
      <c r="Z94" t="n">
        <v>552</v>
      </c>
      <c r="AA94" t="n">
        <v>564</v>
      </c>
      <c r="AB94" t="n">
        <v>6</v>
      </c>
      <c r="AC94" t="n">
        <v>6</v>
      </c>
      <c r="AD94" t="n">
        <v>31</v>
      </c>
      <c r="AE94" t="n">
        <v>31</v>
      </c>
      <c r="AF94" t="n">
        <v>11</v>
      </c>
      <c r="AG94" t="n">
        <v>11</v>
      </c>
      <c r="AH94" t="n">
        <v>8</v>
      </c>
      <c r="AI94" t="n">
        <v>8</v>
      </c>
      <c r="AJ94" t="n">
        <v>16</v>
      </c>
      <c r="AK94" t="n">
        <v>16</v>
      </c>
      <c r="AL94" t="n">
        <v>4</v>
      </c>
      <c r="AM94" t="n">
        <v>4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HYPERLINK("http://catalog.hathitrust.org/Record/000175363","HathiTrust Record")</f>
        <v/>
      </c>
      <c r="AS94">
        <f>HYPERLINK("https://creighton-primo.hosted.exlibrisgroup.com/primo-explore/search?tab=default_tab&amp;search_scope=EVERYTHING&amp;vid=01CRU&amp;lang=en_US&amp;offset=0&amp;query=any,contains,991004554939702656","Catalog Record")</f>
        <v/>
      </c>
      <c r="AT94">
        <f>HYPERLINK("http://www.worldcat.org/oclc/3965741","WorldCat Record")</f>
        <v/>
      </c>
      <c r="AU94" t="inlineStr">
        <is>
          <t>3768861323:eng</t>
        </is>
      </c>
      <c r="AV94" t="inlineStr">
        <is>
          <t>3965741</t>
        </is>
      </c>
      <c r="AW94" t="inlineStr">
        <is>
          <t>991004554939702656</t>
        </is>
      </c>
      <c r="AX94" t="inlineStr">
        <is>
          <t>991004554939702656</t>
        </is>
      </c>
      <c r="AY94" t="inlineStr">
        <is>
          <t>2263144220002656</t>
        </is>
      </c>
      <c r="AZ94" t="inlineStr">
        <is>
          <t>BOOK</t>
        </is>
      </c>
      <c r="BB94" t="inlineStr">
        <is>
          <t>9780805771923</t>
        </is>
      </c>
      <c r="BC94" t="inlineStr">
        <is>
          <t>32285000362854</t>
        </is>
      </c>
      <c r="BD94" t="inlineStr">
        <is>
          <t>893235642</t>
        </is>
      </c>
    </row>
    <row r="95">
      <c r="A95" t="inlineStr">
        <is>
          <t>No</t>
        </is>
      </c>
      <c r="B95" t="inlineStr">
        <is>
          <t>PS153.A84 A87 1999</t>
        </is>
      </c>
      <c r="C95" t="inlineStr">
        <is>
          <t>0                      PS 0153000A  84                 A  87          1999</t>
        </is>
      </c>
      <c r="D95" t="inlineStr">
        <is>
          <t>The Asian Pacific American heritage : a companion to literature and arts / George J. Leonard, editor.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New York : Garland Pub., 1999.</t>
        </is>
      </c>
      <c r="M95" t="inlineStr">
        <is>
          <t>1999</t>
        </is>
      </c>
      <c r="O95" t="inlineStr">
        <is>
          <t>eng</t>
        </is>
      </c>
      <c r="P95" t="inlineStr">
        <is>
          <t>nyu</t>
        </is>
      </c>
      <c r="Q95" t="inlineStr">
        <is>
          <t>Garland reference library of the humanities ; v. 2109</t>
        </is>
      </c>
      <c r="R95" t="inlineStr">
        <is>
          <t xml:space="preserve">PS </t>
        </is>
      </c>
      <c r="S95" t="n">
        <v>3</v>
      </c>
      <c r="T95" t="n">
        <v>3</v>
      </c>
      <c r="U95" t="inlineStr">
        <is>
          <t>2000-04-12</t>
        </is>
      </c>
      <c r="V95" t="inlineStr">
        <is>
          <t>2000-04-12</t>
        </is>
      </c>
      <c r="W95" t="inlineStr">
        <is>
          <t>1998-11-18</t>
        </is>
      </c>
      <c r="X95" t="inlineStr">
        <is>
          <t>1998-11-18</t>
        </is>
      </c>
      <c r="Y95" t="n">
        <v>626</v>
      </c>
      <c r="Z95" t="n">
        <v>574</v>
      </c>
      <c r="AA95" t="n">
        <v>1233</v>
      </c>
      <c r="AB95" t="n">
        <v>2</v>
      </c>
      <c r="AC95" t="n">
        <v>4</v>
      </c>
      <c r="AD95" t="n">
        <v>22</v>
      </c>
      <c r="AE95" t="n">
        <v>29</v>
      </c>
      <c r="AF95" t="n">
        <v>8</v>
      </c>
      <c r="AG95" t="n">
        <v>11</v>
      </c>
      <c r="AH95" t="n">
        <v>7</v>
      </c>
      <c r="AI95" t="n">
        <v>8</v>
      </c>
      <c r="AJ95" t="n">
        <v>12</v>
      </c>
      <c r="AK95" t="n">
        <v>16</v>
      </c>
      <c r="AL95" t="n">
        <v>1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HYPERLINK("https://creighton-primo.hosted.exlibrisgroup.com/primo-explore/search?tab=default_tab&amp;search_scope=EVERYTHING&amp;vid=01CRU&amp;lang=en_US&amp;offset=0&amp;query=any,contains,991002951909702656","Catalog Record")</f>
        <v/>
      </c>
      <c r="AT95">
        <f>HYPERLINK("http://www.worldcat.org/oclc/39339739","WorldCat Record")</f>
        <v/>
      </c>
      <c r="AU95" t="inlineStr">
        <is>
          <t>862693578:eng</t>
        </is>
      </c>
      <c r="AV95" t="inlineStr">
        <is>
          <t>39339739</t>
        </is>
      </c>
      <c r="AW95" t="inlineStr">
        <is>
          <t>991002951909702656</t>
        </is>
      </c>
      <c r="AX95" t="inlineStr">
        <is>
          <t>991002951909702656</t>
        </is>
      </c>
      <c r="AY95" t="inlineStr">
        <is>
          <t>2265889810002656</t>
        </is>
      </c>
      <c r="AZ95" t="inlineStr">
        <is>
          <t>BOOK</t>
        </is>
      </c>
      <c r="BB95" t="inlineStr">
        <is>
          <t>9780815329800</t>
        </is>
      </c>
      <c r="BC95" t="inlineStr">
        <is>
          <t>32285003490355</t>
        </is>
      </c>
      <c r="BD95" t="inlineStr">
        <is>
          <t>893710894</t>
        </is>
      </c>
    </row>
    <row r="96">
      <c r="A96" t="inlineStr">
        <is>
          <t>No</t>
        </is>
      </c>
      <c r="B96" t="inlineStr">
        <is>
          <t>PS153.A84 K55 1982</t>
        </is>
      </c>
      <c r="C96" t="inlineStr">
        <is>
          <t>0                      PS 0153000A  84                 K  55          1982</t>
        </is>
      </c>
      <c r="D96" t="inlineStr">
        <is>
          <t>Asian American literature, an introduction to the writings and their social context / Elaine H. Kim.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Kim, Elaine H.</t>
        </is>
      </c>
      <c r="L96" t="inlineStr">
        <is>
          <t>Philadelphia : Temple University Press, 1982.</t>
        </is>
      </c>
      <c r="M96" t="inlineStr">
        <is>
          <t>1982</t>
        </is>
      </c>
      <c r="O96" t="inlineStr">
        <is>
          <t>eng</t>
        </is>
      </c>
      <c r="P96" t="inlineStr">
        <is>
          <t>pau</t>
        </is>
      </c>
      <c r="R96" t="inlineStr">
        <is>
          <t xml:space="preserve">PS </t>
        </is>
      </c>
      <c r="S96" t="n">
        <v>7</v>
      </c>
      <c r="T96" t="n">
        <v>7</v>
      </c>
      <c r="U96" t="inlineStr">
        <is>
          <t>1997-11-08</t>
        </is>
      </c>
      <c r="V96" t="inlineStr">
        <is>
          <t>1997-11-08</t>
        </is>
      </c>
      <c r="W96" t="inlineStr">
        <is>
          <t>1991-12-06</t>
        </is>
      </c>
      <c r="X96" t="inlineStr">
        <is>
          <t>1991-12-06</t>
        </is>
      </c>
      <c r="Y96" t="n">
        <v>956</v>
      </c>
      <c r="Z96" t="n">
        <v>835</v>
      </c>
      <c r="AA96" t="n">
        <v>842</v>
      </c>
      <c r="AB96" t="n">
        <v>6</v>
      </c>
      <c r="AC96" t="n">
        <v>6</v>
      </c>
      <c r="AD96" t="n">
        <v>36</v>
      </c>
      <c r="AE96" t="n">
        <v>36</v>
      </c>
      <c r="AF96" t="n">
        <v>13</v>
      </c>
      <c r="AG96" t="n">
        <v>13</v>
      </c>
      <c r="AH96" t="n">
        <v>9</v>
      </c>
      <c r="AI96" t="n">
        <v>9</v>
      </c>
      <c r="AJ96" t="n">
        <v>19</v>
      </c>
      <c r="AK96" t="n">
        <v>19</v>
      </c>
      <c r="AL96" t="n">
        <v>4</v>
      </c>
      <c r="AM96" t="n">
        <v>4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HYPERLINK("https://creighton-primo.hosted.exlibrisgroup.com/primo-explore/search?tab=default_tab&amp;search_scope=EVERYTHING&amp;vid=01CRU&amp;lang=en_US&amp;offset=0&amp;query=any,contains,991005247869702656","Catalog Record")</f>
        <v/>
      </c>
      <c r="AT96">
        <f>HYPERLINK("http://www.worldcat.org/oclc/8474638","WorldCat Record")</f>
        <v/>
      </c>
      <c r="AU96" t="inlineStr">
        <is>
          <t>31773217:eng</t>
        </is>
      </c>
      <c r="AV96" t="inlineStr">
        <is>
          <t>8474638</t>
        </is>
      </c>
      <c r="AW96" t="inlineStr">
        <is>
          <t>991005247869702656</t>
        </is>
      </c>
      <c r="AX96" t="inlineStr">
        <is>
          <t>991005247869702656</t>
        </is>
      </c>
      <c r="AY96" t="inlineStr">
        <is>
          <t>2257465220002656</t>
        </is>
      </c>
      <c r="AZ96" t="inlineStr">
        <is>
          <t>BOOK</t>
        </is>
      </c>
      <c r="BB96" t="inlineStr">
        <is>
          <t>9780877222606</t>
        </is>
      </c>
      <c r="BC96" t="inlineStr">
        <is>
          <t>32285000654854</t>
        </is>
      </c>
      <c r="BD96" t="inlineStr">
        <is>
          <t>893707521</t>
        </is>
      </c>
    </row>
    <row r="97">
      <c r="A97" t="inlineStr">
        <is>
          <t>No</t>
        </is>
      </c>
      <c r="B97" t="inlineStr">
        <is>
          <t>PS153.H56 Z55 1992</t>
        </is>
      </c>
      <c r="C97" t="inlineStr">
        <is>
          <t>0                      PS 0153000H  56                 Z  55          1992</t>
        </is>
      </c>
      <c r="D97" t="inlineStr">
        <is>
          <t>U.S. Latino literature : an essay and annotated bibliography / Marc Zimmerman.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Zimmerman, Marc, 1939-</t>
        </is>
      </c>
      <c r="L97" t="inlineStr">
        <is>
          <t>Chicago, Ill. : MARCH/Abrazo Press, c1992.</t>
        </is>
      </c>
      <c r="M97" t="inlineStr">
        <is>
          <t>1992</t>
        </is>
      </c>
      <c r="O97" t="inlineStr">
        <is>
          <t>eng</t>
        </is>
      </c>
      <c r="P97" t="inlineStr">
        <is>
          <t>ilu</t>
        </is>
      </c>
      <c r="R97" t="inlineStr">
        <is>
          <t xml:space="preserve">PS </t>
        </is>
      </c>
      <c r="S97" t="n">
        <v>1</v>
      </c>
      <c r="T97" t="n">
        <v>1</v>
      </c>
      <c r="U97" t="inlineStr">
        <is>
          <t>2003-04-01</t>
        </is>
      </c>
      <c r="V97" t="inlineStr">
        <is>
          <t>2003-04-01</t>
        </is>
      </c>
      <c r="W97" t="inlineStr">
        <is>
          <t>2003-04-01</t>
        </is>
      </c>
      <c r="X97" t="inlineStr">
        <is>
          <t>2003-04-01</t>
        </is>
      </c>
      <c r="Y97" t="n">
        <v>341</v>
      </c>
      <c r="Z97" t="n">
        <v>326</v>
      </c>
      <c r="AA97" t="n">
        <v>347</v>
      </c>
      <c r="AB97" t="n">
        <v>2</v>
      </c>
      <c r="AC97" t="n">
        <v>2</v>
      </c>
      <c r="AD97" t="n">
        <v>14</v>
      </c>
      <c r="AE97" t="n">
        <v>14</v>
      </c>
      <c r="AF97" t="n">
        <v>5</v>
      </c>
      <c r="AG97" t="n">
        <v>5</v>
      </c>
      <c r="AH97" t="n">
        <v>4</v>
      </c>
      <c r="AI97" t="n">
        <v>4</v>
      </c>
      <c r="AJ97" t="n">
        <v>9</v>
      </c>
      <c r="AK97" t="n">
        <v>9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HYPERLINK("https://creighton-primo.hosted.exlibrisgroup.com/primo-explore/search?tab=default_tab&amp;search_scope=EVERYTHING&amp;vid=01CRU&amp;lang=en_US&amp;offset=0&amp;query=any,contains,991004026219702656","Catalog Record")</f>
        <v/>
      </c>
      <c r="AT97">
        <f>HYPERLINK("http://www.worldcat.org/oclc/25807985","WorldCat Record")</f>
        <v/>
      </c>
      <c r="AU97" t="inlineStr">
        <is>
          <t>28487203:eng</t>
        </is>
      </c>
      <c r="AV97" t="inlineStr">
        <is>
          <t>25807985</t>
        </is>
      </c>
      <c r="AW97" t="inlineStr">
        <is>
          <t>991004026219702656</t>
        </is>
      </c>
      <c r="AX97" t="inlineStr">
        <is>
          <t>991004026219702656</t>
        </is>
      </c>
      <c r="AY97" t="inlineStr">
        <is>
          <t>2267561580002656</t>
        </is>
      </c>
      <c r="AZ97" t="inlineStr">
        <is>
          <t>BOOK</t>
        </is>
      </c>
      <c r="BB97" t="inlineStr">
        <is>
          <t>9781877636011</t>
        </is>
      </c>
      <c r="BC97" t="inlineStr">
        <is>
          <t>32285004687975</t>
        </is>
      </c>
      <c r="BD97" t="inlineStr">
        <is>
          <t>893228818</t>
        </is>
      </c>
    </row>
    <row r="98">
      <c r="A98" t="inlineStr">
        <is>
          <t>No</t>
        </is>
      </c>
      <c r="B98" t="inlineStr">
        <is>
          <t>PS153.J4 G8</t>
        </is>
      </c>
      <c r="C98" t="inlineStr">
        <is>
          <t>0                      PS 0153000J  4                  G  8</t>
        </is>
      </c>
      <c r="D98" t="inlineStr">
        <is>
          <t>The Jewish writer in America; assimilation and the crisis of identity.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Guttmann, Allen.</t>
        </is>
      </c>
      <c r="L98" t="inlineStr">
        <is>
          <t>New York, Oxford University Press, 1971.</t>
        </is>
      </c>
      <c r="M98" t="inlineStr">
        <is>
          <t>1971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PS </t>
        </is>
      </c>
      <c r="S98" t="n">
        <v>1</v>
      </c>
      <c r="T98" t="n">
        <v>1</v>
      </c>
      <c r="U98" t="inlineStr">
        <is>
          <t>2000-10-11</t>
        </is>
      </c>
      <c r="V98" t="inlineStr">
        <is>
          <t>2000-10-11</t>
        </is>
      </c>
      <c r="W98" t="inlineStr">
        <is>
          <t>1997-04-29</t>
        </is>
      </c>
      <c r="X98" t="inlineStr">
        <is>
          <t>1997-04-29</t>
        </is>
      </c>
      <c r="Y98" t="n">
        <v>960</v>
      </c>
      <c r="Z98" t="n">
        <v>794</v>
      </c>
      <c r="AA98" t="n">
        <v>799</v>
      </c>
      <c r="AB98" t="n">
        <v>5</v>
      </c>
      <c r="AC98" t="n">
        <v>5</v>
      </c>
      <c r="AD98" t="n">
        <v>39</v>
      </c>
      <c r="AE98" t="n">
        <v>39</v>
      </c>
      <c r="AF98" t="n">
        <v>18</v>
      </c>
      <c r="AG98" t="n">
        <v>18</v>
      </c>
      <c r="AH98" t="n">
        <v>8</v>
      </c>
      <c r="AI98" t="n">
        <v>8</v>
      </c>
      <c r="AJ98" t="n">
        <v>20</v>
      </c>
      <c r="AK98" t="n">
        <v>20</v>
      </c>
      <c r="AL98" t="n">
        <v>4</v>
      </c>
      <c r="AM98" t="n">
        <v>4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HYPERLINK("https://creighton-primo.hosted.exlibrisgroup.com/primo-explore/search?tab=default_tab&amp;search_scope=EVERYTHING&amp;vid=01CRU&amp;lang=en_US&amp;offset=0&amp;query=any,contains,991001047459702656","Catalog Record")</f>
        <v/>
      </c>
      <c r="AT98">
        <f>HYPERLINK("http://www.worldcat.org/oclc/176471","WorldCat Record")</f>
        <v/>
      </c>
      <c r="AU98" t="inlineStr">
        <is>
          <t>1311354:eng</t>
        </is>
      </c>
      <c r="AV98" t="inlineStr">
        <is>
          <t>176471</t>
        </is>
      </c>
      <c r="AW98" t="inlineStr">
        <is>
          <t>991001047459702656</t>
        </is>
      </c>
      <c r="AX98" t="inlineStr">
        <is>
          <t>991001047459702656</t>
        </is>
      </c>
      <c r="AY98" t="inlineStr">
        <is>
          <t>2267893030002656</t>
        </is>
      </c>
      <c r="AZ98" t="inlineStr">
        <is>
          <t>BOOK</t>
        </is>
      </c>
      <c r="BB98" t="inlineStr">
        <is>
          <t>9780195014471</t>
        </is>
      </c>
      <c r="BC98" t="inlineStr">
        <is>
          <t>32285002594710</t>
        </is>
      </c>
      <c r="BD98" t="inlineStr">
        <is>
          <t>893255965</t>
        </is>
      </c>
    </row>
    <row r="99">
      <c r="A99" t="inlineStr">
        <is>
          <t>No</t>
        </is>
      </c>
      <c r="B99" t="inlineStr">
        <is>
          <t>PS153.J4 M4 1968</t>
        </is>
      </c>
      <c r="C99" t="inlineStr">
        <is>
          <t>0                      PS 0153000J  4                  M  4           1968</t>
        </is>
      </c>
      <c r="D99" t="inlineStr">
        <is>
          <t>Traditions in American literature; a study of Jewish characters and authors, by Joseph Mersand.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Mersand, Joseph E., 1907-1981.</t>
        </is>
      </c>
      <c r="L99" t="inlineStr">
        <is>
          <t>Port Washington, N.Y., Kennikat Press [1968, c1939]</t>
        </is>
      </c>
      <c r="M99" t="inlineStr">
        <is>
          <t>1968</t>
        </is>
      </c>
      <c r="O99" t="inlineStr">
        <is>
          <t>eng</t>
        </is>
      </c>
      <c r="P99" t="inlineStr">
        <is>
          <t>nyu</t>
        </is>
      </c>
      <c r="Q99" t="inlineStr">
        <is>
          <t>Essay and general literature index reprint series</t>
        </is>
      </c>
      <c r="R99" t="inlineStr">
        <is>
          <t xml:space="preserve">PS </t>
        </is>
      </c>
      <c r="S99" t="n">
        <v>2</v>
      </c>
      <c r="T99" t="n">
        <v>2</v>
      </c>
      <c r="U99" t="inlineStr">
        <is>
          <t>2000-10-11</t>
        </is>
      </c>
      <c r="V99" t="inlineStr">
        <is>
          <t>2000-10-11</t>
        </is>
      </c>
      <c r="W99" t="inlineStr">
        <is>
          <t>1997-04-29</t>
        </is>
      </c>
      <c r="X99" t="inlineStr">
        <is>
          <t>1997-04-29</t>
        </is>
      </c>
      <c r="Y99" t="n">
        <v>389</v>
      </c>
      <c r="Z99" t="n">
        <v>335</v>
      </c>
      <c r="AA99" t="n">
        <v>451</v>
      </c>
      <c r="AB99" t="n">
        <v>1</v>
      </c>
      <c r="AC99" t="n">
        <v>1</v>
      </c>
      <c r="AD99" t="n">
        <v>9</v>
      </c>
      <c r="AE99" t="n">
        <v>9</v>
      </c>
      <c r="AF99" t="n">
        <v>3</v>
      </c>
      <c r="AG99" t="n">
        <v>3</v>
      </c>
      <c r="AH99" t="n">
        <v>3</v>
      </c>
      <c r="AI99" t="n">
        <v>3</v>
      </c>
      <c r="AJ99" t="n">
        <v>6</v>
      </c>
      <c r="AK99" t="n">
        <v>6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HYPERLINK("http://catalog.hathitrust.org/Record/001440584","HathiTrust Record")</f>
        <v/>
      </c>
      <c r="AS99">
        <f>HYPERLINK("https://creighton-primo.hosted.exlibrisgroup.com/primo-explore/search?tab=default_tab&amp;search_scope=EVERYTHING&amp;vid=01CRU&amp;lang=en_US&amp;offset=0&amp;query=any,contains,991002792979702656","Catalog Record")</f>
        <v/>
      </c>
      <c r="AT99">
        <f>HYPERLINK("http://www.worldcat.org/oclc/444195","WorldCat Record")</f>
        <v/>
      </c>
      <c r="AU99" t="inlineStr">
        <is>
          <t>1576867:eng</t>
        </is>
      </c>
      <c r="AV99" t="inlineStr">
        <is>
          <t>444195</t>
        </is>
      </c>
      <c r="AW99" t="inlineStr">
        <is>
          <t>991002792979702656</t>
        </is>
      </c>
      <c r="AX99" t="inlineStr">
        <is>
          <t>991002792979702656</t>
        </is>
      </c>
      <c r="AY99" t="inlineStr">
        <is>
          <t>2265154010002656</t>
        </is>
      </c>
      <c r="AZ99" t="inlineStr">
        <is>
          <t>BOOK</t>
        </is>
      </c>
      <c r="BC99" t="inlineStr">
        <is>
          <t>32285002594736</t>
        </is>
      </c>
      <c r="BD99" t="inlineStr">
        <is>
          <t>893511198</t>
        </is>
      </c>
    </row>
    <row r="100">
      <c r="A100" t="inlineStr">
        <is>
          <t>No</t>
        </is>
      </c>
      <c r="B100" t="inlineStr">
        <is>
          <t>PS153.J4 P56 1992</t>
        </is>
      </c>
      <c r="C100" t="inlineStr">
        <is>
          <t>0                      PS 0153000J  4                  P  56          1992</t>
        </is>
      </c>
      <c r="D100" t="inlineStr">
        <is>
          <t>Jewish-American fiction, 1917-1987 / Sanford Pinsker.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Pinsker, Sanford.</t>
        </is>
      </c>
      <c r="L100" t="inlineStr">
        <is>
          <t>New York : Twayne Publishers ; Toronto : Maxwell Macmillan Canada ; New York : Maxwell Macmillan International, c1992.</t>
        </is>
      </c>
      <c r="M100" t="inlineStr">
        <is>
          <t>1992</t>
        </is>
      </c>
      <c r="O100" t="inlineStr">
        <is>
          <t>eng</t>
        </is>
      </c>
      <c r="P100" t="inlineStr">
        <is>
          <t>nyu</t>
        </is>
      </c>
      <c r="Q100" t="inlineStr">
        <is>
          <t>Twayne's United States authors series ; TUSAS 606</t>
        </is>
      </c>
      <c r="R100" t="inlineStr">
        <is>
          <t xml:space="preserve">PS </t>
        </is>
      </c>
      <c r="S100" t="n">
        <v>3</v>
      </c>
      <c r="T100" t="n">
        <v>3</v>
      </c>
      <c r="U100" t="inlineStr">
        <is>
          <t>1999-10-14</t>
        </is>
      </c>
      <c r="V100" t="inlineStr">
        <is>
          <t>1999-10-14</t>
        </is>
      </c>
      <c r="W100" t="inlineStr">
        <is>
          <t>1992-07-16</t>
        </is>
      </c>
      <c r="X100" t="inlineStr">
        <is>
          <t>1992-07-16</t>
        </is>
      </c>
      <c r="Y100" t="n">
        <v>731</v>
      </c>
      <c r="Z100" t="n">
        <v>657</v>
      </c>
      <c r="AA100" t="n">
        <v>791</v>
      </c>
      <c r="AB100" t="n">
        <v>5</v>
      </c>
      <c r="AC100" t="n">
        <v>7</v>
      </c>
      <c r="AD100" t="n">
        <v>34</v>
      </c>
      <c r="AE100" t="n">
        <v>38</v>
      </c>
      <c r="AF100" t="n">
        <v>15</v>
      </c>
      <c r="AG100" t="n">
        <v>15</v>
      </c>
      <c r="AH100" t="n">
        <v>6</v>
      </c>
      <c r="AI100" t="n">
        <v>7</v>
      </c>
      <c r="AJ100" t="n">
        <v>18</v>
      </c>
      <c r="AK100" t="n">
        <v>20</v>
      </c>
      <c r="AL100" t="n">
        <v>4</v>
      </c>
      <c r="AM100" t="n">
        <v>6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HYPERLINK("http://catalog.hathitrust.org/Record/002556247","HathiTrust Record")</f>
        <v/>
      </c>
      <c r="AS100">
        <f>HYPERLINK("https://creighton-primo.hosted.exlibrisgroup.com/primo-explore/search?tab=default_tab&amp;search_scope=EVERYTHING&amp;vid=01CRU&amp;lang=en_US&amp;offset=0&amp;query=any,contains,991001985049702656","Catalog Record")</f>
        <v/>
      </c>
      <c r="AT100">
        <f>HYPERLINK("http://www.worldcat.org/oclc/25202093","WorldCat Record")</f>
        <v/>
      </c>
      <c r="AU100" t="inlineStr">
        <is>
          <t>17672544:eng</t>
        </is>
      </c>
      <c r="AV100" t="inlineStr">
        <is>
          <t>25202093</t>
        </is>
      </c>
      <c r="AW100" t="inlineStr">
        <is>
          <t>991001985049702656</t>
        </is>
      </c>
      <c r="AX100" t="inlineStr">
        <is>
          <t>991001985049702656</t>
        </is>
      </c>
      <c r="AY100" t="inlineStr">
        <is>
          <t>2266338050002656</t>
        </is>
      </c>
      <c r="AZ100" t="inlineStr">
        <is>
          <t>BOOK</t>
        </is>
      </c>
      <c r="BB100" t="inlineStr">
        <is>
          <t>9780805739596</t>
        </is>
      </c>
      <c r="BC100" t="inlineStr">
        <is>
          <t>32285001187615</t>
        </is>
      </c>
      <c r="BD100" t="inlineStr">
        <is>
          <t>893615549</t>
        </is>
      </c>
    </row>
    <row r="101">
      <c r="A101" t="inlineStr">
        <is>
          <t>No</t>
        </is>
      </c>
      <c r="B101" t="inlineStr">
        <is>
          <t>PS153.M4 M37 2000</t>
        </is>
      </c>
      <c r="C101" t="inlineStr">
        <is>
          <t>0                      PS 0153000M  4                  M  37          2000</t>
        </is>
      </c>
      <c r="D101" t="inlineStr">
        <is>
          <t>Phenomenology of Chicana experience and identity : communication and transformation in Praxis / Jacqueline M. Martinez.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Martinez, Jacqueline M., 1961-</t>
        </is>
      </c>
      <c r="L101" t="inlineStr">
        <is>
          <t>Lanham, Md. : Rowman &amp; Littlefield, c2000.</t>
        </is>
      </c>
      <c r="M101" t="inlineStr">
        <is>
          <t>2000</t>
        </is>
      </c>
      <c r="O101" t="inlineStr">
        <is>
          <t>eng</t>
        </is>
      </c>
      <c r="P101" t="inlineStr">
        <is>
          <t>mdu</t>
        </is>
      </c>
      <c r="Q101" t="inlineStr">
        <is>
          <t>New critical theory</t>
        </is>
      </c>
      <c r="R101" t="inlineStr">
        <is>
          <t xml:space="preserve">PS </t>
        </is>
      </c>
      <c r="S101" t="n">
        <v>1</v>
      </c>
      <c r="T101" t="n">
        <v>1</v>
      </c>
      <c r="U101" t="inlineStr">
        <is>
          <t>2003-10-06</t>
        </is>
      </c>
      <c r="V101" t="inlineStr">
        <is>
          <t>2003-10-06</t>
        </is>
      </c>
      <c r="W101" t="inlineStr">
        <is>
          <t>2003-10-06</t>
        </is>
      </c>
      <c r="X101" t="inlineStr">
        <is>
          <t>2003-10-06</t>
        </is>
      </c>
      <c r="Y101" t="n">
        <v>251</v>
      </c>
      <c r="Z101" t="n">
        <v>229</v>
      </c>
      <c r="AA101" t="n">
        <v>231</v>
      </c>
      <c r="AB101" t="n">
        <v>3</v>
      </c>
      <c r="AC101" t="n">
        <v>3</v>
      </c>
      <c r="AD101" t="n">
        <v>11</v>
      </c>
      <c r="AE101" t="n">
        <v>11</v>
      </c>
      <c r="AF101" t="n">
        <v>2</v>
      </c>
      <c r="AG101" t="n">
        <v>2</v>
      </c>
      <c r="AH101" t="n">
        <v>3</v>
      </c>
      <c r="AI101" t="n">
        <v>3</v>
      </c>
      <c r="AJ101" t="n">
        <v>7</v>
      </c>
      <c r="AK101" t="n">
        <v>7</v>
      </c>
      <c r="AL101" t="n">
        <v>2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HYPERLINK("http://catalog.hathitrust.org/Record/004124897","HathiTrust Record")</f>
        <v/>
      </c>
      <c r="AS101">
        <f>HYPERLINK("https://creighton-primo.hosted.exlibrisgroup.com/primo-explore/search?tab=default_tab&amp;search_scope=EVERYTHING&amp;vid=01CRU&amp;lang=en_US&amp;offset=0&amp;query=any,contains,991004135009702656","Catalog Record")</f>
        <v/>
      </c>
      <c r="AT101">
        <f>HYPERLINK("http://www.worldcat.org/oclc/43434640","WorldCat Record")</f>
        <v/>
      </c>
      <c r="AU101" t="inlineStr">
        <is>
          <t>340994678:eng</t>
        </is>
      </c>
      <c r="AV101" t="inlineStr">
        <is>
          <t>43434640</t>
        </is>
      </c>
      <c r="AW101" t="inlineStr">
        <is>
          <t>991004135009702656</t>
        </is>
      </c>
      <c r="AX101" t="inlineStr">
        <is>
          <t>991004135009702656</t>
        </is>
      </c>
      <c r="AY101" t="inlineStr">
        <is>
          <t>2255657370002656</t>
        </is>
      </c>
      <c r="AZ101" t="inlineStr">
        <is>
          <t>BOOK</t>
        </is>
      </c>
      <c r="BB101" t="inlineStr">
        <is>
          <t>9780742507005</t>
        </is>
      </c>
      <c r="BC101" t="inlineStr">
        <is>
          <t>32285004786587</t>
        </is>
      </c>
      <c r="BD101" t="inlineStr">
        <is>
          <t>893228969</t>
        </is>
      </c>
    </row>
    <row r="102">
      <c r="A102" t="inlineStr">
        <is>
          <t>No</t>
        </is>
      </c>
      <c r="B102" t="inlineStr">
        <is>
          <t>PS153.M56 B64 1987</t>
        </is>
      </c>
      <c r="C102" t="inlineStr">
        <is>
          <t>0                      PS 0153000M  56                 B  64          1987</t>
        </is>
      </c>
      <c r="D102" t="inlineStr">
        <is>
          <t>Through a glass darkly : ethnic semiosis in American literature / William Boelhower.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Boelhower, William Q.</t>
        </is>
      </c>
      <c r="L102" t="inlineStr">
        <is>
          <t>New York : Oxford University Press, 1987, c1984.</t>
        </is>
      </c>
      <c r="M102" t="inlineStr">
        <is>
          <t>1987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PS </t>
        </is>
      </c>
      <c r="S102" t="n">
        <v>1</v>
      </c>
      <c r="T102" t="n">
        <v>1</v>
      </c>
      <c r="U102" t="inlineStr">
        <is>
          <t>1992-09-02</t>
        </is>
      </c>
      <c r="V102" t="inlineStr">
        <is>
          <t>1992-09-02</t>
        </is>
      </c>
      <c r="W102" t="inlineStr">
        <is>
          <t>1992-08-21</t>
        </is>
      </c>
      <c r="X102" t="inlineStr">
        <is>
          <t>1992-08-21</t>
        </is>
      </c>
      <c r="Y102" t="n">
        <v>448</v>
      </c>
      <c r="Z102" t="n">
        <v>365</v>
      </c>
      <c r="AA102" t="n">
        <v>384</v>
      </c>
      <c r="AB102" t="n">
        <v>3</v>
      </c>
      <c r="AC102" t="n">
        <v>3</v>
      </c>
      <c r="AD102" t="n">
        <v>22</v>
      </c>
      <c r="AE102" t="n">
        <v>22</v>
      </c>
      <c r="AF102" t="n">
        <v>8</v>
      </c>
      <c r="AG102" t="n">
        <v>8</v>
      </c>
      <c r="AH102" t="n">
        <v>7</v>
      </c>
      <c r="AI102" t="n">
        <v>7</v>
      </c>
      <c r="AJ102" t="n">
        <v>10</v>
      </c>
      <c r="AK102" t="n">
        <v>10</v>
      </c>
      <c r="AL102" t="n">
        <v>2</v>
      </c>
      <c r="AM102" t="n">
        <v>2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HYPERLINK("http://catalog.hathitrust.org/Record/000806657","HathiTrust Record")</f>
        <v/>
      </c>
      <c r="AS102">
        <f>HYPERLINK("https://creighton-primo.hosted.exlibrisgroup.com/primo-explore/search?tab=default_tab&amp;search_scope=EVERYTHING&amp;vid=01CRU&amp;lang=en_US&amp;offset=0&amp;query=any,contains,991000927669702656","Catalog Record")</f>
        <v/>
      </c>
      <c r="AT102">
        <f>HYPERLINK("http://www.worldcat.org/oclc/14241897","WorldCat Record")</f>
        <v/>
      </c>
      <c r="AU102" t="inlineStr">
        <is>
          <t>5685982:eng</t>
        </is>
      </c>
      <c r="AV102" t="inlineStr">
        <is>
          <t>14241897</t>
        </is>
      </c>
      <c r="AW102" t="inlineStr">
        <is>
          <t>991000927669702656</t>
        </is>
      </c>
      <c r="AX102" t="inlineStr">
        <is>
          <t>991000927669702656</t>
        </is>
      </c>
      <c r="AY102" t="inlineStr">
        <is>
          <t>2259405980002656</t>
        </is>
      </c>
      <c r="AZ102" t="inlineStr">
        <is>
          <t>BOOK</t>
        </is>
      </c>
      <c r="BB102" t="inlineStr">
        <is>
          <t>9780195041958</t>
        </is>
      </c>
      <c r="BC102" t="inlineStr">
        <is>
          <t>32285001249258</t>
        </is>
      </c>
      <c r="BD102" t="inlineStr">
        <is>
          <t>893321491</t>
        </is>
      </c>
    </row>
    <row r="103">
      <c r="A103" t="inlineStr">
        <is>
          <t>No</t>
        </is>
      </c>
      <c r="B103" t="inlineStr">
        <is>
          <t>PS153.N5 L96 1990</t>
        </is>
      </c>
      <c r="C103" t="inlineStr">
        <is>
          <t>0                      PS 0153000N  5                  L  96          1990</t>
        </is>
      </c>
      <c r="D103" t="inlineStr">
        <is>
          <t>Creative revolt : a study of Wright, Ellison, and Dostoevsky / Michael F. Lynch.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Lynch, Michael F.</t>
        </is>
      </c>
      <c r="L103" t="inlineStr">
        <is>
          <t>New York : P. Lang, c1990.</t>
        </is>
      </c>
      <c r="M103" t="inlineStr">
        <is>
          <t>1990</t>
        </is>
      </c>
      <c r="O103" t="inlineStr">
        <is>
          <t>eng</t>
        </is>
      </c>
      <c r="P103" t="inlineStr">
        <is>
          <t>nyu</t>
        </is>
      </c>
      <c r="Q103" t="inlineStr">
        <is>
          <t>American university studies. Series XXIV, American literature ; v. 12</t>
        </is>
      </c>
      <c r="R103" t="inlineStr">
        <is>
          <t xml:space="preserve">PS </t>
        </is>
      </c>
      <c r="S103" t="n">
        <v>5</v>
      </c>
      <c r="T103" t="n">
        <v>5</v>
      </c>
      <c r="U103" t="inlineStr">
        <is>
          <t>2002-03-25</t>
        </is>
      </c>
      <c r="V103" t="inlineStr">
        <is>
          <t>2002-03-25</t>
        </is>
      </c>
      <c r="W103" t="inlineStr">
        <is>
          <t>1997-05-06</t>
        </is>
      </c>
      <c r="X103" t="inlineStr">
        <is>
          <t>1997-05-06</t>
        </is>
      </c>
      <c r="Y103" t="n">
        <v>168</v>
      </c>
      <c r="Z103" t="n">
        <v>130</v>
      </c>
      <c r="AA103" t="n">
        <v>130</v>
      </c>
      <c r="AB103" t="n">
        <v>1</v>
      </c>
      <c r="AC103" t="n">
        <v>1</v>
      </c>
      <c r="AD103" t="n">
        <v>4</v>
      </c>
      <c r="AE103" t="n">
        <v>4</v>
      </c>
      <c r="AF103" t="n">
        <v>0</v>
      </c>
      <c r="AG103" t="n">
        <v>0</v>
      </c>
      <c r="AH103" t="n">
        <v>1</v>
      </c>
      <c r="AI103" t="n">
        <v>1</v>
      </c>
      <c r="AJ103" t="n">
        <v>4</v>
      </c>
      <c r="AK103" t="n">
        <v>4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HYPERLINK("https://creighton-primo.hosted.exlibrisgroup.com/primo-explore/search?tab=default_tab&amp;search_scope=EVERYTHING&amp;vid=01CRU&amp;lang=en_US&amp;offset=0&amp;query=any,contains,991001472539702656","Catalog Record")</f>
        <v/>
      </c>
      <c r="AT103">
        <f>HYPERLINK("http://www.worldcat.org/oclc/19554305","WorldCat Record")</f>
        <v/>
      </c>
      <c r="AU103" t="inlineStr">
        <is>
          <t>890533510:eng</t>
        </is>
      </c>
      <c r="AV103" t="inlineStr">
        <is>
          <t>19554305</t>
        </is>
      </c>
      <c r="AW103" t="inlineStr">
        <is>
          <t>991001472539702656</t>
        </is>
      </c>
      <c r="AX103" t="inlineStr">
        <is>
          <t>991001472539702656</t>
        </is>
      </c>
      <c r="AY103" t="inlineStr">
        <is>
          <t>2271060920002656</t>
        </is>
      </c>
      <c r="AZ103" t="inlineStr">
        <is>
          <t>BOOK</t>
        </is>
      </c>
      <c r="BB103" t="inlineStr">
        <is>
          <t>9780820410180</t>
        </is>
      </c>
      <c r="BC103" t="inlineStr">
        <is>
          <t>32285002544491</t>
        </is>
      </c>
      <c r="BD103" t="inlineStr">
        <is>
          <t>893244161</t>
        </is>
      </c>
    </row>
    <row r="104">
      <c r="A104" t="inlineStr">
        <is>
          <t>No</t>
        </is>
      </c>
      <c r="B104" t="inlineStr">
        <is>
          <t>PS153.N5 S72</t>
        </is>
      </c>
      <c r="C104" t="inlineStr">
        <is>
          <t>0                      PS 0153000N  5                  S  72</t>
        </is>
      </c>
      <c r="D104" t="inlineStr">
        <is>
          <t>Negro literature for high school students / Barbara Dodds.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Stanford, Barbara Dodds.</t>
        </is>
      </c>
      <c r="L104" t="inlineStr">
        <is>
          <t>[Champaign, Ill.] : National Council of Teachers of English, 1968.</t>
        </is>
      </c>
      <c r="M104" t="inlineStr">
        <is>
          <t>1968</t>
        </is>
      </c>
      <c r="O104" t="inlineStr">
        <is>
          <t>eng</t>
        </is>
      </c>
      <c r="P104" t="inlineStr">
        <is>
          <t>ilu</t>
        </is>
      </c>
      <c r="R104" t="inlineStr">
        <is>
          <t xml:space="preserve">PS </t>
        </is>
      </c>
      <c r="S104" t="n">
        <v>3</v>
      </c>
      <c r="T104" t="n">
        <v>3</v>
      </c>
      <c r="U104" t="inlineStr">
        <is>
          <t>1998-04-01</t>
        </is>
      </c>
      <c r="V104" t="inlineStr">
        <is>
          <t>1998-04-01</t>
        </is>
      </c>
      <c r="W104" t="inlineStr">
        <is>
          <t>1992-08-21</t>
        </is>
      </c>
      <c r="X104" t="inlineStr">
        <is>
          <t>1992-08-21</t>
        </is>
      </c>
      <c r="Y104" t="n">
        <v>347</v>
      </c>
      <c r="Z104" t="n">
        <v>337</v>
      </c>
      <c r="AA104" t="n">
        <v>344</v>
      </c>
      <c r="AB104" t="n">
        <v>3</v>
      </c>
      <c r="AC104" t="n">
        <v>3</v>
      </c>
      <c r="AD104" t="n">
        <v>6</v>
      </c>
      <c r="AE104" t="n">
        <v>6</v>
      </c>
      <c r="AF104" t="n">
        <v>2</v>
      </c>
      <c r="AG104" t="n">
        <v>2</v>
      </c>
      <c r="AH104" t="n">
        <v>1</v>
      </c>
      <c r="AI104" t="n">
        <v>1</v>
      </c>
      <c r="AJ104" t="n">
        <v>3</v>
      </c>
      <c r="AK104" t="n">
        <v>3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HYPERLINK("http://catalog.hathitrust.org/Record/001168597","HathiTrust Record")</f>
        <v/>
      </c>
      <c r="AS104">
        <f>HYPERLINK("https://creighton-primo.hosted.exlibrisgroup.com/primo-explore/search?tab=default_tab&amp;search_scope=EVERYTHING&amp;vid=01CRU&amp;lang=en_US&amp;offset=0&amp;query=any,contains,991002403659702656","Catalog Record")</f>
        <v/>
      </c>
      <c r="AT104">
        <f>HYPERLINK("http://www.worldcat.org/oclc/338103","WorldCat Record")</f>
        <v/>
      </c>
      <c r="AU104" t="inlineStr">
        <is>
          <t>1463401:eng</t>
        </is>
      </c>
      <c r="AV104" t="inlineStr">
        <is>
          <t>338103</t>
        </is>
      </c>
      <c r="AW104" t="inlineStr">
        <is>
          <t>991002403659702656</t>
        </is>
      </c>
      <c r="AX104" t="inlineStr">
        <is>
          <t>991002403659702656</t>
        </is>
      </c>
      <c r="AY104" t="inlineStr">
        <is>
          <t>2257037600002656</t>
        </is>
      </c>
      <c r="AZ104" t="inlineStr">
        <is>
          <t>BOOK</t>
        </is>
      </c>
      <c r="BC104" t="inlineStr">
        <is>
          <t>32285001249316</t>
        </is>
      </c>
      <c r="BD104" t="inlineStr">
        <is>
          <t>893609824</t>
        </is>
      </c>
    </row>
    <row r="105">
      <c r="A105" t="inlineStr">
        <is>
          <t>No</t>
        </is>
      </c>
      <c r="B105" t="inlineStr">
        <is>
          <t>PS153.P87 K5 1986</t>
        </is>
      </c>
      <c r="C105" t="inlineStr">
        <is>
          <t>0                      PS 0153000P  87                 K  5           1986</t>
        </is>
      </c>
      <c r="D105" t="inlineStr">
        <is>
          <t>The interpretation of material shapes in Puritanism : a study of rhetoric, prejudice, and violence / Ann Kibbey.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Kibbey, Ann, 1948-</t>
        </is>
      </c>
      <c r="L105" t="inlineStr">
        <is>
          <t>Cambridge [Cambridgeshire] ; New York : Cambridge University Press, 1986.</t>
        </is>
      </c>
      <c r="M105" t="inlineStr">
        <is>
          <t>1986</t>
        </is>
      </c>
      <c r="O105" t="inlineStr">
        <is>
          <t>eng</t>
        </is>
      </c>
      <c r="P105" t="inlineStr">
        <is>
          <t>enk</t>
        </is>
      </c>
      <c r="Q105" t="inlineStr">
        <is>
          <t>Cambridge studies in American literature and culture</t>
        </is>
      </c>
      <c r="R105" t="inlineStr">
        <is>
          <t xml:space="preserve">PS </t>
        </is>
      </c>
      <c r="S105" t="n">
        <v>5</v>
      </c>
      <c r="T105" t="n">
        <v>5</v>
      </c>
      <c r="U105" t="inlineStr">
        <is>
          <t>1996-03-04</t>
        </is>
      </c>
      <c r="V105" t="inlineStr">
        <is>
          <t>1996-03-04</t>
        </is>
      </c>
      <c r="W105" t="inlineStr">
        <is>
          <t>1992-08-21</t>
        </is>
      </c>
      <c r="X105" t="inlineStr">
        <is>
          <t>1992-08-21</t>
        </is>
      </c>
      <c r="Y105" t="n">
        <v>517</v>
      </c>
      <c r="Z105" t="n">
        <v>415</v>
      </c>
      <c r="AA105" t="n">
        <v>416</v>
      </c>
      <c r="AB105" t="n">
        <v>3</v>
      </c>
      <c r="AC105" t="n">
        <v>3</v>
      </c>
      <c r="AD105" t="n">
        <v>20</v>
      </c>
      <c r="AE105" t="n">
        <v>20</v>
      </c>
      <c r="AF105" t="n">
        <v>7</v>
      </c>
      <c r="AG105" t="n">
        <v>7</v>
      </c>
      <c r="AH105" t="n">
        <v>6</v>
      </c>
      <c r="AI105" t="n">
        <v>6</v>
      </c>
      <c r="AJ105" t="n">
        <v>11</v>
      </c>
      <c r="AK105" t="n">
        <v>11</v>
      </c>
      <c r="AL105" t="n">
        <v>2</v>
      </c>
      <c r="AM105" t="n">
        <v>2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HYPERLINK("https://creighton-primo.hosted.exlibrisgroup.com/primo-explore/search?tab=default_tab&amp;search_scope=EVERYTHING&amp;vid=01CRU&amp;lang=en_US&amp;offset=0&amp;query=any,contains,991000649509702656","Catalog Record")</f>
        <v/>
      </c>
      <c r="AT105">
        <f>HYPERLINK("http://www.worldcat.org/oclc/12161178","WorldCat Record")</f>
        <v/>
      </c>
      <c r="AU105" t="inlineStr">
        <is>
          <t>198877469:eng</t>
        </is>
      </c>
      <c r="AV105" t="inlineStr">
        <is>
          <t>12161178</t>
        </is>
      </c>
      <c r="AW105" t="inlineStr">
        <is>
          <t>991000649509702656</t>
        </is>
      </c>
      <c r="AX105" t="inlineStr">
        <is>
          <t>991000649509702656</t>
        </is>
      </c>
      <c r="AY105" t="inlineStr">
        <is>
          <t>2270928610002656</t>
        </is>
      </c>
      <c r="AZ105" t="inlineStr">
        <is>
          <t>BOOK</t>
        </is>
      </c>
      <c r="BB105" t="inlineStr">
        <is>
          <t>9780521265096</t>
        </is>
      </c>
      <c r="BC105" t="inlineStr">
        <is>
          <t>32285001249332</t>
        </is>
      </c>
      <c r="BD105" t="inlineStr">
        <is>
          <t>893496441</t>
        </is>
      </c>
    </row>
    <row r="106">
      <c r="A106" t="inlineStr">
        <is>
          <t>No</t>
        </is>
      </c>
      <c r="B106" t="inlineStr">
        <is>
          <t>PS1532 .K3</t>
        </is>
      </c>
      <c r="C106" t="inlineStr">
        <is>
          <t>0                      PS 1532000K  3</t>
        </is>
      </c>
      <c r="D106" t="inlineStr">
        <is>
          <t>The Kays, by Margaret Deland.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Deland, Margaret, 1857-1945.</t>
        </is>
      </c>
      <c r="L106" t="inlineStr">
        <is>
          <t>New York, London, Harper &amp; brothers, 1926.</t>
        </is>
      </c>
      <c r="M106" t="inlineStr">
        <is>
          <t>1926</t>
        </is>
      </c>
      <c r="O106" t="inlineStr">
        <is>
          <t>eng</t>
        </is>
      </c>
      <c r="P106" t="inlineStr">
        <is>
          <t xml:space="preserve">xx </t>
        </is>
      </c>
      <c r="R106" t="inlineStr">
        <is>
          <t xml:space="preserve">PS </t>
        </is>
      </c>
      <c r="S106" t="n">
        <v>1</v>
      </c>
      <c r="T106" t="n">
        <v>1</v>
      </c>
      <c r="U106" t="inlineStr">
        <is>
          <t>2001-02-09</t>
        </is>
      </c>
      <c r="V106" t="inlineStr">
        <is>
          <t>2001-02-09</t>
        </is>
      </c>
      <c r="W106" t="inlineStr">
        <is>
          <t>1997-05-12</t>
        </is>
      </c>
      <c r="X106" t="inlineStr">
        <is>
          <t>1997-05-12</t>
        </is>
      </c>
      <c r="Y106" t="n">
        <v>209</v>
      </c>
      <c r="Z106" t="n">
        <v>193</v>
      </c>
      <c r="AA106" t="n">
        <v>204</v>
      </c>
      <c r="AB106" t="n">
        <v>1</v>
      </c>
      <c r="AC106" t="n">
        <v>1</v>
      </c>
      <c r="AD106" t="n">
        <v>5</v>
      </c>
      <c r="AE106" t="n">
        <v>5</v>
      </c>
      <c r="AF106" t="n">
        <v>1</v>
      </c>
      <c r="AG106" t="n">
        <v>1</v>
      </c>
      <c r="AH106" t="n">
        <v>1</v>
      </c>
      <c r="AI106" t="n">
        <v>1</v>
      </c>
      <c r="AJ106" t="n">
        <v>3</v>
      </c>
      <c r="AK106" t="n">
        <v>3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HYPERLINK("http://catalog.hathitrust.org/Record/006502247","HathiTrust Record")</f>
        <v/>
      </c>
      <c r="AS106">
        <f>HYPERLINK("https://creighton-primo.hosted.exlibrisgroup.com/primo-explore/search?tab=default_tab&amp;search_scope=EVERYTHING&amp;vid=01CRU&amp;lang=en_US&amp;offset=0&amp;query=any,contains,991003460509702656","Catalog Record")</f>
        <v/>
      </c>
      <c r="AT106">
        <f>HYPERLINK("http://www.worldcat.org/oclc/1001752","WorldCat Record")</f>
        <v/>
      </c>
      <c r="AU106" t="inlineStr">
        <is>
          <t>1916557:eng</t>
        </is>
      </c>
      <c r="AV106" t="inlineStr">
        <is>
          <t>1001752</t>
        </is>
      </c>
      <c r="AW106" t="inlineStr">
        <is>
          <t>991003460509702656</t>
        </is>
      </c>
      <c r="AX106" t="inlineStr">
        <is>
          <t>991003460509702656</t>
        </is>
      </c>
      <c r="AY106" t="inlineStr">
        <is>
          <t>2256776450002656</t>
        </is>
      </c>
      <c r="AZ106" t="inlineStr">
        <is>
          <t>BOOK</t>
        </is>
      </c>
      <c r="BC106" t="inlineStr">
        <is>
          <t>32285002658903</t>
        </is>
      </c>
      <c r="BD106" t="inlineStr">
        <is>
          <t>893598594</t>
        </is>
      </c>
    </row>
    <row r="107">
      <c r="A107" t="inlineStr">
        <is>
          <t>No</t>
        </is>
      </c>
      <c r="B107" t="inlineStr">
        <is>
          <t>PS1541 .M96 1984</t>
        </is>
      </c>
      <c r="C107" t="inlineStr">
        <is>
          <t>0                      PS 1541000M  96          1984</t>
        </is>
      </c>
      <c r="D107" t="inlineStr">
        <is>
          <t>Emily Dickinson : a descriptive bibliography / Joel Myerson.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Myerson, Joel.</t>
        </is>
      </c>
      <c r="L107" t="inlineStr">
        <is>
          <t>Pittsburgh, Pa. : University of Pittsburgh Press, 1984.</t>
        </is>
      </c>
      <c r="M107" t="inlineStr">
        <is>
          <t>1984</t>
        </is>
      </c>
      <c r="O107" t="inlineStr">
        <is>
          <t>eng</t>
        </is>
      </c>
      <c r="P107" t="inlineStr">
        <is>
          <t>pau</t>
        </is>
      </c>
      <c r="Q107" t="inlineStr">
        <is>
          <t>Pittsburgh series in bibliography</t>
        </is>
      </c>
      <c r="R107" t="inlineStr">
        <is>
          <t xml:space="preserve">PS </t>
        </is>
      </c>
      <c r="S107" t="n">
        <v>9</v>
      </c>
      <c r="T107" t="n">
        <v>9</v>
      </c>
      <c r="U107" t="inlineStr">
        <is>
          <t>2001-03-12</t>
        </is>
      </c>
      <c r="V107" t="inlineStr">
        <is>
          <t>2001-03-12</t>
        </is>
      </c>
      <c r="W107" t="inlineStr">
        <is>
          <t>1990-10-26</t>
        </is>
      </c>
      <c r="X107" t="inlineStr">
        <is>
          <t>1990-10-26</t>
        </is>
      </c>
      <c r="Y107" t="n">
        <v>500</v>
      </c>
      <c r="Z107" t="n">
        <v>412</v>
      </c>
      <c r="AA107" t="n">
        <v>412</v>
      </c>
      <c r="AB107" t="n">
        <v>4</v>
      </c>
      <c r="AC107" t="n">
        <v>4</v>
      </c>
      <c r="AD107" t="n">
        <v>21</v>
      </c>
      <c r="AE107" t="n">
        <v>21</v>
      </c>
      <c r="AF107" t="n">
        <v>5</v>
      </c>
      <c r="AG107" t="n">
        <v>5</v>
      </c>
      <c r="AH107" t="n">
        <v>6</v>
      </c>
      <c r="AI107" t="n">
        <v>6</v>
      </c>
      <c r="AJ107" t="n">
        <v>13</v>
      </c>
      <c r="AK107" t="n">
        <v>13</v>
      </c>
      <c r="AL107" t="n">
        <v>3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HYPERLINK("https://creighton-primo.hosted.exlibrisgroup.com/primo-explore/search?tab=default_tab&amp;search_scope=EVERYTHING&amp;vid=01CRU&amp;lang=en_US&amp;offset=0&amp;query=any,contains,991000298179702656","Catalog Record")</f>
        <v/>
      </c>
      <c r="AT107">
        <f>HYPERLINK("http://www.worldcat.org/oclc/10018866","WorldCat Record")</f>
        <v/>
      </c>
      <c r="AU107" t="inlineStr">
        <is>
          <t>836633458:eng</t>
        </is>
      </c>
      <c r="AV107" t="inlineStr">
        <is>
          <t>10018866</t>
        </is>
      </c>
      <c r="AW107" t="inlineStr">
        <is>
          <t>991000298179702656</t>
        </is>
      </c>
      <c r="AX107" t="inlineStr">
        <is>
          <t>991000298179702656</t>
        </is>
      </c>
      <c r="AY107" t="inlineStr">
        <is>
          <t>2269251450002656</t>
        </is>
      </c>
      <c r="AZ107" t="inlineStr">
        <is>
          <t>BOOK</t>
        </is>
      </c>
      <c r="BB107" t="inlineStr">
        <is>
          <t>9780822934912</t>
        </is>
      </c>
      <c r="BC107" t="inlineStr">
        <is>
          <t>32285000362938</t>
        </is>
      </c>
      <c r="BD107" t="inlineStr">
        <is>
          <t>893261423</t>
        </is>
      </c>
    </row>
    <row r="108">
      <c r="A108" t="inlineStr">
        <is>
          <t>No</t>
        </is>
      </c>
      <c r="B108" t="inlineStr">
        <is>
          <t>PS1541.Z5 D47 1984</t>
        </is>
      </c>
      <c r="C108" t="inlineStr">
        <is>
          <t>0                      PS 1541000Z  5                  D  47          1984</t>
        </is>
      </c>
      <c r="D108" t="inlineStr">
        <is>
          <t>Austin and Mabel : the Amherst affair &amp; love letters of Austin Dickinson and Mabel Loomis Todd / Polly Longsworth.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Dickinson, Austin, 1829-1895.</t>
        </is>
      </c>
      <c r="L108" t="inlineStr">
        <is>
          <t>New York : Farrar, Straus, Giroux, c1984.</t>
        </is>
      </c>
      <c r="M108" t="inlineStr">
        <is>
          <t>1983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PS </t>
        </is>
      </c>
      <c r="S108" t="n">
        <v>2</v>
      </c>
      <c r="T108" t="n">
        <v>2</v>
      </c>
      <c r="U108" t="inlineStr">
        <is>
          <t>1996-05-01</t>
        </is>
      </c>
      <c r="V108" t="inlineStr">
        <is>
          <t>1996-05-01</t>
        </is>
      </c>
      <c r="W108" t="inlineStr">
        <is>
          <t>1990-10-26</t>
        </is>
      </c>
      <c r="X108" t="inlineStr">
        <is>
          <t>1990-10-26</t>
        </is>
      </c>
      <c r="Y108" t="n">
        <v>764</v>
      </c>
      <c r="Z108" t="n">
        <v>715</v>
      </c>
      <c r="AA108" t="n">
        <v>810</v>
      </c>
      <c r="AB108" t="n">
        <v>2</v>
      </c>
      <c r="AC108" t="n">
        <v>3</v>
      </c>
      <c r="AD108" t="n">
        <v>23</v>
      </c>
      <c r="AE108" t="n">
        <v>28</v>
      </c>
      <c r="AF108" t="n">
        <v>9</v>
      </c>
      <c r="AG108" t="n">
        <v>11</v>
      </c>
      <c r="AH108" t="n">
        <v>9</v>
      </c>
      <c r="AI108" t="n">
        <v>10</v>
      </c>
      <c r="AJ108" t="n">
        <v>12</v>
      </c>
      <c r="AK108" t="n">
        <v>15</v>
      </c>
      <c r="AL108" t="n">
        <v>1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HYPERLINK("https://creighton-primo.hosted.exlibrisgroup.com/primo-explore/search?tab=default_tab&amp;search_scope=EVERYTHING&amp;vid=01CRU&amp;lang=en_US&amp;offset=0&amp;query=any,contains,991000303459702656","Catalog Record")</f>
        <v/>
      </c>
      <c r="AT108">
        <f>HYPERLINK("http://www.worldcat.org/oclc/10045638","WorldCat Record")</f>
        <v/>
      </c>
      <c r="AU108" t="inlineStr">
        <is>
          <t>867299146:eng</t>
        </is>
      </c>
      <c r="AV108" t="inlineStr">
        <is>
          <t>10045638</t>
        </is>
      </c>
      <c r="AW108" t="inlineStr">
        <is>
          <t>991000303459702656</t>
        </is>
      </c>
      <c r="AX108" t="inlineStr">
        <is>
          <t>991000303459702656</t>
        </is>
      </c>
      <c r="AY108" t="inlineStr">
        <is>
          <t>2258896470002656</t>
        </is>
      </c>
      <c r="AZ108" t="inlineStr">
        <is>
          <t>BOOK</t>
        </is>
      </c>
      <c r="BB108" t="inlineStr">
        <is>
          <t>9780374107161</t>
        </is>
      </c>
      <c r="BC108" t="inlineStr">
        <is>
          <t>32285000362987</t>
        </is>
      </c>
      <c r="BD108" t="inlineStr">
        <is>
          <t>893261425</t>
        </is>
      </c>
    </row>
    <row r="109">
      <c r="A109" t="inlineStr">
        <is>
          <t>No</t>
        </is>
      </c>
      <c r="B109" t="inlineStr">
        <is>
          <t>PS1541.Z5 L45</t>
        </is>
      </c>
      <c r="C109" t="inlineStr">
        <is>
          <t>0                      PS 1541000Z  5                  L  45</t>
        </is>
      </c>
      <c r="D109" t="inlineStr">
        <is>
          <t>Emily Dickinson in Europe : her literary reputation in selected countries / Ann Lilliedahl.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Lilliedahl, Ann.</t>
        </is>
      </c>
      <c r="L109" t="inlineStr">
        <is>
          <t>Washington, D.C. : University Press of America, c1981.</t>
        </is>
      </c>
      <c r="M109" t="inlineStr">
        <is>
          <t>1981</t>
        </is>
      </c>
      <c r="O109" t="inlineStr">
        <is>
          <t>eng</t>
        </is>
      </c>
      <c r="P109" t="inlineStr">
        <is>
          <t>dcu</t>
        </is>
      </c>
      <c r="R109" t="inlineStr">
        <is>
          <t xml:space="preserve">PS </t>
        </is>
      </c>
      <c r="S109" t="n">
        <v>3</v>
      </c>
      <c r="T109" t="n">
        <v>3</v>
      </c>
      <c r="U109" t="inlineStr">
        <is>
          <t>2001-07-18</t>
        </is>
      </c>
      <c r="V109" t="inlineStr">
        <is>
          <t>2001-07-18</t>
        </is>
      </c>
      <c r="W109" t="inlineStr">
        <is>
          <t>1990-10-26</t>
        </is>
      </c>
      <c r="X109" t="inlineStr">
        <is>
          <t>1990-10-26</t>
        </is>
      </c>
      <c r="Y109" t="n">
        <v>307</v>
      </c>
      <c r="Z109" t="n">
        <v>254</v>
      </c>
      <c r="AA109" t="n">
        <v>259</v>
      </c>
      <c r="AB109" t="n">
        <v>3</v>
      </c>
      <c r="AC109" t="n">
        <v>3</v>
      </c>
      <c r="AD109" t="n">
        <v>14</v>
      </c>
      <c r="AE109" t="n">
        <v>14</v>
      </c>
      <c r="AF109" t="n">
        <v>4</v>
      </c>
      <c r="AG109" t="n">
        <v>4</v>
      </c>
      <c r="AH109" t="n">
        <v>3</v>
      </c>
      <c r="AI109" t="n">
        <v>3</v>
      </c>
      <c r="AJ109" t="n">
        <v>11</v>
      </c>
      <c r="AK109" t="n">
        <v>11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HYPERLINK("http://catalog.hathitrust.org/Record/007884898","HathiTrust Record")</f>
        <v/>
      </c>
      <c r="AS109">
        <f>HYPERLINK("https://creighton-primo.hosted.exlibrisgroup.com/primo-explore/search?tab=default_tab&amp;search_scope=EVERYTHING&amp;vid=01CRU&amp;lang=en_US&amp;offset=0&amp;query=any,contains,991005153779702656","Catalog Record")</f>
        <v/>
      </c>
      <c r="AT109">
        <f>HYPERLINK("http://www.worldcat.org/oclc/7737246","WorldCat Record")</f>
        <v/>
      </c>
      <c r="AU109" t="inlineStr">
        <is>
          <t>890468287:eng</t>
        </is>
      </c>
      <c r="AV109" t="inlineStr">
        <is>
          <t>7737246</t>
        </is>
      </c>
      <c r="AW109" t="inlineStr">
        <is>
          <t>991005153779702656</t>
        </is>
      </c>
      <c r="AX109" t="inlineStr">
        <is>
          <t>991005153779702656</t>
        </is>
      </c>
      <c r="AY109" t="inlineStr">
        <is>
          <t>2259561230002656</t>
        </is>
      </c>
      <c r="AZ109" t="inlineStr">
        <is>
          <t>BOOK</t>
        </is>
      </c>
      <c r="BB109" t="inlineStr">
        <is>
          <t>9780819118905</t>
        </is>
      </c>
      <c r="BC109" t="inlineStr">
        <is>
          <t>32285000363043</t>
        </is>
      </c>
      <c r="BD109" t="inlineStr">
        <is>
          <t>893883415</t>
        </is>
      </c>
    </row>
    <row r="110">
      <c r="A110" t="inlineStr">
        <is>
          <t>No</t>
        </is>
      </c>
      <c r="B110" t="inlineStr">
        <is>
          <t>PS1541.Z5 S42</t>
        </is>
      </c>
      <c r="C110" t="inlineStr">
        <is>
          <t>0                      PS 1541000Z  5                  S  42</t>
        </is>
      </c>
      <c r="D110" t="inlineStr">
        <is>
          <t>The life of Emily Dickinson / by Richard B. Sewall.</t>
        </is>
      </c>
      <c r="E110" t="inlineStr">
        <is>
          <t>V.2</t>
        </is>
      </c>
      <c r="F110" t="inlineStr">
        <is>
          <t>Yes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Sewall, Richard B., 1908-2003.</t>
        </is>
      </c>
      <c r="L110" t="inlineStr">
        <is>
          <t>New York : Farrar, Straus and Giroux, [1974]</t>
        </is>
      </c>
      <c r="M110" t="inlineStr">
        <is>
          <t>1974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PS </t>
        </is>
      </c>
      <c r="S110" t="n">
        <v>9</v>
      </c>
      <c r="T110" t="n">
        <v>16</v>
      </c>
      <c r="U110" t="inlineStr">
        <is>
          <t>2003-10-13</t>
        </is>
      </c>
      <c r="V110" t="inlineStr">
        <is>
          <t>2006-09-26</t>
        </is>
      </c>
      <c r="W110" t="inlineStr">
        <is>
          <t>1992-07-17</t>
        </is>
      </c>
      <c r="X110" t="inlineStr">
        <is>
          <t>1992-07-17</t>
        </is>
      </c>
      <c r="Y110" t="n">
        <v>1502</v>
      </c>
      <c r="Z110" t="n">
        <v>1409</v>
      </c>
      <c r="AA110" t="n">
        <v>1464</v>
      </c>
      <c r="AB110" t="n">
        <v>13</v>
      </c>
      <c r="AC110" t="n">
        <v>13</v>
      </c>
      <c r="AD110" t="n">
        <v>59</v>
      </c>
      <c r="AE110" t="n">
        <v>60</v>
      </c>
      <c r="AF110" t="n">
        <v>27</v>
      </c>
      <c r="AG110" t="n">
        <v>28</v>
      </c>
      <c r="AH110" t="n">
        <v>11</v>
      </c>
      <c r="AI110" t="n">
        <v>11</v>
      </c>
      <c r="AJ110" t="n">
        <v>23</v>
      </c>
      <c r="AK110" t="n">
        <v>24</v>
      </c>
      <c r="AL110" t="n">
        <v>11</v>
      </c>
      <c r="AM110" t="n">
        <v>11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HYPERLINK("https://creighton-primo.hosted.exlibrisgroup.com/primo-explore/search?tab=default_tab&amp;search_scope=EVERYTHING&amp;vid=01CRU&amp;lang=en_US&amp;offset=0&amp;query=any,contains,991005357169702656","Catalog Record")</f>
        <v/>
      </c>
      <c r="AT110">
        <f>HYPERLINK("http://www.worldcat.org/oclc/903011","WorldCat Record")</f>
        <v/>
      </c>
      <c r="AU110" t="inlineStr">
        <is>
          <t>10678574362:eng</t>
        </is>
      </c>
      <c r="AV110" t="inlineStr">
        <is>
          <t>903011</t>
        </is>
      </c>
      <c r="AW110" t="inlineStr">
        <is>
          <t>991005357169702656</t>
        </is>
      </c>
      <c r="AX110" t="inlineStr">
        <is>
          <t>991005357169702656</t>
        </is>
      </c>
      <c r="AY110" t="inlineStr">
        <is>
          <t>2260917040002656</t>
        </is>
      </c>
      <c r="AZ110" t="inlineStr">
        <is>
          <t>BOOK</t>
        </is>
      </c>
      <c r="BB110" t="inlineStr">
        <is>
          <t>9780374186968</t>
        </is>
      </c>
      <c r="BC110" t="inlineStr">
        <is>
          <t>32285001154078</t>
        </is>
      </c>
      <c r="BD110" t="inlineStr">
        <is>
          <t>893808250</t>
        </is>
      </c>
    </row>
    <row r="111">
      <c r="A111" t="inlineStr">
        <is>
          <t>No</t>
        </is>
      </c>
      <c r="B111" t="inlineStr">
        <is>
          <t>PS1541.Z5 S5</t>
        </is>
      </c>
      <c r="C111" t="inlineStr">
        <is>
          <t>0                      PS 1541000Z  5                  S  5</t>
        </is>
      </c>
      <c r="D111" t="inlineStr">
        <is>
          <t>Circumference and circumstance; stages in the mind and art of Emily Dickinson, by William R. Sherwood.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Sherwood, William R. (William Robert), 1929-</t>
        </is>
      </c>
      <c r="L111" t="inlineStr">
        <is>
          <t>New York, Columbia University Press, 1968.</t>
        </is>
      </c>
      <c r="M111" t="inlineStr">
        <is>
          <t>1968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PS </t>
        </is>
      </c>
      <c r="S111" t="n">
        <v>11</v>
      </c>
      <c r="T111" t="n">
        <v>11</v>
      </c>
      <c r="U111" t="inlineStr">
        <is>
          <t>2001-04-05</t>
        </is>
      </c>
      <c r="V111" t="inlineStr">
        <is>
          <t>2001-04-05</t>
        </is>
      </c>
      <c r="W111" t="inlineStr">
        <is>
          <t>1997-05-12</t>
        </is>
      </c>
      <c r="X111" t="inlineStr">
        <is>
          <t>1997-05-12</t>
        </is>
      </c>
      <c r="Y111" t="n">
        <v>1088</v>
      </c>
      <c r="Z111" t="n">
        <v>964</v>
      </c>
      <c r="AA111" t="n">
        <v>989</v>
      </c>
      <c r="AB111" t="n">
        <v>9</v>
      </c>
      <c r="AC111" t="n">
        <v>9</v>
      </c>
      <c r="AD111" t="n">
        <v>43</v>
      </c>
      <c r="AE111" t="n">
        <v>45</v>
      </c>
      <c r="AF111" t="n">
        <v>16</v>
      </c>
      <c r="AG111" t="n">
        <v>16</v>
      </c>
      <c r="AH111" t="n">
        <v>8</v>
      </c>
      <c r="AI111" t="n">
        <v>9</v>
      </c>
      <c r="AJ111" t="n">
        <v>20</v>
      </c>
      <c r="AK111" t="n">
        <v>22</v>
      </c>
      <c r="AL111" t="n">
        <v>8</v>
      </c>
      <c r="AM111" t="n">
        <v>8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HYPERLINK("https://creighton-primo.hosted.exlibrisgroup.com/primo-explore/search?tab=default_tab&amp;search_scope=EVERYTHING&amp;vid=01CRU&amp;lang=en_US&amp;offset=0&amp;query=any,contains,991003017309702656","Catalog Record")</f>
        <v/>
      </c>
      <c r="AT111">
        <f>HYPERLINK("http://www.worldcat.org/oclc/581992","WorldCat Record")</f>
        <v/>
      </c>
      <c r="AU111" t="inlineStr">
        <is>
          <t>1733579:eng</t>
        </is>
      </c>
      <c r="AV111" t="inlineStr">
        <is>
          <t>581992</t>
        </is>
      </c>
      <c r="AW111" t="inlineStr">
        <is>
          <t>991003017309702656</t>
        </is>
      </c>
      <c r="AX111" t="inlineStr">
        <is>
          <t>991003017309702656</t>
        </is>
      </c>
      <c r="AY111" t="inlineStr">
        <is>
          <t>2271198150002656</t>
        </is>
      </c>
      <c r="AZ111" t="inlineStr">
        <is>
          <t>BOOK</t>
        </is>
      </c>
      <c r="BC111" t="inlineStr">
        <is>
          <t>32285002659075</t>
        </is>
      </c>
      <c r="BD111" t="inlineStr">
        <is>
          <t>893623052</t>
        </is>
      </c>
    </row>
    <row r="112">
      <c r="A112" t="inlineStr">
        <is>
          <t>No</t>
        </is>
      </c>
      <c r="B112" t="inlineStr">
        <is>
          <t>PS1545.D55 Z53</t>
        </is>
      </c>
      <c r="C112" t="inlineStr">
        <is>
          <t>0                      PS 1545000D  55                 Z  53</t>
        </is>
      </c>
      <c r="D112" t="inlineStr">
        <is>
          <t>Ignatius Donnelly / by David D. Anderson.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Anderson, David D.</t>
        </is>
      </c>
      <c r="L112" t="inlineStr">
        <is>
          <t>Boston : Twayne Publishers, 1980.</t>
        </is>
      </c>
      <c r="M112" t="inlineStr">
        <is>
          <t>1980</t>
        </is>
      </c>
      <c r="O112" t="inlineStr">
        <is>
          <t>eng</t>
        </is>
      </c>
      <c r="P112" t="inlineStr">
        <is>
          <t>mau</t>
        </is>
      </c>
      <c r="Q112" t="inlineStr">
        <is>
          <t>Twayne's United States authors series ; TUSAS 362</t>
        </is>
      </c>
      <c r="R112" t="inlineStr">
        <is>
          <t xml:space="preserve">PS </t>
        </is>
      </c>
      <c r="S112" t="n">
        <v>5</v>
      </c>
      <c r="T112" t="n">
        <v>5</v>
      </c>
      <c r="U112" t="inlineStr">
        <is>
          <t>1999-10-15</t>
        </is>
      </c>
      <c r="V112" t="inlineStr">
        <is>
          <t>1999-10-15</t>
        </is>
      </c>
      <c r="W112" t="inlineStr">
        <is>
          <t>1990-10-26</t>
        </is>
      </c>
      <c r="X112" t="inlineStr">
        <is>
          <t>1990-10-26</t>
        </is>
      </c>
      <c r="Y112" t="n">
        <v>537</v>
      </c>
      <c r="Z112" t="n">
        <v>475</v>
      </c>
      <c r="AA112" t="n">
        <v>482</v>
      </c>
      <c r="AB112" t="n">
        <v>5</v>
      </c>
      <c r="AC112" t="n">
        <v>5</v>
      </c>
      <c r="AD112" t="n">
        <v>27</v>
      </c>
      <c r="AE112" t="n">
        <v>27</v>
      </c>
      <c r="AF112" t="n">
        <v>9</v>
      </c>
      <c r="AG112" t="n">
        <v>9</v>
      </c>
      <c r="AH112" t="n">
        <v>6</v>
      </c>
      <c r="AI112" t="n">
        <v>6</v>
      </c>
      <c r="AJ112" t="n">
        <v>16</v>
      </c>
      <c r="AK112" t="n">
        <v>16</v>
      </c>
      <c r="AL112" t="n">
        <v>4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HYPERLINK("http://catalog.hathitrust.org/Record/000696051","HathiTrust Record")</f>
        <v/>
      </c>
      <c r="AS112">
        <f>HYPERLINK("https://creighton-primo.hosted.exlibrisgroup.com/primo-explore/search?tab=default_tab&amp;search_scope=EVERYTHING&amp;vid=01CRU&amp;lang=en_US&amp;offset=0&amp;query=any,contains,991004896589702656","Catalog Record")</f>
        <v/>
      </c>
      <c r="AT112">
        <f>HYPERLINK("http://www.worldcat.org/oclc/5894305","WorldCat Record")</f>
        <v/>
      </c>
      <c r="AU112" t="inlineStr">
        <is>
          <t>20359277:eng</t>
        </is>
      </c>
      <c r="AV112" t="inlineStr">
        <is>
          <t>5894305</t>
        </is>
      </c>
      <c r="AW112" t="inlineStr">
        <is>
          <t>991004896589702656</t>
        </is>
      </c>
      <c r="AX112" t="inlineStr">
        <is>
          <t>991004896589702656</t>
        </is>
      </c>
      <c r="AY112" t="inlineStr">
        <is>
          <t>2264276130002656</t>
        </is>
      </c>
      <c r="AZ112" t="inlineStr">
        <is>
          <t>BOOK</t>
        </is>
      </c>
      <c r="BB112" t="inlineStr">
        <is>
          <t>9780805773033</t>
        </is>
      </c>
      <c r="BC112" t="inlineStr">
        <is>
          <t>32285000363134</t>
        </is>
      </c>
      <c r="BD112" t="inlineStr">
        <is>
          <t>893344376</t>
        </is>
      </c>
    </row>
    <row r="113">
      <c r="A113" t="inlineStr">
        <is>
          <t>No</t>
        </is>
      </c>
      <c r="B113" t="inlineStr">
        <is>
          <t>PS159.F5 S28 1992</t>
        </is>
      </c>
      <c r="C113" t="inlineStr">
        <is>
          <t>0                      PS 0159000F  5                  S  28          1992</t>
        </is>
      </c>
      <c r="D113" t="inlineStr">
        <is>
          <t>The continual pilgrimage : American writers in Paris, 1944-1960 / Christopher Sawyer-Lauc̦anno.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Sawyer-Lauçanno, Christopher, 1951-</t>
        </is>
      </c>
      <c r="L113" t="inlineStr">
        <is>
          <t>New York : Grove Press, 1992.</t>
        </is>
      </c>
      <c r="M113" t="inlineStr">
        <is>
          <t>1992</t>
        </is>
      </c>
      <c r="N113" t="inlineStr">
        <is>
          <t>1st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PS </t>
        </is>
      </c>
      <c r="S113" t="n">
        <v>2</v>
      </c>
      <c r="T113" t="n">
        <v>2</v>
      </c>
      <c r="U113" t="inlineStr">
        <is>
          <t>1998-01-22</t>
        </is>
      </c>
      <c r="V113" t="inlineStr">
        <is>
          <t>1998-01-22</t>
        </is>
      </c>
      <c r="W113" t="inlineStr">
        <is>
          <t>1993-01-23</t>
        </is>
      </c>
      <c r="X113" t="inlineStr">
        <is>
          <t>1993-01-23</t>
        </is>
      </c>
      <c r="Y113" t="n">
        <v>510</v>
      </c>
      <c r="Z113" t="n">
        <v>467</v>
      </c>
      <c r="AA113" t="n">
        <v>529</v>
      </c>
      <c r="AB113" t="n">
        <v>5</v>
      </c>
      <c r="AC113" t="n">
        <v>5</v>
      </c>
      <c r="AD113" t="n">
        <v>19</v>
      </c>
      <c r="AE113" t="n">
        <v>22</v>
      </c>
      <c r="AF113" t="n">
        <v>5</v>
      </c>
      <c r="AG113" t="n">
        <v>8</v>
      </c>
      <c r="AH113" t="n">
        <v>5</v>
      </c>
      <c r="AI113" t="n">
        <v>5</v>
      </c>
      <c r="AJ113" t="n">
        <v>10</v>
      </c>
      <c r="AK113" t="n">
        <v>12</v>
      </c>
      <c r="AL113" t="n">
        <v>4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HYPERLINK("https://creighton-primo.hosted.exlibrisgroup.com/primo-explore/search?tab=default_tab&amp;search_scope=EVERYTHING&amp;vid=01CRU&amp;lang=en_US&amp;offset=0&amp;query=any,contains,991001963629702656","Catalog Record")</f>
        <v/>
      </c>
      <c r="AT113">
        <f>HYPERLINK("http://www.worldcat.org/oclc/24872108","WorldCat Record")</f>
        <v/>
      </c>
      <c r="AU113" t="inlineStr">
        <is>
          <t>640546:eng</t>
        </is>
      </c>
      <c r="AV113" t="inlineStr">
        <is>
          <t>24872108</t>
        </is>
      </c>
      <c r="AW113" t="inlineStr">
        <is>
          <t>991001963629702656</t>
        </is>
      </c>
      <c r="AX113" t="inlineStr">
        <is>
          <t>991001963629702656</t>
        </is>
      </c>
      <c r="AY113" t="inlineStr">
        <is>
          <t>2265683250002656</t>
        </is>
      </c>
      <c r="AZ113" t="inlineStr">
        <is>
          <t>BOOK</t>
        </is>
      </c>
      <c r="BB113" t="inlineStr">
        <is>
          <t>9780802113719</t>
        </is>
      </c>
      <c r="BC113" t="inlineStr">
        <is>
          <t>32285001447944</t>
        </is>
      </c>
      <c r="BD113" t="inlineStr">
        <is>
          <t>893697194</t>
        </is>
      </c>
    </row>
    <row r="114">
      <c r="A114" t="inlineStr">
        <is>
          <t>No</t>
        </is>
      </c>
      <c r="B114" t="inlineStr">
        <is>
          <t>PS159.R8 W55 1996</t>
        </is>
      </c>
      <c r="C114" t="inlineStr">
        <is>
          <t>0                      PS 0159000R  8                  W  55          1996</t>
        </is>
      </c>
      <c r="D114" t="inlineStr">
        <is>
          <t>The dark mirror = Tëmnoe zerkalo : American literary response to Russia / Myler Wilkinson.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Wilkinson, Myler, 1953-</t>
        </is>
      </c>
      <c r="L114" t="inlineStr">
        <is>
          <t>New York : P. Lang, c1996.</t>
        </is>
      </c>
      <c r="M114" t="inlineStr">
        <is>
          <t>1996</t>
        </is>
      </c>
      <c r="O114" t="inlineStr">
        <is>
          <t>eng</t>
        </is>
      </c>
      <c r="P114" t="inlineStr">
        <is>
          <t>nyu</t>
        </is>
      </c>
      <c r="Q114" t="inlineStr">
        <is>
          <t>Comparative cultures and literatures ; v. 10</t>
        </is>
      </c>
      <c r="R114" t="inlineStr">
        <is>
          <t xml:space="preserve">PS </t>
        </is>
      </c>
      <c r="S114" t="n">
        <v>2</v>
      </c>
      <c r="T114" t="n">
        <v>2</v>
      </c>
      <c r="U114" t="inlineStr">
        <is>
          <t>2000-11-30</t>
        </is>
      </c>
      <c r="V114" t="inlineStr">
        <is>
          <t>2000-11-30</t>
        </is>
      </c>
      <c r="W114" t="inlineStr">
        <is>
          <t>2000-11-30</t>
        </is>
      </c>
      <c r="X114" t="inlineStr">
        <is>
          <t>2000-11-30</t>
        </is>
      </c>
      <c r="Y114" t="n">
        <v>61</v>
      </c>
      <c r="Z114" t="n">
        <v>38</v>
      </c>
      <c r="AA114" t="n">
        <v>159</v>
      </c>
      <c r="AB114" t="n">
        <v>1</v>
      </c>
      <c r="AC114" t="n">
        <v>2</v>
      </c>
      <c r="AD114" t="n">
        <v>2</v>
      </c>
      <c r="AE114" t="n">
        <v>10</v>
      </c>
      <c r="AF114" t="n">
        <v>0</v>
      </c>
      <c r="AG114" t="n">
        <v>1</v>
      </c>
      <c r="AH114" t="n">
        <v>0</v>
      </c>
      <c r="AI114" t="n">
        <v>2</v>
      </c>
      <c r="AJ114" t="n">
        <v>2</v>
      </c>
      <c r="AK114" t="n">
        <v>7</v>
      </c>
      <c r="AL114" t="n">
        <v>0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HYPERLINK("https://creighton-primo.hosted.exlibrisgroup.com/primo-explore/search?tab=default_tab&amp;search_scope=EVERYTHING&amp;vid=01CRU&amp;lang=en_US&amp;offset=0&amp;query=any,contains,991003304069702656","Catalog Record")</f>
        <v/>
      </c>
      <c r="AT114">
        <f>HYPERLINK("http://www.worldcat.org/oclc/37491389","WorldCat Record")</f>
        <v/>
      </c>
      <c r="AU114" t="inlineStr">
        <is>
          <t>32421112:eng</t>
        </is>
      </c>
      <c r="AV114" t="inlineStr">
        <is>
          <t>37491389</t>
        </is>
      </c>
      <c r="AW114" t="inlineStr">
        <is>
          <t>991003304069702656</t>
        </is>
      </c>
      <c r="AX114" t="inlineStr">
        <is>
          <t>991003304069702656</t>
        </is>
      </c>
      <c r="AY114" t="inlineStr">
        <is>
          <t>2262890790002656</t>
        </is>
      </c>
      <c r="AZ114" t="inlineStr">
        <is>
          <t>BOOK</t>
        </is>
      </c>
      <c r="BB114" t="inlineStr">
        <is>
          <t>9780820433073</t>
        </is>
      </c>
      <c r="BC114" t="inlineStr">
        <is>
          <t>32285004268610</t>
        </is>
      </c>
      <c r="BD114" t="inlineStr">
        <is>
          <t>893799581</t>
        </is>
      </c>
    </row>
    <row r="115">
      <c r="A115" t="inlineStr">
        <is>
          <t>No</t>
        </is>
      </c>
      <c r="B115" t="inlineStr">
        <is>
          <t>PS1613 .R4</t>
        </is>
      </c>
      <c r="C115" t="inlineStr">
        <is>
          <t>0                      PS 1613000R  4</t>
        </is>
      </c>
      <c r="D115" t="inlineStr">
        <is>
          <t>A literary introduction to Emerson's Nature / by Earlene Margaret Regan.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Regan, Earlene Margaret.</t>
        </is>
      </c>
      <c r="L115" t="inlineStr">
        <is>
          <t>Hartford : Transcendental Books, c1976.</t>
        </is>
      </c>
      <c r="M115" t="inlineStr">
        <is>
          <t>1976</t>
        </is>
      </c>
      <c r="O115" t="inlineStr">
        <is>
          <t>eng</t>
        </is>
      </c>
      <c r="P115" t="inlineStr">
        <is>
          <t>ctu</t>
        </is>
      </c>
      <c r="R115" t="inlineStr">
        <is>
          <t xml:space="preserve">PS </t>
        </is>
      </c>
      <c r="S115" t="n">
        <v>4</v>
      </c>
      <c r="T115" t="n">
        <v>4</v>
      </c>
      <c r="U115" t="inlineStr">
        <is>
          <t>2001-02-01</t>
        </is>
      </c>
      <c r="V115" t="inlineStr">
        <is>
          <t>2001-02-01</t>
        </is>
      </c>
      <c r="W115" t="inlineStr">
        <is>
          <t>1992-04-08</t>
        </is>
      </c>
      <c r="X115" t="inlineStr">
        <is>
          <t>1992-04-08</t>
        </is>
      </c>
      <c r="Y115" t="n">
        <v>102</v>
      </c>
      <c r="Z115" t="n">
        <v>90</v>
      </c>
      <c r="AA115" t="n">
        <v>98</v>
      </c>
      <c r="AB115" t="n">
        <v>3</v>
      </c>
      <c r="AC115" t="n">
        <v>3</v>
      </c>
      <c r="AD115" t="n">
        <v>7</v>
      </c>
      <c r="AE115" t="n">
        <v>7</v>
      </c>
      <c r="AF115" t="n">
        <v>3</v>
      </c>
      <c r="AG115" t="n">
        <v>3</v>
      </c>
      <c r="AH115" t="n">
        <v>0</v>
      </c>
      <c r="AI115" t="n">
        <v>0</v>
      </c>
      <c r="AJ115" t="n">
        <v>3</v>
      </c>
      <c r="AK115" t="n">
        <v>3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HYPERLINK("https://creighton-primo.hosted.exlibrisgroup.com/primo-explore/search?tab=default_tab&amp;search_scope=EVERYTHING&amp;vid=01CRU&amp;lang=en_US&amp;offset=0&amp;query=any,contains,991003984749702656","Catalog Record")</f>
        <v/>
      </c>
      <c r="AT115">
        <f>HYPERLINK("http://www.worldcat.org/oclc/2026430","WorldCat Record")</f>
        <v/>
      </c>
      <c r="AU115" t="inlineStr">
        <is>
          <t>2736751:eng</t>
        </is>
      </c>
      <c r="AV115" t="inlineStr">
        <is>
          <t>2026430</t>
        </is>
      </c>
      <c r="AW115" t="inlineStr">
        <is>
          <t>991003984749702656</t>
        </is>
      </c>
      <c r="AX115" t="inlineStr">
        <is>
          <t>991003984749702656</t>
        </is>
      </c>
      <c r="AY115" t="inlineStr">
        <is>
          <t>2268087010002656</t>
        </is>
      </c>
      <c r="AZ115" t="inlineStr">
        <is>
          <t>BOOK</t>
        </is>
      </c>
      <c r="BC115" t="inlineStr">
        <is>
          <t>32285001056646</t>
        </is>
      </c>
      <c r="BD115" t="inlineStr">
        <is>
          <t>893435734</t>
        </is>
      </c>
    </row>
    <row r="116">
      <c r="A116" t="inlineStr">
        <is>
          <t>No</t>
        </is>
      </c>
      <c r="B116" t="inlineStr">
        <is>
          <t>PS1613 .S4</t>
        </is>
      </c>
      <c r="C116" t="inlineStr">
        <is>
          <t>0                      PS 1613000S  4</t>
        </is>
      </c>
      <c r="D116" t="inlineStr">
        <is>
          <t>Emerson's Nature : origin, growth, meaning / edited by Merton M. Sealts, Jr., and Alfred R. Ferguson.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Sealts, Merton M., compiler.</t>
        </is>
      </c>
      <c r="L116" t="inlineStr">
        <is>
          <t>New York : Dodd, Mead, 1969.</t>
        </is>
      </c>
      <c r="M116" t="inlineStr">
        <is>
          <t>1969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PS </t>
        </is>
      </c>
      <c r="S116" t="n">
        <v>11</v>
      </c>
      <c r="T116" t="n">
        <v>11</v>
      </c>
      <c r="U116" t="inlineStr">
        <is>
          <t>1998-04-19</t>
        </is>
      </c>
      <c r="V116" t="inlineStr">
        <is>
          <t>1998-04-19</t>
        </is>
      </c>
      <c r="W116" t="inlineStr">
        <is>
          <t>1991-12-17</t>
        </is>
      </c>
      <c r="X116" t="inlineStr">
        <is>
          <t>1991-12-17</t>
        </is>
      </c>
      <c r="Y116" t="n">
        <v>557</v>
      </c>
      <c r="Z116" t="n">
        <v>510</v>
      </c>
      <c r="AA116" t="n">
        <v>681</v>
      </c>
      <c r="AB116" t="n">
        <v>6</v>
      </c>
      <c r="AC116" t="n">
        <v>6</v>
      </c>
      <c r="AD116" t="n">
        <v>27</v>
      </c>
      <c r="AE116" t="n">
        <v>35</v>
      </c>
      <c r="AF116" t="n">
        <v>10</v>
      </c>
      <c r="AG116" t="n">
        <v>13</v>
      </c>
      <c r="AH116" t="n">
        <v>3</v>
      </c>
      <c r="AI116" t="n">
        <v>7</v>
      </c>
      <c r="AJ116" t="n">
        <v>15</v>
      </c>
      <c r="AK116" t="n">
        <v>20</v>
      </c>
      <c r="AL116" t="n">
        <v>5</v>
      </c>
      <c r="AM116" t="n">
        <v>5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HYPERLINK("http://catalog.hathitrust.org/Record/000557805","HathiTrust Record")</f>
        <v/>
      </c>
      <c r="AS116">
        <f>HYPERLINK("https://creighton-primo.hosted.exlibrisgroup.com/primo-explore/search?tab=default_tab&amp;search_scope=EVERYTHING&amp;vid=01CRU&amp;lang=en_US&amp;offset=0&amp;query=any,contains,991000005149702656","Catalog Record")</f>
        <v/>
      </c>
      <c r="AT116">
        <f>HYPERLINK("http://www.worldcat.org/oclc/12984","WorldCat Record")</f>
        <v/>
      </c>
      <c r="AU116" t="inlineStr">
        <is>
          <t>467078:eng</t>
        </is>
      </c>
      <c r="AV116" t="inlineStr">
        <is>
          <t>12984</t>
        </is>
      </c>
      <c r="AW116" t="inlineStr">
        <is>
          <t>991000005149702656</t>
        </is>
      </c>
      <c r="AX116" t="inlineStr">
        <is>
          <t>991000005149702656</t>
        </is>
      </c>
      <c r="AY116" t="inlineStr">
        <is>
          <t>2264899100002656</t>
        </is>
      </c>
      <c r="AZ116" t="inlineStr">
        <is>
          <t>BOOK</t>
        </is>
      </c>
      <c r="BC116" t="inlineStr">
        <is>
          <t>32285000877729</t>
        </is>
      </c>
      <c r="BD116" t="inlineStr">
        <is>
          <t>893326924</t>
        </is>
      </c>
    </row>
    <row r="117">
      <c r="A117" t="inlineStr">
        <is>
          <t>No</t>
        </is>
      </c>
      <c r="B117" t="inlineStr">
        <is>
          <t>PS163 .F6 1958</t>
        </is>
      </c>
      <c r="C117" t="inlineStr">
        <is>
          <t>0                      PS 0163000F  6           1958</t>
        </is>
      </c>
      <c r="D117" t="inlineStr">
        <is>
          <t>Nature in American literature : studies in the modern view of nature.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Foerster, Norman, 1887-1972.</t>
        </is>
      </c>
      <c r="L117" t="inlineStr">
        <is>
          <t>New York : Russell &amp; Russell, [1958]</t>
        </is>
      </c>
      <c r="M117" t="inlineStr">
        <is>
          <t>1958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PS </t>
        </is>
      </c>
      <c r="S117" t="n">
        <v>2</v>
      </c>
      <c r="T117" t="n">
        <v>2</v>
      </c>
      <c r="U117" t="inlineStr">
        <is>
          <t>1998-03-23</t>
        </is>
      </c>
      <c r="V117" t="inlineStr">
        <is>
          <t>1998-03-23</t>
        </is>
      </c>
      <c r="W117" t="inlineStr">
        <is>
          <t>1995-03-07</t>
        </is>
      </c>
      <c r="X117" t="inlineStr">
        <is>
          <t>1995-03-07</t>
        </is>
      </c>
      <c r="Y117" t="n">
        <v>775</v>
      </c>
      <c r="Z117" t="n">
        <v>701</v>
      </c>
      <c r="AA117" t="n">
        <v>1068</v>
      </c>
      <c r="AB117" t="n">
        <v>7</v>
      </c>
      <c r="AC117" t="n">
        <v>8</v>
      </c>
      <c r="AD117" t="n">
        <v>30</v>
      </c>
      <c r="AE117" t="n">
        <v>43</v>
      </c>
      <c r="AF117" t="n">
        <v>14</v>
      </c>
      <c r="AG117" t="n">
        <v>19</v>
      </c>
      <c r="AH117" t="n">
        <v>4</v>
      </c>
      <c r="AI117" t="n">
        <v>7</v>
      </c>
      <c r="AJ117" t="n">
        <v>13</v>
      </c>
      <c r="AK117" t="n">
        <v>21</v>
      </c>
      <c r="AL117" t="n">
        <v>5</v>
      </c>
      <c r="AM117" t="n">
        <v>6</v>
      </c>
      <c r="AN117" t="n">
        <v>0</v>
      </c>
      <c r="AO117" t="n">
        <v>0</v>
      </c>
      <c r="AP117" t="inlineStr">
        <is>
          <t>Yes</t>
        </is>
      </c>
      <c r="AQ117" t="inlineStr">
        <is>
          <t>No</t>
        </is>
      </c>
      <c r="AR117">
        <f>HYPERLINK("http://catalog.hathitrust.org/Record/001440503","HathiTrust Record")</f>
        <v/>
      </c>
      <c r="AS117">
        <f>HYPERLINK("https://creighton-primo.hosted.exlibrisgroup.com/primo-explore/search?tab=default_tab&amp;search_scope=EVERYTHING&amp;vid=01CRU&amp;lang=en_US&amp;offset=0&amp;query=any,contains,991002127839702656","Catalog Record")</f>
        <v/>
      </c>
      <c r="AT117">
        <f>HYPERLINK("http://www.worldcat.org/oclc/269442","WorldCat Record")</f>
        <v/>
      </c>
      <c r="AU117" t="inlineStr">
        <is>
          <t>1394907:eng</t>
        </is>
      </c>
      <c r="AV117" t="inlineStr">
        <is>
          <t>269442</t>
        </is>
      </c>
      <c r="AW117" t="inlineStr">
        <is>
          <t>991002127839702656</t>
        </is>
      </c>
      <c r="AX117" t="inlineStr">
        <is>
          <t>991002127839702656</t>
        </is>
      </c>
      <c r="AY117" t="inlineStr">
        <is>
          <t>2267451680002656</t>
        </is>
      </c>
      <c r="AZ117" t="inlineStr">
        <is>
          <t>BOOK</t>
        </is>
      </c>
      <c r="BC117" t="inlineStr">
        <is>
          <t>32285002011566</t>
        </is>
      </c>
      <c r="BD117" t="inlineStr">
        <is>
          <t>893716086</t>
        </is>
      </c>
    </row>
    <row r="118">
      <c r="A118" t="inlineStr">
        <is>
          <t>No</t>
        </is>
      </c>
      <c r="B118" t="inlineStr">
        <is>
          <t>PS1631 .A7</t>
        </is>
      </c>
      <c r="C118" t="inlineStr">
        <is>
          <t>0                      PS 1631000A  7</t>
        </is>
      </c>
      <c r="D118" t="inlineStr">
        <is>
          <t>Waldo Emerson / Gay Wilson Allen.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Allen, Gay Wilson, 1903-1995.</t>
        </is>
      </c>
      <c r="L118" t="inlineStr">
        <is>
          <t>New York : Viking Press, 1981.</t>
        </is>
      </c>
      <c r="M118" t="inlineStr">
        <is>
          <t>1981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PS </t>
        </is>
      </c>
      <c r="S118" t="n">
        <v>4</v>
      </c>
      <c r="T118" t="n">
        <v>4</v>
      </c>
      <c r="U118" t="inlineStr">
        <is>
          <t>1997-02-18</t>
        </is>
      </c>
      <c r="V118" t="inlineStr">
        <is>
          <t>1997-02-18</t>
        </is>
      </c>
      <c r="W118" t="inlineStr">
        <is>
          <t>1990-03-28</t>
        </is>
      </c>
      <c r="X118" t="inlineStr">
        <is>
          <t>1990-03-28</t>
        </is>
      </c>
      <c r="Y118" t="n">
        <v>1691</v>
      </c>
      <c r="Z118" t="n">
        <v>1566</v>
      </c>
      <c r="AA118" t="n">
        <v>1644</v>
      </c>
      <c r="AB118" t="n">
        <v>12</v>
      </c>
      <c r="AC118" t="n">
        <v>12</v>
      </c>
      <c r="AD118" t="n">
        <v>51</v>
      </c>
      <c r="AE118" t="n">
        <v>53</v>
      </c>
      <c r="AF118" t="n">
        <v>20</v>
      </c>
      <c r="AG118" t="n">
        <v>21</v>
      </c>
      <c r="AH118" t="n">
        <v>10</v>
      </c>
      <c r="AI118" t="n">
        <v>11</v>
      </c>
      <c r="AJ118" t="n">
        <v>24</v>
      </c>
      <c r="AK118" t="n">
        <v>24</v>
      </c>
      <c r="AL118" t="n">
        <v>11</v>
      </c>
      <c r="AM118" t="n">
        <v>11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HYPERLINK("http://catalog.hathitrust.org/Record/000141103","HathiTrust Record")</f>
        <v/>
      </c>
      <c r="AS118">
        <f>HYPERLINK("https://creighton-primo.hosted.exlibrisgroup.com/primo-explore/search?tab=default_tab&amp;search_scope=EVERYTHING&amp;vid=01CRU&amp;lang=en_US&amp;offset=0&amp;query=any,contains,991005096409702656","Catalog Record")</f>
        <v/>
      </c>
      <c r="AT118">
        <f>HYPERLINK("http://www.worldcat.org/oclc/7273845","WorldCat Record")</f>
        <v/>
      </c>
      <c r="AU118" t="inlineStr">
        <is>
          <t>131934531:eng</t>
        </is>
      </c>
      <c r="AV118" t="inlineStr">
        <is>
          <t>7273845</t>
        </is>
      </c>
      <c r="AW118" t="inlineStr">
        <is>
          <t>991005096409702656</t>
        </is>
      </c>
      <c r="AX118" t="inlineStr">
        <is>
          <t>991005096409702656</t>
        </is>
      </c>
      <c r="AY118" t="inlineStr">
        <is>
          <t>2258249660002656</t>
        </is>
      </c>
      <c r="AZ118" t="inlineStr">
        <is>
          <t>BOOK</t>
        </is>
      </c>
      <c r="BB118" t="inlineStr">
        <is>
          <t>9780670748662</t>
        </is>
      </c>
      <c r="BC118" t="inlineStr">
        <is>
          <t>32285000097203</t>
        </is>
      </c>
      <c r="BD118" t="inlineStr">
        <is>
          <t>893701017</t>
        </is>
      </c>
    </row>
    <row r="119">
      <c r="A119" t="inlineStr">
        <is>
          <t>No</t>
        </is>
      </c>
      <c r="B119" t="inlineStr">
        <is>
          <t>PS1631 .C34</t>
        </is>
      </c>
      <c r="C119" t="inlineStr">
        <is>
          <t>0                      PS 1631000C  34</t>
        </is>
      </c>
      <c r="D119" t="inlineStr">
        <is>
          <t>Emerson handbook.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Carpenter, Frederic Ives, 1903-1991.</t>
        </is>
      </c>
      <c r="L119" t="inlineStr">
        <is>
          <t>New York : Hendricks House, [1953]</t>
        </is>
      </c>
      <c r="M119" t="inlineStr">
        <is>
          <t>1953</t>
        </is>
      </c>
      <c r="O119" t="inlineStr">
        <is>
          <t>eng</t>
        </is>
      </c>
      <c r="P119" t="inlineStr">
        <is>
          <t>nyu</t>
        </is>
      </c>
      <c r="Q119" t="inlineStr">
        <is>
          <t>Handbooks of American literature</t>
        </is>
      </c>
      <c r="R119" t="inlineStr">
        <is>
          <t xml:space="preserve">PS </t>
        </is>
      </c>
      <c r="S119" t="n">
        <v>4</v>
      </c>
      <c r="T119" t="n">
        <v>4</v>
      </c>
      <c r="U119" t="inlineStr">
        <is>
          <t>1996-11-18</t>
        </is>
      </c>
      <c r="V119" t="inlineStr">
        <is>
          <t>1996-11-18</t>
        </is>
      </c>
      <c r="W119" t="inlineStr">
        <is>
          <t>1990-11-19</t>
        </is>
      </c>
      <c r="X119" t="inlineStr">
        <is>
          <t>1990-11-19</t>
        </is>
      </c>
      <c r="Y119" t="n">
        <v>967</v>
      </c>
      <c r="Z119" t="n">
        <v>892</v>
      </c>
      <c r="AA119" t="n">
        <v>977</v>
      </c>
      <c r="AB119" t="n">
        <v>9</v>
      </c>
      <c r="AC119" t="n">
        <v>9</v>
      </c>
      <c r="AD119" t="n">
        <v>40</v>
      </c>
      <c r="AE119" t="n">
        <v>44</v>
      </c>
      <c r="AF119" t="n">
        <v>18</v>
      </c>
      <c r="AG119" t="n">
        <v>21</v>
      </c>
      <c r="AH119" t="n">
        <v>4</v>
      </c>
      <c r="AI119" t="n">
        <v>5</v>
      </c>
      <c r="AJ119" t="n">
        <v>17</v>
      </c>
      <c r="AK119" t="n">
        <v>18</v>
      </c>
      <c r="AL119" t="n">
        <v>8</v>
      </c>
      <c r="AM119" t="n">
        <v>8</v>
      </c>
      <c r="AN119" t="n">
        <v>0</v>
      </c>
      <c r="AO119" t="n">
        <v>0</v>
      </c>
      <c r="AP119" t="inlineStr">
        <is>
          <t>Yes</t>
        </is>
      </c>
      <c r="AQ119" t="inlineStr">
        <is>
          <t>No</t>
        </is>
      </c>
      <c r="AR119">
        <f>HYPERLINK("http://catalog.hathitrust.org/Record/000388379","HathiTrust Record")</f>
        <v/>
      </c>
      <c r="AS119">
        <f>HYPERLINK("https://creighton-primo.hosted.exlibrisgroup.com/primo-explore/search?tab=default_tab&amp;search_scope=EVERYTHING&amp;vid=01CRU&amp;lang=en_US&amp;offset=0&amp;query=any,contains,991002157819702656","Catalog Record")</f>
        <v/>
      </c>
      <c r="AT119">
        <f>HYPERLINK("http://www.worldcat.org/oclc/273229","WorldCat Record")</f>
        <v/>
      </c>
      <c r="AU119" t="inlineStr">
        <is>
          <t>350686730:eng</t>
        </is>
      </c>
      <c r="AV119" t="inlineStr">
        <is>
          <t>273229</t>
        </is>
      </c>
      <c r="AW119" t="inlineStr">
        <is>
          <t>991002157819702656</t>
        </is>
      </c>
      <c r="AX119" t="inlineStr">
        <is>
          <t>991002157819702656</t>
        </is>
      </c>
      <c r="AY119" t="inlineStr">
        <is>
          <t>2262007490002656</t>
        </is>
      </c>
      <c r="AZ119" t="inlineStr">
        <is>
          <t>BOOK</t>
        </is>
      </c>
      <c r="BC119" t="inlineStr">
        <is>
          <t>32285000396928</t>
        </is>
      </c>
      <c r="BD119" t="inlineStr">
        <is>
          <t>893709933</t>
        </is>
      </c>
    </row>
    <row r="120">
      <c r="A120" t="inlineStr">
        <is>
          <t>No</t>
        </is>
      </c>
      <c r="B120" t="inlineStr">
        <is>
          <t>PS1631 .M35 1984</t>
        </is>
      </c>
      <c r="C120" t="inlineStr">
        <is>
          <t>0                      PS 1631000M  35          1984</t>
        </is>
      </c>
      <c r="D120" t="inlineStr">
        <is>
          <t>Ralph Waldo Emerson : days of encounter / John McAleer.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McAleer, John J.</t>
        </is>
      </c>
      <c r="L120" t="inlineStr">
        <is>
          <t>Boston : Little, Brown, c1984.</t>
        </is>
      </c>
      <c r="M120" t="inlineStr">
        <is>
          <t>1984</t>
        </is>
      </c>
      <c r="N120" t="inlineStr">
        <is>
          <t>1st ed.</t>
        </is>
      </c>
      <c r="O120" t="inlineStr">
        <is>
          <t>eng</t>
        </is>
      </c>
      <c r="P120" t="inlineStr">
        <is>
          <t>mau</t>
        </is>
      </c>
      <c r="R120" t="inlineStr">
        <is>
          <t xml:space="preserve">PS </t>
        </is>
      </c>
      <c r="S120" t="n">
        <v>6</v>
      </c>
      <c r="T120" t="n">
        <v>6</v>
      </c>
      <c r="U120" t="inlineStr">
        <is>
          <t>1997-02-18</t>
        </is>
      </c>
      <c r="V120" t="inlineStr">
        <is>
          <t>1997-02-18</t>
        </is>
      </c>
      <c r="W120" t="inlineStr">
        <is>
          <t>1990-10-29</t>
        </is>
      </c>
      <c r="X120" t="inlineStr">
        <is>
          <t>1990-10-29</t>
        </is>
      </c>
      <c r="Y120" t="n">
        <v>1055</v>
      </c>
      <c r="Z120" t="n">
        <v>984</v>
      </c>
      <c r="AA120" t="n">
        <v>989</v>
      </c>
      <c r="AB120" t="n">
        <v>6</v>
      </c>
      <c r="AC120" t="n">
        <v>6</v>
      </c>
      <c r="AD120" t="n">
        <v>39</v>
      </c>
      <c r="AE120" t="n">
        <v>39</v>
      </c>
      <c r="AF120" t="n">
        <v>18</v>
      </c>
      <c r="AG120" t="n">
        <v>18</v>
      </c>
      <c r="AH120" t="n">
        <v>7</v>
      </c>
      <c r="AI120" t="n">
        <v>7</v>
      </c>
      <c r="AJ120" t="n">
        <v>20</v>
      </c>
      <c r="AK120" t="n">
        <v>20</v>
      </c>
      <c r="AL120" t="n">
        <v>5</v>
      </c>
      <c r="AM120" t="n">
        <v>5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HYPERLINK("https://creighton-primo.hosted.exlibrisgroup.com/primo-explore/search?tab=default_tab&amp;search_scope=EVERYTHING&amp;vid=01CRU&amp;lang=en_US&amp;offset=0&amp;query=any,contains,991000410889702656","Catalog Record")</f>
        <v/>
      </c>
      <c r="AT120">
        <f>HYPERLINK("http://www.worldcat.org/oclc/10710662","WorldCat Record")</f>
        <v/>
      </c>
      <c r="AU120" t="inlineStr">
        <is>
          <t>451143335:eng</t>
        </is>
      </c>
      <c r="AV120" t="inlineStr">
        <is>
          <t>10710662</t>
        </is>
      </c>
      <c r="AW120" t="inlineStr">
        <is>
          <t>991000410889702656</t>
        </is>
      </c>
      <c r="AX120" t="inlineStr">
        <is>
          <t>991000410889702656</t>
        </is>
      </c>
      <c r="AY120" t="inlineStr">
        <is>
          <t>2260679990002656</t>
        </is>
      </c>
      <c r="AZ120" t="inlineStr">
        <is>
          <t>BOOK</t>
        </is>
      </c>
      <c r="BB120" t="inlineStr">
        <is>
          <t>9780316553414</t>
        </is>
      </c>
      <c r="BC120" t="inlineStr">
        <is>
          <t>32285000363399</t>
        </is>
      </c>
      <c r="BD120" t="inlineStr">
        <is>
          <t>893508747</t>
        </is>
      </c>
    </row>
    <row r="121">
      <c r="A121" t="inlineStr">
        <is>
          <t>No</t>
        </is>
      </c>
      <c r="B121" t="inlineStr">
        <is>
          <t>PS1633.G67 M4</t>
        </is>
      </c>
      <c r="C121" t="inlineStr">
        <is>
          <t>0                      PS 1633000G  67                 M  4</t>
        </is>
      </c>
      <c r="D121" t="inlineStr">
        <is>
          <t>Emerson and Greenough, transcendental pioneers of an American esthetic.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Metzger, Charles Reid, 1921-</t>
        </is>
      </c>
      <c r="L121" t="inlineStr">
        <is>
          <t>Berkeley : University of California Press, 1954.</t>
        </is>
      </c>
      <c r="M121" t="inlineStr">
        <is>
          <t>1954</t>
        </is>
      </c>
      <c r="O121" t="inlineStr">
        <is>
          <t>eng</t>
        </is>
      </c>
      <c r="P121" t="inlineStr">
        <is>
          <t>cau</t>
        </is>
      </c>
      <c r="R121" t="inlineStr">
        <is>
          <t xml:space="preserve">PS </t>
        </is>
      </c>
      <c r="S121" t="n">
        <v>1</v>
      </c>
      <c r="T121" t="n">
        <v>1</v>
      </c>
      <c r="U121" t="inlineStr">
        <is>
          <t>2001-08-10</t>
        </is>
      </c>
      <c r="V121" t="inlineStr">
        <is>
          <t>2001-08-10</t>
        </is>
      </c>
      <c r="W121" t="inlineStr">
        <is>
          <t>1992-05-21</t>
        </is>
      </c>
      <c r="X121" t="inlineStr">
        <is>
          <t>1992-05-21</t>
        </is>
      </c>
      <c r="Y121" t="n">
        <v>444</v>
      </c>
      <c r="Z121" t="n">
        <v>398</v>
      </c>
      <c r="AA121" t="n">
        <v>553</v>
      </c>
      <c r="AB121" t="n">
        <v>3</v>
      </c>
      <c r="AC121" t="n">
        <v>4</v>
      </c>
      <c r="AD121" t="n">
        <v>28</v>
      </c>
      <c r="AE121" t="n">
        <v>32</v>
      </c>
      <c r="AF121" t="n">
        <v>11</v>
      </c>
      <c r="AG121" t="n">
        <v>13</v>
      </c>
      <c r="AH121" t="n">
        <v>4</v>
      </c>
      <c r="AI121" t="n">
        <v>5</v>
      </c>
      <c r="AJ121" t="n">
        <v>16</v>
      </c>
      <c r="AK121" t="n">
        <v>17</v>
      </c>
      <c r="AL121" t="n">
        <v>2</v>
      </c>
      <c r="AM121" t="n">
        <v>3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R121">
        <f>HYPERLINK("http://catalog.hathitrust.org/Record/000388242","HathiTrust Record")</f>
        <v/>
      </c>
      <c r="AS121">
        <f>HYPERLINK("https://creighton-primo.hosted.exlibrisgroup.com/primo-explore/search?tab=default_tab&amp;search_scope=EVERYTHING&amp;vid=01CRU&amp;lang=en_US&amp;offset=0&amp;query=any,contains,991002152849702656","Catalog Record")</f>
        <v/>
      </c>
      <c r="AT121">
        <f>HYPERLINK("http://www.worldcat.org/oclc/272073","WorldCat Record")</f>
        <v/>
      </c>
      <c r="AU121" t="inlineStr">
        <is>
          <t>500314:eng</t>
        </is>
      </c>
      <c r="AV121" t="inlineStr">
        <is>
          <t>272073</t>
        </is>
      </c>
      <c r="AW121" t="inlineStr">
        <is>
          <t>991002152849702656</t>
        </is>
      </c>
      <c r="AX121" t="inlineStr">
        <is>
          <t>991002152849702656</t>
        </is>
      </c>
      <c r="AY121" t="inlineStr">
        <is>
          <t>2263908350002656</t>
        </is>
      </c>
      <c r="AZ121" t="inlineStr">
        <is>
          <t>BOOK</t>
        </is>
      </c>
      <c r="BC121" t="inlineStr">
        <is>
          <t>32285001112308</t>
        </is>
      </c>
      <c r="BD121" t="inlineStr">
        <is>
          <t>893232632</t>
        </is>
      </c>
    </row>
    <row r="122">
      <c r="A122" t="inlineStr">
        <is>
          <t>No</t>
        </is>
      </c>
      <c r="B122" t="inlineStr">
        <is>
          <t>PS1637.3 .W54 2000</t>
        </is>
      </c>
      <c r="C122" t="inlineStr">
        <is>
          <t>0                      PS 1637300W  54          2000</t>
        </is>
      </c>
      <c r="D122" t="inlineStr">
        <is>
          <t>The critical reception of Emerson : unsettling all things / Sarah Ann Wider.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Wider, Sarah Ann.</t>
        </is>
      </c>
      <c r="L122" t="inlineStr">
        <is>
          <t>Rochester, NY : Camden House, 2000.</t>
        </is>
      </c>
      <c r="M122" t="inlineStr">
        <is>
          <t>2000</t>
        </is>
      </c>
      <c r="O122" t="inlineStr">
        <is>
          <t>eng</t>
        </is>
      </c>
      <c r="P122" t="inlineStr">
        <is>
          <t>nyu</t>
        </is>
      </c>
      <c r="Q122" t="inlineStr">
        <is>
          <t>Studies in English and American literature, linguistics, and culture. Literary criticism in perspective</t>
        </is>
      </c>
      <c r="R122" t="inlineStr">
        <is>
          <t xml:space="preserve">PS </t>
        </is>
      </c>
      <c r="S122" t="n">
        <v>1</v>
      </c>
      <c r="T122" t="n">
        <v>1</v>
      </c>
      <c r="U122" t="inlineStr">
        <is>
          <t>2001-10-16</t>
        </is>
      </c>
      <c r="V122" t="inlineStr">
        <is>
          <t>2001-10-16</t>
        </is>
      </c>
      <c r="W122" t="inlineStr">
        <is>
          <t>2001-10-16</t>
        </is>
      </c>
      <c r="X122" t="inlineStr">
        <is>
          <t>2001-10-16</t>
        </is>
      </c>
      <c r="Y122" t="n">
        <v>312</v>
      </c>
      <c r="Z122" t="n">
        <v>275</v>
      </c>
      <c r="AA122" t="n">
        <v>275</v>
      </c>
      <c r="AB122" t="n">
        <v>3</v>
      </c>
      <c r="AC122" t="n">
        <v>3</v>
      </c>
      <c r="AD122" t="n">
        <v>15</v>
      </c>
      <c r="AE122" t="n">
        <v>15</v>
      </c>
      <c r="AF122" t="n">
        <v>4</v>
      </c>
      <c r="AG122" t="n">
        <v>4</v>
      </c>
      <c r="AH122" t="n">
        <v>5</v>
      </c>
      <c r="AI122" t="n">
        <v>5</v>
      </c>
      <c r="AJ122" t="n">
        <v>10</v>
      </c>
      <c r="AK122" t="n">
        <v>10</v>
      </c>
      <c r="AL122" t="n">
        <v>2</v>
      </c>
      <c r="AM122" t="n">
        <v>2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HYPERLINK("https://creighton-primo.hosted.exlibrisgroup.com/primo-explore/search?tab=default_tab&amp;search_scope=EVERYTHING&amp;vid=01CRU&amp;lang=en_US&amp;offset=0&amp;query=any,contains,991003619769702656","Catalog Record")</f>
        <v/>
      </c>
      <c r="AT122">
        <f>HYPERLINK("http://www.worldcat.org/oclc/44391549","WorldCat Record")</f>
        <v/>
      </c>
      <c r="AU122" t="inlineStr">
        <is>
          <t>20670499:eng</t>
        </is>
      </c>
      <c r="AV122" t="inlineStr">
        <is>
          <t>44391549</t>
        </is>
      </c>
      <c r="AW122" t="inlineStr">
        <is>
          <t>991003619769702656</t>
        </is>
      </c>
      <c r="AX122" t="inlineStr">
        <is>
          <t>991003619769702656</t>
        </is>
      </c>
      <c r="AY122" t="inlineStr">
        <is>
          <t>2264161640002656</t>
        </is>
      </c>
      <c r="AZ122" t="inlineStr">
        <is>
          <t>BOOK</t>
        </is>
      </c>
      <c r="BB122" t="inlineStr">
        <is>
          <t>9781571131669</t>
        </is>
      </c>
      <c r="BC122" t="inlineStr">
        <is>
          <t>32285004397518</t>
        </is>
      </c>
      <c r="BD122" t="inlineStr">
        <is>
          <t>893705430</t>
        </is>
      </c>
    </row>
    <row r="123">
      <c r="A123" t="inlineStr">
        <is>
          <t>No</t>
        </is>
      </c>
      <c r="B123" t="inlineStr">
        <is>
          <t>PS1638 .C54</t>
        </is>
      </c>
      <c r="C123" t="inlineStr">
        <is>
          <t>0                      PS 1638000C  54</t>
        </is>
      </c>
      <c r="D123" t="inlineStr">
        <is>
          <t>The trans-parent : sexual politics in the language of Emerson / Eric Cheyfitz.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Cheyfitz, Eric.</t>
        </is>
      </c>
      <c r="L123" t="inlineStr">
        <is>
          <t>Baltimore : Johns Hopkins University Press, c1981.</t>
        </is>
      </c>
      <c r="M123" t="inlineStr">
        <is>
          <t>1981</t>
        </is>
      </c>
      <c r="O123" t="inlineStr">
        <is>
          <t>eng</t>
        </is>
      </c>
      <c r="P123" t="inlineStr">
        <is>
          <t>mdu</t>
        </is>
      </c>
      <c r="R123" t="inlineStr">
        <is>
          <t xml:space="preserve">PS </t>
        </is>
      </c>
      <c r="S123" t="n">
        <v>6</v>
      </c>
      <c r="T123" t="n">
        <v>6</v>
      </c>
      <c r="U123" t="inlineStr">
        <is>
          <t>1998-03-04</t>
        </is>
      </c>
      <c r="V123" t="inlineStr">
        <is>
          <t>1998-03-04</t>
        </is>
      </c>
      <c r="W123" t="inlineStr">
        <is>
          <t>1990-10-29</t>
        </is>
      </c>
      <c r="X123" t="inlineStr">
        <is>
          <t>1990-10-29</t>
        </is>
      </c>
      <c r="Y123" t="n">
        <v>431</v>
      </c>
      <c r="Z123" t="n">
        <v>360</v>
      </c>
      <c r="AA123" t="n">
        <v>363</v>
      </c>
      <c r="AB123" t="n">
        <v>4</v>
      </c>
      <c r="AC123" t="n">
        <v>4</v>
      </c>
      <c r="AD123" t="n">
        <v>22</v>
      </c>
      <c r="AE123" t="n">
        <v>22</v>
      </c>
      <c r="AF123" t="n">
        <v>8</v>
      </c>
      <c r="AG123" t="n">
        <v>8</v>
      </c>
      <c r="AH123" t="n">
        <v>6</v>
      </c>
      <c r="AI123" t="n">
        <v>6</v>
      </c>
      <c r="AJ123" t="n">
        <v>13</v>
      </c>
      <c r="AK123" t="n">
        <v>13</v>
      </c>
      <c r="AL123" t="n">
        <v>3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HYPERLINK("http://catalog.hathitrust.org/Record/000740879","HathiTrust Record")</f>
        <v/>
      </c>
      <c r="AS123">
        <f>HYPERLINK("https://creighton-primo.hosted.exlibrisgroup.com/primo-explore/search?tab=default_tab&amp;search_scope=EVERYTHING&amp;vid=01CRU&amp;lang=en_US&amp;offset=0&amp;query=any,contains,991005058639702656","Catalog Record")</f>
        <v/>
      </c>
      <c r="AT123">
        <f>HYPERLINK("http://www.worldcat.org/oclc/6915711","WorldCat Record")</f>
        <v/>
      </c>
      <c r="AU123" t="inlineStr">
        <is>
          <t>452272:eng</t>
        </is>
      </c>
      <c r="AV123" t="inlineStr">
        <is>
          <t>6915711</t>
        </is>
      </c>
      <c r="AW123" t="inlineStr">
        <is>
          <t>991005058639702656</t>
        </is>
      </c>
      <c r="AX123" t="inlineStr">
        <is>
          <t>991005058639702656</t>
        </is>
      </c>
      <c r="AY123" t="inlineStr">
        <is>
          <t>2265731280002656</t>
        </is>
      </c>
      <c r="AZ123" t="inlineStr">
        <is>
          <t>BOOK</t>
        </is>
      </c>
      <c r="BB123" t="inlineStr">
        <is>
          <t>9780801824500</t>
        </is>
      </c>
      <c r="BC123" t="inlineStr">
        <is>
          <t>32285000363423</t>
        </is>
      </c>
      <c r="BD123" t="inlineStr">
        <is>
          <t>893230145</t>
        </is>
      </c>
    </row>
    <row r="124">
      <c r="A124" t="inlineStr">
        <is>
          <t>No</t>
        </is>
      </c>
      <c r="B124" t="inlineStr">
        <is>
          <t>PS1638 .D8</t>
        </is>
      </c>
      <c r="C124" t="inlineStr">
        <is>
          <t>0                      PS 1638000D  8</t>
        </is>
      </c>
      <c r="D124" t="inlineStr">
        <is>
          <t>The power and form of Emerson's thought [by] Jeffrey L. Duncan.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Duncan, Jeffrey L.</t>
        </is>
      </c>
      <c r="L124" t="inlineStr">
        <is>
          <t>Charlottesville, University Press of Virginia [1973]</t>
        </is>
      </c>
      <c r="M124" t="inlineStr">
        <is>
          <t>1973</t>
        </is>
      </c>
      <c r="O124" t="inlineStr">
        <is>
          <t>eng</t>
        </is>
      </c>
      <c r="P124" t="inlineStr">
        <is>
          <t>vau</t>
        </is>
      </c>
      <c r="R124" t="inlineStr">
        <is>
          <t xml:space="preserve">PS </t>
        </is>
      </c>
      <c r="S124" t="n">
        <v>4</v>
      </c>
      <c r="T124" t="n">
        <v>4</v>
      </c>
      <c r="U124" t="inlineStr">
        <is>
          <t>1998-05-01</t>
        </is>
      </c>
      <c r="V124" t="inlineStr">
        <is>
          <t>1998-05-01</t>
        </is>
      </c>
      <c r="W124" t="inlineStr">
        <is>
          <t>1997-02-18</t>
        </is>
      </c>
      <c r="X124" t="inlineStr">
        <is>
          <t>1997-02-18</t>
        </is>
      </c>
      <c r="Y124" t="n">
        <v>711</v>
      </c>
      <c r="Z124" t="n">
        <v>634</v>
      </c>
      <c r="AA124" t="n">
        <v>640</v>
      </c>
      <c r="AB124" t="n">
        <v>6</v>
      </c>
      <c r="AC124" t="n">
        <v>6</v>
      </c>
      <c r="AD124" t="n">
        <v>30</v>
      </c>
      <c r="AE124" t="n">
        <v>30</v>
      </c>
      <c r="AF124" t="n">
        <v>8</v>
      </c>
      <c r="AG124" t="n">
        <v>8</v>
      </c>
      <c r="AH124" t="n">
        <v>9</v>
      </c>
      <c r="AI124" t="n">
        <v>9</v>
      </c>
      <c r="AJ124" t="n">
        <v>15</v>
      </c>
      <c r="AK124" t="n">
        <v>15</v>
      </c>
      <c r="AL124" t="n">
        <v>5</v>
      </c>
      <c r="AM124" t="n">
        <v>5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HYPERLINK("http://catalog.hathitrust.org/Record/000388387","HathiTrust Record")</f>
        <v/>
      </c>
      <c r="AS124">
        <f>HYPERLINK("https://creighton-primo.hosted.exlibrisgroup.com/primo-explore/search?tab=default_tab&amp;search_scope=EVERYTHING&amp;vid=01CRU&amp;lang=en_US&amp;offset=0&amp;query=any,contains,991003311549702656","Catalog Record")</f>
        <v/>
      </c>
      <c r="AT124">
        <f>HYPERLINK("http://www.worldcat.org/oclc/834954","WorldCat Record")</f>
        <v/>
      </c>
      <c r="AU124" t="inlineStr">
        <is>
          <t>475316:eng</t>
        </is>
      </c>
      <c r="AV124" t="inlineStr">
        <is>
          <t>834954</t>
        </is>
      </c>
      <c r="AW124" t="inlineStr">
        <is>
          <t>991003311549702656</t>
        </is>
      </c>
      <c r="AX124" t="inlineStr">
        <is>
          <t>991003311549702656</t>
        </is>
      </c>
      <c r="AY124" t="inlineStr">
        <is>
          <t>2267468230002656</t>
        </is>
      </c>
      <c r="AZ124" t="inlineStr">
        <is>
          <t>BOOK</t>
        </is>
      </c>
      <c r="BB124" t="inlineStr">
        <is>
          <t>9780813905105</t>
        </is>
      </c>
      <c r="BC124" t="inlineStr">
        <is>
          <t>32285002399227</t>
        </is>
      </c>
      <c r="BD124" t="inlineStr">
        <is>
          <t>893348544</t>
        </is>
      </c>
    </row>
    <row r="125">
      <c r="A125" t="inlineStr">
        <is>
          <t>No</t>
        </is>
      </c>
      <c r="B125" t="inlineStr">
        <is>
          <t>PS1638 .E42 1982</t>
        </is>
      </c>
      <c r="C125" t="inlineStr">
        <is>
          <t>0                      PS 1638000E  42          1982</t>
        </is>
      </c>
      <c r="D125" t="inlineStr">
        <is>
          <t>Emerson, prospect and retrospect / edited by Joel Porte.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Cambridge, Mass. : Harvard University Press, 1982.</t>
        </is>
      </c>
      <c r="M125" t="inlineStr">
        <is>
          <t>1982</t>
        </is>
      </c>
      <c r="O125" t="inlineStr">
        <is>
          <t>eng</t>
        </is>
      </c>
      <c r="P125" t="inlineStr">
        <is>
          <t>mau</t>
        </is>
      </c>
      <c r="Q125" t="inlineStr">
        <is>
          <t>Harvard English studies ; 10</t>
        </is>
      </c>
      <c r="R125" t="inlineStr">
        <is>
          <t xml:space="preserve">PS </t>
        </is>
      </c>
      <c r="S125" t="n">
        <v>9</v>
      </c>
      <c r="T125" t="n">
        <v>9</v>
      </c>
      <c r="U125" t="inlineStr">
        <is>
          <t>2001-09-27</t>
        </is>
      </c>
      <c r="V125" t="inlineStr">
        <is>
          <t>2001-09-27</t>
        </is>
      </c>
      <c r="W125" t="inlineStr">
        <is>
          <t>1991-01-08</t>
        </is>
      </c>
      <c r="X125" t="inlineStr">
        <is>
          <t>1991-01-08</t>
        </is>
      </c>
      <c r="Y125" t="n">
        <v>435</v>
      </c>
      <c r="Z125" t="n">
        <v>350</v>
      </c>
      <c r="AA125" t="n">
        <v>357</v>
      </c>
      <c r="AB125" t="n">
        <v>5</v>
      </c>
      <c r="AC125" t="n">
        <v>5</v>
      </c>
      <c r="AD125" t="n">
        <v>24</v>
      </c>
      <c r="AE125" t="n">
        <v>24</v>
      </c>
      <c r="AF125" t="n">
        <v>9</v>
      </c>
      <c r="AG125" t="n">
        <v>9</v>
      </c>
      <c r="AH125" t="n">
        <v>7</v>
      </c>
      <c r="AI125" t="n">
        <v>7</v>
      </c>
      <c r="AJ125" t="n">
        <v>12</v>
      </c>
      <c r="AK125" t="n">
        <v>12</v>
      </c>
      <c r="AL125" t="n">
        <v>4</v>
      </c>
      <c r="AM125" t="n">
        <v>4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HYPERLINK("http://catalog.hathitrust.org/Record/000230255","HathiTrust Record")</f>
        <v/>
      </c>
      <c r="AS125">
        <f>HYPERLINK("https://creighton-primo.hosted.exlibrisgroup.com/primo-explore/search?tab=default_tab&amp;search_scope=EVERYTHING&amp;vid=01CRU&amp;lang=en_US&amp;offset=0&amp;query=any,contains,991005222759702656","Catalog Record")</f>
        <v/>
      </c>
      <c r="AT125">
        <f>HYPERLINK("http://www.worldcat.org/oclc/8243190","WorldCat Record")</f>
        <v/>
      </c>
      <c r="AU125" t="inlineStr">
        <is>
          <t>521202:eng</t>
        </is>
      </c>
      <c r="AV125" t="inlineStr">
        <is>
          <t>8243190</t>
        </is>
      </c>
      <c r="AW125" t="inlineStr">
        <is>
          <t>991005222759702656</t>
        </is>
      </c>
      <c r="AX125" t="inlineStr">
        <is>
          <t>991005222759702656</t>
        </is>
      </c>
      <c r="AY125" t="inlineStr">
        <is>
          <t>2264111060002656</t>
        </is>
      </c>
      <c r="AZ125" t="inlineStr">
        <is>
          <t>BOOK</t>
        </is>
      </c>
      <c r="BB125" t="inlineStr">
        <is>
          <t>9780674249158</t>
        </is>
      </c>
      <c r="BC125" t="inlineStr">
        <is>
          <t>32285000454693</t>
        </is>
      </c>
      <c r="BD125" t="inlineStr">
        <is>
          <t>893437355</t>
        </is>
      </c>
    </row>
    <row r="126">
      <c r="A126" t="inlineStr">
        <is>
          <t>No</t>
        </is>
      </c>
      <c r="B126" t="inlineStr">
        <is>
          <t>PS1638 .K6</t>
        </is>
      </c>
      <c r="C126" t="inlineStr">
        <is>
          <t>0                      PS 1638000K  6</t>
        </is>
      </c>
      <c r="D126" t="inlineStr">
        <is>
          <t>The recognition of Ralph Waldo Emerson : selected criticism since 1837 / edited by Milton R. Konvitz.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Konvitz, Milton R. (Milton Ridvas), 1908-2003, compiler.</t>
        </is>
      </c>
      <c r="L126" t="inlineStr">
        <is>
          <t>Ann Arbor : University of Michigan Press, [1972]</t>
        </is>
      </c>
      <c r="M126" t="inlineStr">
        <is>
          <t>1972</t>
        </is>
      </c>
      <c r="O126" t="inlineStr">
        <is>
          <t>eng</t>
        </is>
      </c>
      <c r="P126" t="inlineStr">
        <is>
          <t>miu</t>
        </is>
      </c>
      <c r="R126" t="inlineStr">
        <is>
          <t xml:space="preserve">PS </t>
        </is>
      </c>
      <c r="S126" t="n">
        <v>2</v>
      </c>
      <c r="T126" t="n">
        <v>2</v>
      </c>
      <c r="U126" t="inlineStr">
        <is>
          <t>1998-04-01</t>
        </is>
      </c>
      <c r="V126" t="inlineStr">
        <is>
          <t>1998-04-01</t>
        </is>
      </c>
      <c r="W126" t="inlineStr">
        <is>
          <t>1990-11-19</t>
        </is>
      </c>
      <c r="X126" t="inlineStr">
        <is>
          <t>1990-11-19</t>
        </is>
      </c>
      <c r="Y126" t="n">
        <v>900</v>
      </c>
      <c r="Z126" t="n">
        <v>798</v>
      </c>
      <c r="AA126" t="n">
        <v>803</v>
      </c>
      <c r="AB126" t="n">
        <v>6</v>
      </c>
      <c r="AC126" t="n">
        <v>6</v>
      </c>
      <c r="AD126" t="n">
        <v>32</v>
      </c>
      <c r="AE126" t="n">
        <v>32</v>
      </c>
      <c r="AF126" t="n">
        <v>9</v>
      </c>
      <c r="AG126" t="n">
        <v>9</v>
      </c>
      <c r="AH126" t="n">
        <v>8</v>
      </c>
      <c r="AI126" t="n">
        <v>8</v>
      </c>
      <c r="AJ126" t="n">
        <v>17</v>
      </c>
      <c r="AK126" t="n">
        <v>17</v>
      </c>
      <c r="AL126" t="n">
        <v>5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HYPERLINK("http://catalog.hathitrust.org/Record/000388409","HathiTrust Record")</f>
        <v/>
      </c>
      <c r="AS126">
        <f>HYPERLINK("https://creighton-primo.hosted.exlibrisgroup.com/primo-explore/search?tab=default_tab&amp;search_scope=EVERYTHING&amp;vid=01CRU&amp;lang=en_US&amp;offset=0&amp;query=any,contains,991002667359702656","Catalog Record")</f>
        <v/>
      </c>
      <c r="AT126">
        <f>HYPERLINK("http://www.worldcat.org/oclc/393974","WorldCat Record")</f>
        <v/>
      </c>
      <c r="AU126" t="inlineStr">
        <is>
          <t>375114747:eng</t>
        </is>
      </c>
      <c r="AV126" t="inlineStr">
        <is>
          <t>393974</t>
        </is>
      </c>
      <c r="AW126" t="inlineStr">
        <is>
          <t>991002667359702656</t>
        </is>
      </c>
      <c r="AX126" t="inlineStr">
        <is>
          <t>991002667359702656</t>
        </is>
      </c>
      <c r="AY126" t="inlineStr">
        <is>
          <t>2261805710002656</t>
        </is>
      </c>
      <c r="AZ126" t="inlineStr">
        <is>
          <t>BOOK</t>
        </is>
      </c>
      <c r="BB126" t="inlineStr">
        <is>
          <t>9780472085088</t>
        </is>
      </c>
      <c r="BC126" t="inlineStr">
        <is>
          <t>32285000396944</t>
        </is>
      </c>
      <c r="BD126" t="inlineStr">
        <is>
          <t>893597718</t>
        </is>
      </c>
    </row>
    <row r="127">
      <c r="A127" t="inlineStr">
        <is>
          <t>No</t>
        </is>
      </c>
      <c r="B127" t="inlineStr">
        <is>
          <t>PS1638 .N48 1982</t>
        </is>
      </c>
      <c r="C127" t="inlineStr">
        <is>
          <t>0                      PS 1638000N  48          1982</t>
        </is>
      </c>
      <c r="D127" t="inlineStr">
        <is>
          <t>The house of Emerson / Leonard Neufeldt.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Neufeldt, Leonard.</t>
        </is>
      </c>
      <c r="L127" t="inlineStr">
        <is>
          <t>Lincoln, Neb. : University of Nebraska Press, c1982.</t>
        </is>
      </c>
      <c r="M127" t="inlineStr">
        <is>
          <t>1982</t>
        </is>
      </c>
      <c r="O127" t="inlineStr">
        <is>
          <t>eng</t>
        </is>
      </c>
      <c r="P127" t="inlineStr">
        <is>
          <t>nbu</t>
        </is>
      </c>
      <c r="R127" t="inlineStr">
        <is>
          <t xml:space="preserve">PS </t>
        </is>
      </c>
      <c r="S127" t="n">
        <v>1</v>
      </c>
      <c r="T127" t="n">
        <v>1</v>
      </c>
      <c r="U127" t="inlineStr">
        <is>
          <t>1992-03-29</t>
        </is>
      </c>
      <c r="V127" t="inlineStr">
        <is>
          <t>1992-03-29</t>
        </is>
      </c>
      <c r="W127" t="inlineStr">
        <is>
          <t>1990-10-29</t>
        </is>
      </c>
      <c r="X127" t="inlineStr">
        <is>
          <t>1990-10-29</t>
        </is>
      </c>
      <c r="Y127" t="n">
        <v>642</v>
      </c>
      <c r="Z127" t="n">
        <v>565</v>
      </c>
      <c r="AA127" t="n">
        <v>569</v>
      </c>
      <c r="AB127" t="n">
        <v>7</v>
      </c>
      <c r="AC127" t="n">
        <v>7</v>
      </c>
      <c r="AD127" t="n">
        <v>31</v>
      </c>
      <c r="AE127" t="n">
        <v>31</v>
      </c>
      <c r="AF127" t="n">
        <v>12</v>
      </c>
      <c r="AG127" t="n">
        <v>12</v>
      </c>
      <c r="AH127" t="n">
        <v>8</v>
      </c>
      <c r="AI127" t="n">
        <v>8</v>
      </c>
      <c r="AJ127" t="n">
        <v>16</v>
      </c>
      <c r="AK127" t="n">
        <v>16</v>
      </c>
      <c r="AL127" t="n">
        <v>5</v>
      </c>
      <c r="AM127" t="n">
        <v>5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HYPERLINK("http://catalog.hathitrust.org/Record/000150309","HathiTrust Record")</f>
        <v/>
      </c>
      <c r="AS127">
        <f>HYPERLINK("https://creighton-primo.hosted.exlibrisgroup.com/primo-explore/search?tab=default_tab&amp;search_scope=EVERYTHING&amp;vid=01CRU&amp;lang=en_US&amp;offset=0&amp;query=any,contains,991005181799702656","Catalog Record")</f>
        <v/>
      </c>
      <c r="AT127">
        <f>HYPERLINK("http://www.worldcat.org/oclc/7946725","WorldCat Record")</f>
        <v/>
      </c>
      <c r="AU127" t="inlineStr">
        <is>
          <t>578468:eng</t>
        </is>
      </c>
      <c r="AV127" t="inlineStr">
        <is>
          <t>7946725</t>
        </is>
      </c>
      <c r="AW127" t="inlineStr">
        <is>
          <t>991005181799702656</t>
        </is>
      </c>
      <c r="AX127" t="inlineStr">
        <is>
          <t>991005181799702656</t>
        </is>
      </c>
      <c r="AY127" t="inlineStr">
        <is>
          <t>2272449600002656</t>
        </is>
      </c>
      <c r="AZ127" t="inlineStr">
        <is>
          <t>BOOK</t>
        </is>
      </c>
      <c r="BB127" t="inlineStr">
        <is>
          <t>9780803233041</t>
        </is>
      </c>
      <c r="BC127" t="inlineStr">
        <is>
          <t>32285000363449</t>
        </is>
      </c>
      <c r="BD127" t="inlineStr">
        <is>
          <t>893353749</t>
        </is>
      </c>
    </row>
    <row r="128">
      <c r="A128" t="inlineStr">
        <is>
          <t>No</t>
        </is>
      </c>
      <c r="B128" t="inlineStr">
        <is>
          <t>PS1638 .P3</t>
        </is>
      </c>
      <c r="C128" t="inlineStr">
        <is>
          <t>0                      PS 1638000P  3</t>
        </is>
      </c>
      <c r="D128" t="inlineStr">
        <is>
          <t>Emerson's angle of vision; man and nature in American experience.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Paul, Sherman.</t>
        </is>
      </c>
      <c r="L128" t="inlineStr">
        <is>
          <t>Cambridge, Harvard University Press, 1952.</t>
        </is>
      </c>
      <c r="M128" t="inlineStr">
        <is>
          <t>1952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PS </t>
        </is>
      </c>
      <c r="S128" t="n">
        <v>5</v>
      </c>
      <c r="T128" t="n">
        <v>5</v>
      </c>
      <c r="U128" t="inlineStr">
        <is>
          <t>1996-02-23</t>
        </is>
      </c>
      <c r="V128" t="inlineStr">
        <is>
          <t>1996-02-23</t>
        </is>
      </c>
      <c r="W128" t="inlineStr">
        <is>
          <t>1992-04-02</t>
        </is>
      </c>
      <c r="X128" t="inlineStr">
        <is>
          <t>1992-04-02</t>
        </is>
      </c>
      <c r="Y128" t="n">
        <v>918</v>
      </c>
      <c r="Z128" t="n">
        <v>831</v>
      </c>
      <c r="AA128" t="n">
        <v>924</v>
      </c>
      <c r="AB128" t="n">
        <v>9</v>
      </c>
      <c r="AC128" t="n">
        <v>9</v>
      </c>
      <c r="AD128" t="n">
        <v>43</v>
      </c>
      <c r="AE128" t="n">
        <v>48</v>
      </c>
      <c r="AF128" t="n">
        <v>16</v>
      </c>
      <c r="AG128" t="n">
        <v>18</v>
      </c>
      <c r="AH128" t="n">
        <v>6</v>
      </c>
      <c r="AI128" t="n">
        <v>8</v>
      </c>
      <c r="AJ128" t="n">
        <v>19</v>
      </c>
      <c r="AK128" t="n">
        <v>21</v>
      </c>
      <c r="AL128" t="n">
        <v>8</v>
      </c>
      <c r="AM128" t="n">
        <v>8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HYPERLINK("http://catalog.hathitrust.org/Record/000388370","HathiTrust Record")</f>
        <v/>
      </c>
      <c r="AS128">
        <f>HYPERLINK("https://creighton-primo.hosted.exlibrisgroup.com/primo-explore/search?tab=default_tab&amp;search_scope=EVERYTHING&amp;vid=01CRU&amp;lang=en_US&amp;offset=0&amp;query=any,contains,991002145669702656","Catalog Record")</f>
        <v/>
      </c>
      <c r="AT128">
        <f>HYPERLINK("http://www.worldcat.org/oclc/271640","WorldCat Record")</f>
        <v/>
      </c>
      <c r="AU128" t="inlineStr">
        <is>
          <t>1352476:eng</t>
        </is>
      </c>
      <c r="AV128" t="inlineStr">
        <is>
          <t>271640</t>
        </is>
      </c>
      <c r="AW128" t="inlineStr">
        <is>
          <t>991002145669702656</t>
        </is>
      </c>
      <c r="AX128" t="inlineStr">
        <is>
          <t>991002145669702656</t>
        </is>
      </c>
      <c r="AY128" t="inlineStr">
        <is>
          <t>2261857910002656</t>
        </is>
      </c>
      <c r="AZ128" t="inlineStr">
        <is>
          <t>BOOK</t>
        </is>
      </c>
      <c r="BC128" t="inlineStr">
        <is>
          <t>32285001050797</t>
        </is>
      </c>
      <c r="BD128" t="inlineStr">
        <is>
          <t>893779468</t>
        </is>
      </c>
    </row>
    <row r="129">
      <c r="A129" t="inlineStr">
        <is>
          <t>No</t>
        </is>
      </c>
      <c r="B129" t="inlineStr">
        <is>
          <t>PS1638 .P4 1969</t>
        </is>
      </c>
      <c r="C129" t="inlineStr">
        <is>
          <t>0                      PS 1638000P  4           1969</t>
        </is>
      </c>
      <c r="D129" t="inlineStr">
        <is>
          <t>Emerson today.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Perry, Bliss, 1860-1954.</t>
        </is>
      </c>
      <c r="L129" t="inlineStr">
        <is>
          <t>[Hamden, Conn.] Archon Books, 1969 [c1931]</t>
        </is>
      </c>
      <c r="M129" t="inlineStr">
        <is>
          <t>1969</t>
        </is>
      </c>
      <c r="O129" t="inlineStr">
        <is>
          <t>eng</t>
        </is>
      </c>
      <c r="P129" t="inlineStr">
        <is>
          <t>ctu</t>
        </is>
      </c>
      <c r="Q129" t="inlineStr">
        <is>
          <t>The Louis Clark Vanuxem Foundation lectures, Princeton University, 1931</t>
        </is>
      </c>
      <c r="R129" t="inlineStr">
        <is>
          <t xml:space="preserve">PS </t>
        </is>
      </c>
      <c r="S129" t="n">
        <v>2</v>
      </c>
      <c r="T129" t="n">
        <v>2</v>
      </c>
      <c r="U129" t="inlineStr">
        <is>
          <t>1998-03-03</t>
        </is>
      </c>
      <c r="V129" t="inlineStr">
        <is>
          <t>1998-03-03</t>
        </is>
      </c>
      <c r="W129" t="inlineStr">
        <is>
          <t>1997-05-13</t>
        </is>
      </c>
      <c r="X129" t="inlineStr">
        <is>
          <t>1997-05-13</t>
        </is>
      </c>
      <c r="Y129" t="n">
        <v>218</v>
      </c>
      <c r="Z129" t="n">
        <v>193</v>
      </c>
      <c r="AA129" t="n">
        <v>638</v>
      </c>
      <c r="AB129" t="n">
        <v>1</v>
      </c>
      <c r="AC129" t="n">
        <v>4</v>
      </c>
      <c r="AD129" t="n">
        <v>8</v>
      </c>
      <c r="AE129" t="n">
        <v>37</v>
      </c>
      <c r="AF129" t="n">
        <v>4</v>
      </c>
      <c r="AG129" t="n">
        <v>16</v>
      </c>
      <c r="AH129" t="n">
        <v>2</v>
      </c>
      <c r="AI129" t="n">
        <v>10</v>
      </c>
      <c r="AJ129" t="n">
        <v>4</v>
      </c>
      <c r="AK129" t="n">
        <v>16</v>
      </c>
      <c r="AL129" t="n">
        <v>0</v>
      </c>
      <c r="AM129" t="n">
        <v>3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HYPERLINK("https://creighton-primo.hosted.exlibrisgroup.com/primo-explore/search?tab=default_tab&amp;search_scope=EVERYTHING&amp;vid=01CRU&amp;lang=en_US&amp;offset=0&amp;query=any,contains,991005439049702656","Catalog Record")</f>
        <v/>
      </c>
      <c r="AT129">
        <f>HYPERLINK("http://www.worldcat.org/oclc/6293","WorldCat Record")</f>
        <v/>
      </c>
      <c r="AU129" t="inlineStr">
        <is>
          <t>1129535:eng</t>
        </is>
      </c>
      <c r="AV129" t="inlineStr">
        <is>
          <t>6293</t>
        </is>
      </c>
      <c r="AW129" t="inlineStr">
        <is>
          <t>991005439049702656</t>
        </is>
      </c>
      <c r="AX129" t="inlineStr">
        <is>
          <t>991005439049702656</t>
        </is>
      </c>
      <c r="AY129" t="inlineStr">
        <is>
          <t>2265120480002656</t>
        </is>
      </c>
      <c r="AZ129" t="inlineStr">
        <is>
          <t>BOOK</t>
        </is>
      </c>
      <c r="BB129" t="inlineStr">
        <is>
          <t>9780208007988</t>
        </is>
      </c>
      <c r="BC129" t="inlineStr">
        <is>
          <t>32285002659695</t>
        </is>
      </c>
      <c r="BD129" t="inlineStr">
        <is>
          <t>893714118</t>
        </is>
      </c>
    </row>
    <row r="130">
      <c r="A130" t="inlineStr">
        <is>
          <t>No</t>
        </is>
      </c>
      <c r="B130" t="inlineStr">
        <is>
          <t>PS1638 .Y36</t>
        </is>
      </c>
      <c r="C130" t="inlineStr">
        <is>
          <t>0                      PS 1638000Y  36</t>
        </is>
      </c>
      <c r="D130" t="inlineStr">
        <is>
          <t>Ralph Waldo Emerson / by Donald Yannella.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Yannella, Donald.</t>
        </is>
      </c>
      <c r="L130" t="inlineStr">
        <is>
          <t>Boston : Twayne Publishers, c1982.</t>
        </is>
      </c>
      <c r="M130" t="inlineStr">
        <is>
          <t>1982</t>
        </is>
      </c>
      <c r="O130" t="inlineStr">
        <is>
          <t>eng</t>
        </is>
      </c>
      <c r="P130" t="inlineStr">
        <is>
          <t>mau</t>
        </is>
      </c>
      <c r="Q130" t="inlineStr">
        <is>
          <t>Twayne's United States authors series ; TUSAS 414</t>
        </is>
      </c>
      <c r="R130" t="inlineStr">
        <is>
          <t xml:space="preserve">PS </t>
        </is>
      </c>
      <c r="S130" t="n">
        <v>4</v>
      </c>
      <c r="T130" t="n">
        <v>4</v>
      </c>
      <c r="U130" t="inlineStr">
        <is>
          <t>1999-04-16</t>
        </is>
      </c>
      <c r="V130" t="inlineStr">
        <is>
          <t>1999-04-16</t>
        </is>
      </c>
      <c r="W130" t="inlineStr">
        <is>
          <t>1990-10-29</t>
        </is>
      </c>
      <c r="X130" t="inlineStr">
        <is>
          <t>1990-10-29</t>
        </is>
      </c>
      <c r="Y130" t="n">
        <v>1566</v>
      </c>
      <c r="Z130" t="n">
        <v>1448</v>
      </c>
      <c r="AA130" t="n">
        <v>1521</v>
      </c>
      <c r="AB130" t="n">
        <v>10</v>
      </c>
      <c r="AC130" t="n">
        <v>10</v>
      </c>
      <c r="AD130" t="n">
        <v>41</v>
      </c>
      <c r="AE130" t="n">
        <v>41</v>
      </c>
      <c r="AF130" t="n">
        <v>18</v>
      </c>
      <c r="AG130" t="n">
        <v>18</v>
      </c>
      <c r="AH130" t="n">
        <v>9</v>
      </c>
      <c r="AI130" t="n">
        <v>9</v>
      </c>
      <c r="AJ130" t="n">
        <v>18</v>
      </c>
      <c r="AK130" t="n">
        <v>18</v>
      </c>
      <c r="AL130" t="n">
        <v>7</v>
      </c>
      <c r="AM130" t="n">
        <v>7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HYPERLINK("http://catalog.hathitrust.org/Record/000102300","HathiTrust Record")</f>
        <v/>
      </c>
      <c r="AS130">
        <f>HYPERLINK("https://creighton-primo.hosted.exlibrisgroup.com/primo-explore/search?tab=default_tab&amp;search_scope=EVERYTHING&amp;vid=01CRU&amp;lang=en_US&amp;offset=0&amp;query=any,contains,991005204009702656","Catalog Record")</f>
        <v/>
      </c>
      <c r="AT130">
        <f>HYPERLINK("http://www.worldcat.org/oclc/8110629","WorldCat Record")</f>
        <v/>
      </c>
      <c r="AU130" t="inlineStr">
        <is>
          <t>461686:eng</t>
        </is>
      </c>
      <c r="AV130" t="inlineStr">
        <is>
          <t>8110629</t>
        </is>
      </c>
      <c r="AW130" t="inlineStr">
        <is>
          <t>991005204009702656</t>
        </is>
      </c>
      <c r="AX130" t="inlineStr">
        <is>
          <t>991005204009702656</t>
        </is>
      </c>
      <c r="AY130" t="inlineStr">
        <is>
          <t>2255762860002656</t>
        </is>
      </c>
      <c r="AZ130" t="inlineStr">
        <is>
          <t>BOOK</t>
        </is>
      </c>
      <c r="BB130" t="inlineStr">
        <is>
          <t>9780805773446</t>
        </is>
      </c>
      <c r="BC130" t="inlineStr">
        <is>
          <t>32285000363456</t>
        </is>
      </c>
      <c r="BD130" t="inlineStr">
        <is>
          <t>893424721</t>
        </is>
      </c>
    </row>
    <row r="131">
      <c r="A131" t="inlineStr">
        <is>
          <t>No</t>
        </is>
      </c>
      <c r="B131" t="inlineStr">
        <is>
          <t>PS1642.B6 C33</t>
        </is>
      </c>
      <c r="C131" t="inlineStr">
        <is>
          <t>0                      PS 1642000B  6                  C  33</t>
        </is>
      </c>
      <c r="D131" t="inlineStr">
        <is>
          <t>Young Emerson's transcendental vision : an exposition of his world view with an analysis of the structure, backgrounds, and meaning of Nature (1836)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Cameron, Kenneth Walter, 1908-2006.</t>
        </is>
      </c>
      <c r="L131" t="inlineStr">
        <is>
          <t>Hartford : Transcendental Books, [1971]</t>
        </is>
      </c>
      <c r="M131" t="inlineStr">
        <is>
          <t>1971</t>
        </is>
      </c>
      <c r="O131" t="inlineStr">
        <is>
          <t>eng</t>
        </is>
      </c>
      <c r="P131" t="inlineStr">
        <is>
          <t>ctu</t>
        </is>
      </c>
      <c r="R131" t="inlineStr">
        <is>
          <t xml:space="preserve">PS </t>
        </is>
      </c>
      <c r="S131" t="n">
        <v>4</v>
      </c>
      <c r="T131" t="n">
        <v>4</v>
      </c>
      <c r="U131" t="inlineStr">
        <is>
          <t>1999-10-18</t>
        </is>
      </c>
      <c r="V131" t="inlineStr">
        <is>
          <t>1999-10-18</t>
        </is>
      </c>
      <c r="W131" t="inlineStr">
        <is>
          <t>1992-04-02</t>
        </is>
      </c>
      <c r="X131" t="inlineStr">
        <is>
          <t>1992-04-02</t>
        </is>
      </c>
      <c r="Y131" t="n">
        <v>362</v>
      </c>
      <c r="Z131" t="n">
        <v>338</v>
      </c>
      <c r="AA131" t="n">
        <v>339</v>
      </c>
      <c r="AB131" t="n">
        <v>5</v>
      </c>
      <c r="AC131" t="n">
        <v>5</v>
      </c>
      <c r="AD131" t="n">
        <v>17</v>
      </c>
      <c r="AE131" t="n">
        <v>17</v>
      </c>
      <c r="AF131" t="n">
        <v>6</v>
      </c>
      <c r="AG131" t="n">
        <v>6</v>
      </c>
      <c r="AH131" t="n">
        <v>4</v>
      </c>
      <c r="AI131" t="n">
        <v>4</v>
      </c>
      <c r="AJ131" t="n">
        <v>8</v>
      </c>
      <c r="AK131" t="n">
        <v>8</v>
      </c>
      <c r="AL131" t="n">
        <v>4</v>
      </c>
      <c r="AM131" t="n">
        <v>4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HYPERLINK("https://creighton-primo.hosted.exlibrisgroup.com/primo-explore/search?tab=default_tab&amp;search_scope=EVERYTHING&amp;vid=01CRU&amp;lang=en_US&amp;offset=0&amp;query=any,contains,991000804919702656","Catalog Record")</f>
        <v/>
      </c>
      <c r="AT131">
        <f>HYPERLINK("http://www.worldcat.org/oclc/140319","WorldCat Record")</f>
        <v/>
      </c>
      <c r="AU131" t="inlineStr">
        <is>
          <t>254907990:eng</t>
        </is>
      </c>
      <c r="AV131" t="inlineStr">
        <is>
          <t>140319</t>
        </is>
      </c>
      <c r="AW131" t="inlineStr">
        <is>
          <t>991000804919702656</t>
        </is>
      </c>
      <c r="AX131" t="inlineStr">
        <is>
          <t>991000804919702656</t>
        </is>
      </c>
      <c r="AY131" t="inlineStr">
        <is>
          <t>2255532850002656</t>
        </is>
      </c>
      <c r="AZ131" t="inlineStr">
        <is>
          <t>BOOK</t>
        </is>
      </c>
      <c r="BC131" t="inlineStr">
        <is>
          <t>32285001032514</t>
        </is>
      </c>
      <c r="BD131" t="inlineStr">
        <is>
          <t>893696189</t>
        </is>
      </c>
    </row>
    <row r="132">
      <c r="A132" t="inlineStr">
        <is>
          <t>No</t>
        </is>
      </c>
      <c r="B132" t="inlineStr">
        <is>
          <t>PS1642.R4 L6 1984</t>
        </is>
      </c>
      <c r="C132" t="inlineStr">
        <is>
          <t>0                      PS 1642000R  4                  L  6           1984</t>
        </is>
      </c>
      <c r="D132" t="inlineStr">
        <is>
          <t>An American idol : Emerson and the "Jewish idea" / Robert J. Loewenberg.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Loewenberg, Robert J., 1938-</t>
        </is>
      </c>
      <c r="L132" t="inlineStr">
        <is>
          <t>Lanham, MD : University Press of America, c1984.</t>
        </is>
      </c>
      <c r="M132" t="inlineStr">
        <is>
          <t>1984</t>
        </is>
      </c>
      <c r="O132" t="inlineStr">
        <is>
          <t>eng</t>
        </is>
      </c>
      <c r="P132" t="inlineStr">
        <is>
          <t>mdu</t>
        </is>
      </c>
      <c r="R132" t="inlineStr">
        <is>
          <t xml:space="preserve">PS </t>
        </is>
      </c>
      <c r="S132" t="n">
        <v>2</v>
      </c>
      <c r="T132" t="n">
        <v>2</v>
      </c>
      <c r="U132" t="inlineStr">
        <is>
          <t>1998-03-03</t>
        </is>
      </c>
      <c r="V132" t="inlineStr">
        <is>
          <t>1998-03-03</t>
        </is>
      </c>
      <c r="W132" t="inlineStr">
        <is>
          <t>1990-10-29</t>
        </is>
      </c>
      <c r="X132" t="inlineStr">
        <is>
          <t>1990-10-29</t>
        </is>
      </c>
      <c r="Y132" t="n">
        <v>273</v>
      </c>
      <c r="Z132" t="n">
        <v>225</v>
      </c>
      <c r="AA132" t="n">
        <v>228</v>
      </c>
      <c r="AB132" t="n">
        <v>2</v>
      </c>
      <c r="AC132" t="n">
        <v>2</v>
      </c>
      <c r="AD132" t="n">
        <v>9</v>
      </c>
      <c r="AE132" t="n">
        <v>10</v>
      </c>
      <c r="AF132" t="n">
        <v>1</v>
      </c>
      <c r="AG132" t="n">
        <v>2</v>
      </c>
      <c r="AH132" t="n">
        <v>4</v>
      </c>
      <c r="AI132" t="n">
        <v>4</v>
      </c>
      <c r="AJ132" t="n">
        <v>6</v>
      </c>
      <c r="AK132" t="n">
        <v>7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HYPERLINK("http://catalog.hathitrust.org/Record/000942766","HathiTrust Record")</f>
        <v/>
      </c>
      <c r="AS132">
        <f>HYPERLINK("https://creighton-primo.hosted.exlibrisgroup.com/primo-explore/search?tab=default_tab&amp;search_scope=EVERYTHING&amp;vid=01CRU&amp;lang=en_US&amp;offset=0&amp;query=any,contains,991000411609702656","Catalog Record")</f>
        <v/>
      </c>
      <c r="AT132">
        <f>HYPERLINK("http://www.worldcat.org/oclc/10711416","WorldCat Record")</f>
        <v/>
      </c>
      <c r="AU132" t="inlineStr">
        <is>
          <t>3065646:eng</t>
        </is>
      </c>
      <c r="AV132" t="inlineStr">
        <is>
          <t>10711416</t>
        </is>
      </c>
      <c r="AW132" t="inlineStr">
        <is>
          <t>991000411609702656</t>
        </is>
      </c>
      <c r="AX132" t="inlineStr">
        <is>
          <t>991000411609702656</t>
        </is>
      </c>
      <c r="AY132" t="inlineStr">
        <is>
          <t>2260193130002656</t>
        </is>
      </c>
      <c r="AZ132" t="inlineStr">
        <is>
          <t>BOOK</t>
        </is>
      </c>
      <c r="BB132" t="inlineStr">
        <is>
          <t>9780819139566</t>
        </is>
      </c>
      <c r="BC132" t="inlineStr">
        <is>
          <t>32285000363472</t>
        </is>
      </c>
      <c r="BD132" t="inlineStr">
        <is>
          <t>893255400</t>
        </is>
      </c>
    </row>
    <row r="133">
      <c r="A133" t="inlineStr">
        <is>
          <t>No</t>
        </is>
      </c>
      <c r="B133" t="inlineStr">
        <is>
          <t>PS1642.S3 B76 1997</t>
        </is>
      </c>
      <c r="C133" t="inlineStr">
        <is>
          <t>0                      PS 1642000S  3                  B  76          1997</t>
        </is>
      </c>
      <c r="D133" t="inlineStr">
        <is>
          <t>The Emerson museum : practical romanticism and the pursuit of the whole / Lee Rust Brown.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Brown, Lee Rust, 1956-</t>
        </is>
      </c>
      <c r="L133" t="inlineStr">
        <is>
          <t>Cambridge, Mass. : Harvard University Press, 1997.</t>
        </is>
      </c>
      <c r="M133" t="inlineStr">
        <is>
          <t>1997</t>
        </is>
      </c>
      <c r="O133" t="inlineStr">
        <is>
          <t>eng</t>
        </is>
      </c>
      <c r="P133" t="inlineStr">
        <is>
          <t>mau</t>
        </is>
      </c>
      <c r="R133" t="inlineStr">
        <is>
          <t xml:space="preserve">PS </t>
        </is>
      </c>
      <c r="S133" t="n">
        <v>5</v>
      </c>
      <c r="T133" t="n">
        <v>5</v>
      </c>
      <c r="U133" t="inlineStr">
        <is>
          <t>1999-10-18</t>
        </is>
      </c>
      <c r="V133" t="inlineStr">
        <is>
          <t>1999-10-18</t>
        </is>
      </c>
      <c r="W133" t="inlineStr">
        <is>
          <t>1998-05-04</t>
        </is>
      </c>
      <c r="X133" t="inlineStr">
        <is>
          <t>1998-05-04</t>
        </is>
      </c>
      <c r="Y133" t="n">
        <v>384</v>
      </c>
      <c r="Z133" t="n">
        <v>328</v>
      </c>
      <c r="AA133" t="n">
        <v>335</v>
      </c>
      <c r="AB133" t="n">
        <v>3</v>
      </c>
      <c r="AC133" t="n">
        <v>3</v>
      </c>
      <c r="AD133" t="n">
        <v>19</v>
      </c>
      <c r="AE133" t="n">
        <v>19</v>
      </c>
      <c r="AF133" t="n">
        <v>6</v>
      </c>
      <c r="AG133" t="n">
        <v>6</v>
      </c>
      <c r="AH133" t="n">
        <v>6</v>
      </c>
      <c r="AI133" t="n">
        <v>6</v>
      </c>
      <c r="AJ133" t="n">
        <v>10</v>
      </c>
      <c r="AK133" t="n">
        <v>10</v>
      </c>
      <c r="AL133" t="n">
        <v>2</v>
      </c>
      <c r="AM133" t="n">
        <v>2</v>
      </c>
      <c r="AN133" t="n">
        <v>1</v>
      </c>
      <c r="AO133" t="n">
        <v>1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HYPERLINK("http://catalog.hathitrust.org/Record/003161772","HathiTrust Record")</f>
        <v/>
      </c>
      <c r="AS133">
        <f>HYPERLINK("https://creighton-primo.hosted.exlibrisgroup.com/primo-explore/search?tab=default_tab&amp;search_scope=EVERYTHING&amp;vid=01CRU&amp;lang=en_US&amp;offset=0&amp;query=any,contains,991002718179702656","Catalog Record")</f>
        <v/>
      </c>
      <c r="AT133">
        <f>HYPERLINK("http://www.worldcat.org/oclc/35646562","WorldCat Record")</f>
        <v/>
      </c>
      <c r="AU133" t="inlineStr">
        <is>
          <t>291295840:eng</t>
        </is>
      </c>
      <c r="AV133" t="inlineStr">
        <is>
          <t>35646562</t>
        </is>
      </c>
      <c r="AW133" t="inlineStr">
        <is>
          <t>991002718179702656</t>
        </is>
      </c>
      <c r="AX133" t="inlineStr">
        <is>
          <t>991002718179702656</t>
        </is>
      </c>
      <c r="AY133" t="inlineStr">
        <is>
          <t>2259439560002656</t>
        </is>
      </c>
      <c r="AZ133" t="inlineStr">
        <is>
          <t>BOOK</t>
        </is>
      </c>
      <c r="BB133" t="inlineStr">
        <is>
          <t>9780674248830</t>
        </is>
      </c>
      <c r="BC133" t="inlineStr">
        <is>
          <t>32285003405239</t>
        </is>
      </c>
      <c r="BD133" t="inlineStr">
        <is>
          <t>893704422</t>
        </is>
      </c>
    </row>
    <row r="134">
      <c r="A134" t="inlineStr">
        <is>
          <t>No</t>
        </is>
      </c>
      <c r="B134" t="inlineStr">
        <is>
          <t>PS1642.S55 M53 1988</t>
        </is>
      </c>
      <c r="C134" t="inlineStr">
        <is>
          <t>0                      PS 1642000S  55                 M  53          1988</t>
        </is>
      </c>
      <c r="D134" t="inlineStr">
        <is>
          <t>Emerson and skepticism : the cipher of the world / John Michael.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Michael, John, 1953-</t>
        </is>
      </c>
      <c r="L134" t="inlineStr">
        <is>
          <t>Baltimore : Johns Hopkins University Press, c1988.</t>
        </is>
      </c>
      <c r="M134" t="inlineStr">
        <is>
          <t>1988</t>
        </is>
      </c>
      <c r="O134" t="inlineStr">
        <is>
          <t>eng</t>
        </is>
      </c>
      <c r="P134" t="inlineStr">
        <is>
          <t>mdu</t>
        </is>
      </c>
      <c r="R134" t="inlineStr">
        <is>
          <t xml:space="preserve">PS </t>
        </is>
      </c>
      <c r="S134" t="n">
        <v>5</v>
      </c>
      <c r="T134" t="n">
        <v>5</v>
      </c>
      <c r="U134" t="inlineStr">
        <is>
          <t>2001-04-30</t>
        </is>
      </c>
      <c r="V134" t="inlineStr">
        <is>
          <t>2001-04-30</t>
        </is>
      </c>
      <c r="W134" t="inlineStr">
        <is>
          <t>1990-11-08</t>
        </is>
      </c>
      <c r="X134" t="inlineStr">
        <is>
          <t>1990-11-08</t>
        </is>
      </c>
      <c r="Y134" t="n">
        <v>500</v>
      </c>
      <c r="Z134" t="n">
        <v>413</v>
      </c>
      <c r="AA134" t="n">
        <v>420</v>
      </c>
      <c r="AB134" t="n">
        <v>4</v>
      </c>
      <c r="AC134" t="n">
        <v>4</v>
      </c>
      <c r="AD134" t="n">
        <v>25</v>
      </c>
      <c r="AE134" t="n">
        <v>25</v>
      </c>
      <c r="AF134" t="n">
        <v>8</v>
      </c>
      <c r="AG134" t="n">
        <v>8</v>
      </c>
      <c r="AH134" t="n">
        <v>6</v>
      </c>
      <c r="AI134" t="n">
        <v>6</v>
      </c>
      <c r="AJ134" t="n">
        <v>14</v>
      </c>
      <c r="AK134" t="n">
        <v>14</v>
      </c>
      <c r="AL134" t="n">
        <v>3</v>
      </c>
      <c r="AM134" t="n">
        <v>3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HYPERLINK("http://catalog.hathitrust.org/Record/000918885","HathiTrust Record")</f>
        <v/>
      </c>
      <c r="AS134">
        <f>HYPERLINK("https://creighton-primo.hosted.exlibrisgroup.com/primo-explore/search?tab=default_tab&amp;search_scope=EVERYTHING&amp;vid=01CRU&amp;lang=en_US&amp;offset=0&amp;query=any,contains,991001164599702656","Catalog Record")</f>
        <v/>
      </c>
      <c r="AT134">
        <f>HYPERLINK("http://www.worldcat.org/oclc/16921869","WorldCat Record")</f>
        <v/>
      </c>
      <c r="AU134" t="inlineStr">
        <is>
          <t>836731511:eng</t>
        </is>
      </c>
      <c r="AV134" t="inlineStr">
        <is>
          <t>16921869</t>
        </is>
      </c>
      <c r="AW134" t="inlineStr">
        <is>
          <t>991001164599702656</t>
        </is>
      </c>
      <c r="AX134" t="inlineStr">
        <is>
          <t>991001164599702656</t>
        </is>
      </c>
      <c r="AY134" t="inlineStr">
        <is>
          <t>2272149160002656</t>
        </is>
      </c>
      <c r="AZ134" t="inlineStr">
        <is>
          <t>BOOK</t>
        </is>
      </c>
      <c r="BB134" t="inlineStr">
        <is>
          <t>9780801835971</t>
        </is>
      </c>
      <c r="BC134" t="inlineStr">
        <is>
          <t>32285000313733</t>
        </is>
      </c>
      <c r="BD134" t="inlineStr">
        <is>
          <t>893684101</t>
        </is>
      </c>
    </row>
    <row r="135">
      <c r="A135" t="inlineStr">
        <is>
          <t>No</t>
        </is>
      </c>
      <c r="B135" t="inlineStr">
        <is>
          <t>PS1644 .S3</t>
        </is>
      </c>
      <c r="C135" t="inlineStr">
        <is>
          <t>0                      PS 1644000S  3</t>
        </is>
      </c>
      <c r="D135" t="inlineStr">
        <is>
          <t>The slender human word : Emerson's artistry in prose / William J. Scheick.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Scheick, William J.</t>
        </is>
      </c>
      <c r="L135" t="inlineStr">
        <is>
          <t>Knoxville : University of Tennessee Press, c1978.</t>
        </is>
      </c>
      <c r="M135" t="inlineStr">
        <is>
          <t>1978</t>
        </is>
      </c>
      <c r="N135" t="inlineStr">
        <is>
          <t>1st ed.</t>
        </is>
      </c>
      <c r="O135" t="inlineStr">
        <is>
          <t>eng</t>
        </is>
      </c>
      <c r="P135" t="inlineStr">
        <is>
          <t>tnu</t>
        </is>
      </c>
      <c r="R135" t="inlineStr">
        <is>
          <t xml:space="preserve">PS </t>
        </is>
      </c>
      <c r="S135" t="n">
        <v>5</v>
      </c>
      <c r="T135" t="n">
        <v>5</v>
      </c>
      <c r="U135" t="inlineStr">
        <is>
          <t>1998-05-01</t>
        </is>
      </c>
      <c r="V135" t="inlineStr">
        <is>
          <t>1998-05-01</t>
        </is>
      </c>
      <c r="W135" t="inlineStr">
        <is>
          <t>1990-10-29</t>
        </is>
      </c>
      <c r="X135" t="inlineStr">
        <is>
          <t>1990-10-29</t>
        </is>
      </c>
      <c r="Y135" t="n">
        <v>701</v>
      </c>
      <c r="Z135" t="n">
        <v>632</v>
      </c>
      <c r="AA135" t="n">
        <v>637</v>
      </c>
      <c r="AB135" t="n">
        <v>7</v>
      </c>
      <c r="AC135" t="n">
        <v>7</v>
      </c>
      <c r="AD135" t="n">
        <v>39</v>
      </c>
      <c r="AE135" t="n">
        <v>39</v>
      </c>
      <c r="AF135" t="n">
        <v>13</v>
      </c>
      <c r="AG135" t="n">
        <v>13</v>
      </c>
      <c r="AH135" t="n">
        <v>10</v>
      </c>
      <c r="AI135" t="n">
        <v>10</v>
      </c>
      <c r="AJ135" t="n">
        <v>19</v>
      </c>
      <c r="AK135" t="n">
        <v>19</v>
      </c>
      <c r="AL135" t="n">
        <v>6</v>
      </c>
      <c r="AM135" t="n">
        <v>6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HYPERLINK("https://creighton-primo.hosted.exlibrisgroup.com/primo-explore/search?tab=default_tab&amp;search_scope=EVERYTHING&amp;vid=01CRU&amp;lang=en_US&amp;offset=0&amp;query=any,contains,991004459709702656","Catalog Record")</f>
        <v/>
      </c>
      <c r="AT135">
        <f>HYPERLINK("http://www.worldcat.org/oclc/3542416","WorldCat Record")</f>
        <v/>
      </c>
      <c r="AU135" t="inlineStr">
        <is>
          <t>366301046:eng</t>
        </is>
      </c>
      <c r="AV135" t="inlineStr">
        <is>
          <t>3542416</t>
        </is>
      </c>
      <c r="AW135" t="inlineStr">
        <is>
          <t>991004459709702656</t>
        </is>
      </c>
      <c r="AX135" t="inlineStr">
        <is>
          <t>991004459709702656</t>
        </is>
      </c>
      <c r="AY135" t="inlineStr">
        <is>
          <t>2264343110002656</t>
        </is>
      </c>
      <c r="AZ135" t="inlineStr">
        <is>
          <t>BOOK</t>
        </is>
      </c>
      <c r="BB135" t="inlineStr">
        <is>
          <t>9780870492228</t>
        </is>
      </c>
      <c r="BC135" t="inlineStr">
        <is>
          <t>32285000363506</t>
        </is>
      </c>
      <c r="BD135" t="inlineStr">
        <is>
          <t>893259752</t>
        </is>
      </c>
    </row>
    <row r="136">
      <c r="A136" t="inlineStr">
        <is>
          <t>No</t>
        </is>
      </c>
      <c r="B136" t="inlineStr">
        <is>
          <t>PS166 .B4</t>
        </is>
      </c>
      <c r="C136" t="inlineStr">
        <is>
          <t>0                      PS 0166000B  4</t>
        </is>
      </c>
      <c r="D136" t="inlineStr">
        <is>
          <t>From wilderness to wasteland : the trial of the Puritan God in the American imagination / Charles Berryman.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Berryman, Charles, 1939-</t>
        </is>
      </c>
      <c r="L136" t="inlineStr">
        <is>
          <t>Port Washington, N.Y. : Kennikat Press, 1979.</t>
        </is>
      </c>
      <c r="M136" t="inlineStr">
        <is>
          <t>1979</t>
        </is>
      </c>
      <c r="O136" t="inlineStr">
        <is>
          <t>eng</t>
        </is>
      </c>
      <c r="P136" t="inlineStr">
        <is>
          <t>nyu</t>
        </is>
      </c>
      <c r="Q136" t="inlineStr">
        <is>
          <t>Literary criticism series</t>
        </is>
      </c>
      <c r="R136" t="inlineStr">
        <is>
          <t xml:space="preserve">PS </t>
        </is>
      </c>
      <c r="S136" t="n">
        <v>2</v>
      </c>
      <c r="T136" t="n">
        <v>2</v>
      </c>
      <c r="U136" t="inlineStr">
        <is>
          <t>1995-02-23</t>
        </is>
      </c>
      <c r="V136" t="inlineStr">
        <is>
          <t>1995-02-23</t>
        </is>
      </c>
      <c r="W136" t="inlineStr">
        <is>
          <t>1992-08-21</t>
        </is>
      </c>
      <c r="X136" t="inlineStr">
        <is>
          <t>1992-08-21</t>
        </is>
      </c>
      <c r="Y136" t="n">
        <v>549</v>
      </c>
      <c r="Z136" t="n">
        <v>471</v>
      </c>
      <c r="AA136" t="n">
        <v>478</v>
      </c>
      <c r="AB136" t="n">
        <v>4</v>
      </c>
      <c r="AC136" t="n">
        <v>4</v>
      </c>
      <c r="AD136" t="n">
        <v>25</v>
      </c>
      <c r="AE136" t="n">
        <v>25</v>
      </c>
      <c r="AF136" t="n">
        <v>9</v>
      </c>
      <c r="AG136" t="n">
        <v>9</v>
      </c>
      <c r="AH136" t="n">
        <v>7</v>
      </c>
      <c r="AI136" t="n">
        <v>7</v>
      </c>
      <c r="AJ136" t="n">
        <v>15</v>
      </c>
      <c r="AK136" t="n">
        <v>15</v>
      </c>
      <c r="AL136" t="n">
        <v>3</v>
      </c>
      <c r="AM136" t="n">
        <v>3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HYPERLINK("http://catalog.hathitrust.org/Record/000736946","HathiTrust Record")</f>
        <v/>
      </c>
      <c r="AS136">
        <f>HYPERLINK("https://creighton-primo.hosted.exlibrisgroup.com/primo-explore/search?tab=default_tab&amp;search_scope=EVERYTHING&amp;vid=01CRU&amp;lang=en_US&amp;offset=0&amp;query=any,contains,991004700359702656","Catalog Record")</f>
        <v/>
      </c>
      <c r="AT136">
        <f>HYPERLINK("http://www.worldcat.org/oclc/4665652","WorldCat Record")</f>
        <v/>
      </c>
      <c r="AU136" t="inlineStr">
        <is>
          <t>459086:eng</t>
        </is>
      </c>
      <c r="AV136" t="inlineStr">
        <is>
          <t>4665652</t>
        </is>
      </c>
      <c r="AW136" t="inlineStr">
        <is>
          <t>991004700359702656</t>
        </is>
      </c>
      <c r="AX136" t="inlineStr">
        <is>
          <t>991004700359702656</t>
        </is>
      </c>
      <c r="AY136" t="inlineStr">
        <is>
          <t>2259480200002656</t>
        </is>
      </c>
      <c r="AZ136" t="inlineStr">
        <is>
          <t>BOOK</t>
        </is>
      </c>
      <c r="BB136" t="inlineStr">
        <is>
          <t>9780804692359</t>
        </is>
      </c>
      <c r="BC136" t="inlineStr">
        <is>
          <t>32285001249357</t>
        </is>
      </c>
      <c r="BD136" t="inlineStr">
        <is>
          <t>893442947</t>
        </is>
      </c>
    </row>
    <row r="137">
      <c r="A137" t="inlineStr">
        <is>
          <t>No</t>
        </is>
      </c>
      <c r="B137" t="inlineStr">
        <is>
          <t>PS166 .H5 1970</t>
        </is>
      </c>
      <c r="C137" t="inlineStr">
        <is>
          <t>0                      PS 0166000H  5           1970</t>
        </is>
      </c>
      <c r="D137" t="inlineStr">
        <is>
          <t>The Quaker influence in American literature, by Howard W. Hintz.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Hintz, Howard William, 1903-1964.</t>
        </is>
      </c>
      <c r="L137" t="inlineStr">
        <is>
          <t>Westport, Conn., Greenwood Press [1970, c1940]</t>
        </is>
      </c>
      <c r="M137" t="inlineStr">
        <is>
          <t>1970</t>
        </is>
      </c>
      <c r="O137" t="inlineStr">
        <is>
          <t>eng</t>
        </is>
      </c>
      <c r="P137" t="inlineStr">
        <is>
          <t>ctu</t>
        </is>
      </c>
      <c r="R137" t="inlineStr">
        <is>
          <t xml:space="preserve">PS </t>
        </is>
      </c>
      <c r="S137" t="n">
        <v>3</v>
      </c>
      <c r="T137" t="n">
        <v>3</v>
      </c>
      <c r="U137" t="inlineStr">
        <is>
          <t>2001-04-30</t>
        </is>
      </c>
      <c r="V137" t="inlineStr">
        <is>
          <t>2001-04-30</t>
        </is>
      </c>
      <c r="W137" t="inlineStr">
        <is>
          <t>1997-04-29</t>
        </is>
      </c>
      <c r="X137" t="inlineStr">
        <is>
          <t>1997-04-29</t>
        </is>
      </c>
      <c r="Y137" t="n">
        <v>288</v>
      </c>
      <c r="Z137" t="n">
        <v>249</v>
      </c>
      <c r="AA137" t="n">
        <v>784</v>
      </c>
      <c r="AB137" t="n">
        <v>3</v>
      </c>
      <c r="AC137" t="n">
        <v>6</v>
      </c>
      <c r="AD137" t="n">
        <v>13</v>
      </c>
      <c r="AE137" t="n">
        <v>31</v>
      </c>
      <c r="AF137" t="n">
        <v>4</v>
      </c>
      <c r="AG137" t="n">
        <v>9</v>
      </c>
      <c r="AH137" t="n">
        <v>5</v>
      </c>
      <c r="AI137" t="n">
        <v>8</v>
      </c>
      <c r="AJ137" t="n">
        <v>7</v>
      </c>
      <c r="AK137" t="n">
        <v>16</v>
      </c>
      <c r="AL137" t="n">
        <v>2</v>
      </c>
      <c r="AM137" t="n">
        <v>5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HYPERLINK("http://catalog.hathitrust.org/Record/004427460","HathiTrust Record")</f>
        <v/>
      </c>
      <c r="AS137">
        <f>HYPERLINK("https://creighton-primo.hosted.exlibrisgroup.com/primo-explore/search?tab=default_tab&amp;search_scope=EVERYTHING&amp;vid=01CRU&amp;lang=en_US&amp;offset=0&amp;query=any,contains,991000678979702656","Catalog Record")</f>
        <v/>
      </c>
      <c r="AT137">
        <f>HYPERLINK("http://www.worldcat.org/oclc/120902","WorldCat Record")</f>
        <v/>
      </c>
      <c r="AU137" t="inlineStr">
        <is>
          <t>499958:eng</t>
        </is>
      </c>
      <c r="AV137" t="inlineStr">
        <is>
          <t>120902</t>
        </is>
      </c>
      <c r="AW137" t="inlineStr">
        <is>
          <t>991000678979702656</t>
        </is>
      </c>
      <c r="AX137" t="inlineStr">
        <is>
          <t>991000678979702656</t>
        </is>
      </c>
      <c r="AY137" t="inlineStr">
        <is>
          <t>2261871280002656</t>
        </is>
      </c>
      <c r="AZ137" t="inlineStr">
        <is>
          <t>BOOK</t>
        </is>
      </c>
      <c r="BB137" t="inlineStr">
        <is>
          <t>9780837139456</t>
        </is>
      </c>
      <c r="BC137" t="inlineStr">
        <is>
          <t>32285002594926</t>
        </is>
      </c>
      <c r="BD137" t="inlineStr">
        <is>
          <t>893321247</t>
        </is>
      </c>
    </row>
    <row r="138">
      <c r="A138" t="inlineStr">
        <is>
          <t>No</t>
        </is>
      </c>
      <c r="B138" t="inlineStr">
        <is>
          <t>PS166 .P8</t>
        </is>
      </c>
      <c r="C138" t="inlineStr">
        <is>
          <t>0                      PS 0166000P  8</t>
        </is>
      </c>
      <c r="D138" t="inlineStr">
        <is>
          <t>Puritan influences in American literature / edited by Emory Elliott.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Urbana : University of Illinois Press, c1979.</t>
        </is>
      </c>
      <c r="M138" t="inlineStr">
        <is>
          <t>1979</t>
        </is>
      </c>
      <c r="O138" t="inlineStr">
        <is>
          <t>eng</t>
        </is>
      </c>
      <c r="P138" t="inlineStr">
        <is>
          <t>ilu</t>
        </is>
      </c>
      <c r="Q138" t="inlineStr">
        <is>
          <t>Illinois studies in language and literature ; 65</t>
        </is>
      </c>
      <c r="R138" t="inlineStr">
        <is>
          <t xml:space="preserve">PS </t>
        </is>
      </c>
      <c r="S138" t="n">
        <v>3</v>
      </c>
      <c r="T138" t="n">
        <v>3</v>
      </c>
      <c r="U138" t="inlineStr">
        <is>
          <t>1996-06-27</t>
        </is>
      </c>
      <c r="V138" t="inlineStr">
        <is>
          <t>1996-06-27</t>
        </is>
      </c>
      <c r="W138" t="inlineStr">
        <is>
          <t>1992-08-21</t>
        </is>
      </c>
      <c r="X138" t="inlineStr">
        <is>
          <t>1992-08-21</t>
        </is>
      </c>
      <c r="Y138" t="n">
        <v>830</v>
      </c>
      <c r="Z138" t="n">
        <v>686</v>
      </c>
      <c r="AA138" t="n">
        <v>700</v>
      </c>
      <c r="AB138" t="n">
        <v>9</v>
      </c>
      <c r="AC138" t="n">
        <v>9</v>
      </c>
      <c r="AD138" t="n">
        <v>36</v>
      </c>
      <c r="AE138" t="n">
        <v>36</v>
      </c>
      <c r="AF138" t="n">
        <v>12</v>
      </c>
      <c r="AG138" t="n">
        <v>12</v>
      </c>
      <c r="AH138" t="n">
        <v>9</v>
      </c>
      <c r="AI138" t="n">
        <v>9</v>
      </c>
      <c r="AJ138" t="n">
        <v>15</v>
      </c>
      <c r="AK138" t="n">
        <v>15</v>
      </c>
      <c r="AL138" t="n">
        <v>8</v>
      </c>
      <c r="AM138" t="n">
        <v>8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HYPERLINK("http://catalog.hathitrust.org/Record/000299528","HathiTrust Record")</f>
        <v/>
      </c>
      <c r="AS138">
        <f>HYPERLINK("https://creighton-primo.hosted.exlibrisgroup.com/primo-explore/search?tab=default_tab&amp;search_scope=EVERYTHING&amp;vid=01CRU&amp;lang=en_US&amp;offset=0&amp;query=any,contains,991004737119702656","Catalog Record")</f>
        <v/>
      </c>
      <c r="AT138">
        <f>HYPERLINK("http://www.worldcat.org/oclc/4858047","WorldCat Record")</f>
        <v/>
      </c>
      <c r="AU138" t="inlineStr">
        <is>
          <t>762104410:eng</t>
        </is>
      </c>
      <c r="AV138" t="inlineStr">
        <is>
          <t>4858047</t>
        </is>
      </c>
      <c r="AW138" t="inlineStr">
        <is>
          <t>991004737119702656</t>
        </is>
      </c>
      <c r="AX138" t="inlineStr">
        <is>
          <t>991004737119702656</t>
        </is>
      </c>
      <c r="AY138" t="inlineStr">
        <is>
          <t>2265206500002656</t>
        </is>
      </c>
      <c r="AZ138" t="inlineStr">
        <is>
          <t>BOOK</t>
        </is>
      </c>
      <c r="BB138" t="inlineStr">
        <is>
          <t>9780252007330</t>
        </is>
      </c>
      <c r="BC138" t="inlineStr">
        <is>
          <t>32285001249373</t>
        </is>
      </c>
      <c r="BD138" t="inlineStr">
        <is>
          <t>893706775</t>
        </is>
      </c>
    </row>
    <row r="139">
      <c r="A139" t="inlineStr">
        <is>
          <t>No</t>
        </is>
      </c>
      <c r="B139" t="inlineStr">
        <is>
          <t>PS1668 .T5 1974</t>
        </is>
      </c>
      <c r="C139" t="inlineStr">
        <is>
          <t>0                      PS 1668000T  5           1974</t>
        </is>
      </c>
      <c r="D139" t="inlineStr">
        <is>
          <t>Eugene Field: a study in heredity and contradictions.</t>
        </is>
      </c>
      <c r="E139" t="inlineStr">
        <is>
          <t>V.1</t>
        </is>
      </c>
      <c r="F139" t="inlineStr">
        <is>
          <t>Yes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Thompson, Slason, 1849-1935.</t>
        </is>
      </c>
      <c r="L139" t="inlineStr">
        <is>
          <t>New York, Beekman Publishers, 1974.</t>
        </is>
      </c>
      <c r="M139" t="inlineStr">
        <is>
          <t>1974</t>
        </is>
      </c>
      <c r="O139" t="inlineStr">
        <is>
          <t>eng</t>
        </is>
      </c>
      <c r="P139" t="inlineStr">
        <is>
          <t>nyu</t>
        </is>
      </c>
      <c r="Q139" t="inlineStr">
        <is>
          <t>American newspapermen, 1790-1933</t>
        </is>
      </c>
      <c r="R139" t="inlineStr">
        <is>
          <t xml:space="preserve">PS </t>
        </is>
      </c>
      <c r="S139" t="n">
        <v>1</v>
      </c>
      <c r="T139" t="n">
        <v>2</v>
      </c>
      <c r="U139" t="inlineStr">
        <is>
          <t>1998-03-25</t>
        </is>
      </c>
      <c r="V139" t="inlineStr">
        <is>
          <t>1998-03-25</t>
        </is>
      </c>
      <c r="W139" t="inlineStr">
        <is>
          <t>1997-05-13</t>
        </is>
      </c>
      <c r="X139" t="inlineStr">
        <is>
          <t>1997-05-13</t>
        </is>
      </c>
      <c r="Y139" t="n">
        <v>51</v>
      </c>
      <c r="Z139" t="n">
        <v>49</v>
      </c>
      <c r="AA139" t="n">
        <v>434</v>
      </c>
      <c r="AB139" t="n">
        <v>1</v>
      </c>
      <c r="AC139" t="n">
        <v>6</v>
      </c>
      <c r="AD139" t="n">
        <v>2</v>
      </c>
      <c r="AE139" t="n">
        <v>28</v>
      </c>
      <c r="AF139" t="n">
        <v>1</v>
      </c>
      <c r="AG139" t="n">
        <v>9</v>
      </c>
      <c r="AH139" t="n">
        <v>0</v>
      </c>
      <c r="AI139" t="n">
        <v>6</v>
      </c>
      <c r="AJ139" t="n">
        <v>1</v>
      </c>
      <c r="AK139" t="n">
        <v>13</v>
      </c>
      <c r="AL139" t="n">
        <v>0</v>
      </c>
      <c r="AM139" t="n">
        <v>5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HYPERLINK("http://catalog.hathitrust.org/Record/011594133","HathiTrust Record")</f>
        <v/>
      </c>
      <c r="AS139">
        <f>HYPERLINK("https://creighton-primo.hosted.exlibrisgroup.com/primo-explore/search?tab=default_tab&amp;search_scope=EVERYTHING&amp;vid=01CRU&amp;lang=en_US&amp;offset=0&amp;query=any,contains,991003278179702656","Catalog Record")</f>
        <v/>
      </c>
      <c r="AT139">
        <f>HYPERLINK("http://www.worldcat.org/oclc/801583","WorldCat Record")</f>
        <v/>
      </c>
      <c r="AU139" t="inlineStr">
        <is>
          <t>3943464760:eng</t>
        </is>
      </c>
      <c r="AV139" t="inlineStr">
        <is>
          <t>801583</t>
        </is>
      </c>
      <c r="AW139" t="inlineStr">
        <is>
          <t>991003278179702656</t>
        </is>
      </c>
      <c r="AX139" t="inlineStr">
        <is>
          <t>991003278179702656</t>
        </is>
      </c>
      <c r="AY139" t="inlineStr">
        <is>
          <t>2270211250002656</t>
        </is>
      </c>
      <c r="AZ139" t="inlineStr">
        <is>
          <t>BOOK</t>
        </is>
      </c>
      <c r="BB139" t="inlineStr">
        <is>
          <t>9780846400059</t>
        </is>
      </c>
      <c r="BC139" t="inlineStr">
        <is>
          <t>32285002639473</t>
        </is>
      </c>
      <c r="BD139" t="inlineStr">
        <is>
          <t>893422383</t>
        </is>
      </c>
    </row>
    <row r="140">
      <c r="A140" t="inlineStr">
        <is>
          <t>No</t>
        </is>
      </c>
      <c r="B140" t="inlineStr">
        <is>
          <t>PS1668 .T5 1974</t>
        </is>
      </c>
      <c r="C140" t="inlineStr">
        <is>
          <t>0                      PS 1668000T  5           1974</t>
        </is>
      </c>
      <c r="D140" t="inlineStr">
        <is>
          <t>Eugene Field: a study in heredity and contradictions.</t>
        </is>
      </c>
      <c r="E140" t="inlineStr">
        <is>
          <t>V.2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Thompson, Slason, 1849-1935.</t>
        </is>
      </c>
      <c r="L140" t="inlineStr">
        <is>
          <t>New York, Beekman Publishers, 1974.</t>
        </is>
      </c>
      <c r="M140" t="inlineStr">
        <is>
          <t>1974</t>
        </is>
      </c>
      <c r="O140" t="inlineStr">
        <is>
          <t>eng</t>
        </is>
      </c>
      <c r="P140" t="inlineStr">
        <is>
          <t>nyu</t>
        </is>
      </c>
      <c r="Q140" t="inlineStr">
        <is>
          <t>American newspapermen, 1790-1933</t>
        </is>
      </c>
      <c r="R140" t="inlineStr">
        <is>
          <t xml:space="preserve">PS </t>
        </is>
      </c>
      <c r="S140" t="n">
        <v>1</v>
      </c>
      <c r="T140" t="n">
        <v>2</v>
      </c>
      <c r="U140" t="inlineStr">
        <is>
          <t>1998-03-25</t>
        </is>
      </c>
      <c r="V140" t="inlineStr">
        <is>
          <t>1998-03-25</t>
        </is>
      </c>
      <c r="W140" t="inlineStr">
        <is>
          <t>1997-05-13</t>
        </is>
      </c>
      <c r="X140" t="inlineStr">
        <is>
          <t>1997-05-13</t>
        </is>
      </c>
      <c r="Y140" t="n">
        <v>51</v>
      </c>
      <c r="Z140" t="n">
        <v>49</v>
      </c>
      <c r="AA140" t="n">
        <v>434</v>
      </c>
      <c r="AB140" t="n">
        <v>1</v>
      </c>
      <c r="AC140" t="n">
        <v>6</v>
      </c>
      <c r="AD140" t="n">
        <v>2</v>
      </c>
      <c r="AE140" t="n">
        <v>28</v>
      </c>
      <c r="AF140" t="n">
        <v>1</v>
      </c>
      <c r="AG140" t="n">
        <v>9</v>
      </c>
      <c r="AH140" t="n">
        <v>0</v>
      </c>
      <c r="AI140" t="n">
        <v>6</v>
      </c>
      <c r="AJ140" t="n">
        <v>1</v>
      </c>
      <c r="AK140" t="n">
        <v>13</v>
      </c>
      <c r="AL140" t="n">
        <v>0</v>
      </c>
      <c r="AM140" t="n">
        <v>5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HYPERLINK("http://catalog.hathitrust.org/Record/011594133","HathiTrust Record")</f>
        <v/>
      </c>
      <c r="AS140">
        <f>HYPERLINK("https://creighton-primo.hosted.exlibrisgroup.com/primo-explore/search?tab=default_tab&amp;search_scope=EVERYTHING&amp;vid=01CRU&amp;lang=en_US&amp;offset=0&amp;query=any,contains,991003278179702656","Catalog Record")</f>
        <v/>
      </c>
      <c r="AT140">
        <f>HYPERLINK("http://www.worldcat.org/oclc/801583","WorldCat Record")</f>
        <v/>
      </c>
      <c r="AU140" t="inlineStr">
        <is>
          <t>3943464760:eng</t>
        </is>
      </c>
      <c r="AV140" t="inlineStr">
        <is>
          <t>801583</t>
        </is>
      </c>
      <c r="AW140" t="inlineStr">
        <is>
          <t>991003278179702656</t>
        </is>
      </c>
      <c r="AX140" t="inlineStr">
        <is>
          <t>991003278179702656</t>
        </is>
      </c>
      <c r="AY140" t="inlineStr">
        <is>
          <t>2270211250002656</t>
        </is>
      </c>
      <c r="AZ140" t="inlineStr">
        <is>
          <t>BOOK</t>
        </is>
      </c>
      <c r="BB140" t="inlineStr">
        <is>
          <t>9780846400059</t>
        </is>
      </c>
      <c r="BC140" t="inlineStr">
        <is>
          <t>32285002639481</t>
        </is>
      </c>
      <c r="BD140" t="inlineStr">
        <is>
          <t>893445593</t>
        </is>
      </c>
    </row>
    <row r="141">
      <c r="A141" t="inlineStr">
        <is>
          <t>No</t>
        </is>
      </c>
      <c r="B141" t="inlineStr">
        <is>
          <t>PS1688 .J6</t>
        </is>
      </c>
      <c r="C141" t="inlineStr">
        <is>
          <t>0                      PS 1688000J  6</t>
        </is>
      </c>
      <c r="D141" t="inlineStr">
        <is>
          <t>Mary Hallock Foote / by Lee Ann Johnson.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Johnson, Lee Ann.</t>
        </is>
      </c>
      <c r="L141" t="inlineStr">
        <is>
          <t>Boston : Twayne, 1980.</t>
        </is>
      </c>
      <c r="M141" t="inlineStr">
        <is>
          <t>1980</t>
        </is>
      </c>
      <c r="O141" t="inlineStr">
        <is>
          <t>eng</t>
        </is>
      </c>
      <c r="P141" t="inlineStr">
        <is>
          <t>mau</t>
        </is>
      </c>
      <c r="Q141" t="inlineStr">
        <is>
          <t>Twayne's United States authors series ; TUSAS 369</t>
        </is>
      </c>
      <c r="R141" t="inlineStr">
        <is>
          <t xml:space="preserve">PS </t>
        </is>
      </c>
      <c r="S141" t="n">
        <v>2</v>
      </c>
      <c r="T141" t="n">
        <v>2</v>
      </c>
      <c r="U141" t="inlineStr">
        <is>
          <t>2005-09-12</t>
        </is>
      </c>
      <c r="V141" t="inlineStr">
        <is>
          <t>2005-09-12</t>
        </is>
      </c>
      <c r="W141" t="inlineStr">
        <is>
          <t>1990-10-29</t>
        </is>
      </c>
      <c r="X141" t="inlineStr">
        <is>
          <t>1990-10-29</t>
        </is>
      </c>
      <c r="Y141" t="n">
        <v>536</v>
      </c>
      <c r="Z141" t="n">
        <v>478</v>
      </c>
      <c r="AA141" t="n">
        <v>480</v>
      </c>
      <c r="AB141" t="n">
        <v>4</v>
      </c>
      <c r="AC141" t="n">
        <v>4</v>
      </c>
      <c r="AD141" t="n">
        <v>24</v>
      </c>
      <c r="AE141" t="n">
        <v>24</v>
      </c>
      <c r="AF141" t="n">
        <v>8</v>
      </c>
      <c r="AG141" t="n">
        <v>8</v>
      </c>
      <c r="AH141" t="n">
        <v>5</v>
      </c>
      <c r="AI141" t="n">
        <v>5</v>
      </c>
      <c r="AJ141" t="n">
        <v>15</v>
      </c>
      <c r="AK141" t="n">
        <v>15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HYPERLINK("http://catalog.hathitrust.org/Record/000696432","HathiTrust Record")</f>
        <v/>
      </c>
      <c r="AS141">
        <f>HYPERLINK("https://creighton-primo.hosted.exlibrisgroup.com/primo-explore/search?tab=default_tab&amp;search_scope=EVERYTHING&amp;vid=01CRU&amp;lang=en_US&amp;offset=0&amp;query=any,contains,991004861719702656","Catalog Record")</f>
        <v/>
      </c>
      <c r="AT141">
        <f>HYPERLINK("http://www.worldcat.org/oclc/5706877","WorldCat Record")</f>
        <v/>
      </c>
      <c r="AU141" t="inlineStr">
        <is>
          <t>19544409:eng</t>
        </is>
      </c>
      <c r="AV141" t="inlineStr">
        <is>
          <t>5706877</t>
        </is>
      </c>
      <c r="AW141" t="inlineStr">
        <is>
          <t>991004861719702656</t>
        </is>
      </c>
      <c r="AX141" t="inlineStr">
        <is>
          <t>991004861719702656</t>
        </is>
      </c>
      <c r="AY141" t="inlineStr">
        <is>
          <t>2261261360002656</t>
        </is>
      </c>
      <c r="AZ141" t="inlineStr">
        <is>
          <t>BOOK</t>
        </is>
      </c>
      <c r="BB141" t="inlineStr">
        <is>
          <t>9780805772319</t>
        </is>
      </c>
      <c r="BC141" t="inlineStr">
        <is>
          <t>32285000363514</t>
        </is>
      </c>
      <c r="BD141" t="inlineStr">
        <is>
          <t>893236003</t>
        </is>
      </c>
    </row>
    <row r="142">
      <c r="A142" t="inlineStr">
        <is>
          <t>No</t>
        </is>
      </c>
      <c r="B142" t="inlineStr">
        <is>
          <t>PS169.A54 A44 1983</t>
        </is>
      </c>
      <c r="C142" t="inlineStr">
        <is>
          <t>0                      PS 0169000A  54                 A  44          1983</t>
        </is>
      </c>
      <c r="D142" t="inlineStr">
        <is>
          <t>Animals in American literature / Mary Allen.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Allen, Mary, 1939-</t>
        </is>
      </c>
      <c r="L142" t="inlineStr">
        <is>
          <t>Urbana : University of Illinois Press, c1983.</t>
        </is>
      </c>
      <c r="M142" t="inlineStr">
        <is>
          <t>1983</t>
        </is>
      </c>
      <c r="O142" t="inlineStr">
        <is>
          <t>eng</t>
        </is>
      </c>
      <c r="P142" t="inlineStr">
        <is>
          <t>ilu</t>
        </is>
      </c>
      <c r="R142" t="inlineStr">
        <is>
          <t xml:space="preserve">PS </t>
        </is>
      </c>
      <c r="S142" t="n">
        <v>2</v>
      </c>
      <c r="T142" t="n">
        <v>2</v>
      </c>
      <c r="U142" t="inlineStr">
        <is>
          <t>2003-11-30</t>
        </is>
      </c>
      <c r="V142" t="inlineStr">
        <is>
          <t>2003-11-30</t>
        </is>
      </c>
      <c r="W142" t="inlineStr">
        <is>
          <t>1992-08-21</t>
        </is>
      </c>
      <c r="X142" t="inlineStr">
        <is>
          <t>1992-08-21</t>
        </is>
      </c>
      <c r="Y142" t="n">
        <v>850</v>
      </c>
      <c r="Z142" t="n">
        <v>747</v>
      </c>
      <c r="AA142" t="n">
        <v>750</v>
      </c>
      <c r="AB142" t="n">
        <v>6</v>
      </c>
      <c r="AC142" t="n">
        <v>6</v>
      </c>
      <c r="AD142" t="n">
        <v>32</v>
      </c>
      <c r="AE142" t="n">
        <v>32</v>
      </c>
      <c r="AF142" t="n">
        <v>13</v>
      </c>
      <c r="AG142" t="n">
        <v>13</v>
      </c>
      <c r="AH142" t="n">
        <v>8</v>
      </c>
      <c r="AI142" t="n">
        <v>8</v>
      </c>
      <c r="AJ142" t="n">
        <v>12</v>
      </c>
      <c r="AK142" t="n">
        <v>12</v>
      </c>
      <c r="AL142" t="n">
        <v>5</v>
      </c>
      <c r="AM142" t="n">
        <v>5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HYPERLINK("http://catalog.hathitrust.org/Record/000112539","HathiTrust Record")</f>
        <v/>
      </c>
      <c r="AS142">
        <f>HYPERLINK("https://creighton-primo.hosted.exlibrisgroup.com/primo-explore/search?tab=default_tab&amp;search_scope=EVERYTHING&amp;vid=01CRU&amp;lang=en_US&amp;offset=0&amp;query=any,contains,991000079309702656","Catalog Record")</f>
        <v/>
      </c>
      <c r="AT142">
        <f>HYPERLINK("http://www.worldcat.org/oclc/8826679","WorldCat Record")</f>
        <v/>
      </c>
      <c r="AU142" t="inlineStr">
        <is>
          <t>138439251:eng</t>
        </is>
      </c>
      <c r="AV142" t="inlineStr">
        <is>
          <t>8826679</t>
        </is>
      </c>
      <c r="AW142" t="inlineStr">
        <is>
          <t>991000079309702656</t>
        </is>
      </c>
      <c r="AX142" t="inlineStr">
        <is>
          <t>991000079309702656</t>
        </is>
      </c>
      <c r="AY142" t="inlineStr">
        <is>
          <t>2265247080002656</t>
        </is>
      </c>
      <c r="AZ142" t="inlineStr">
        <is>
          <t>BOOK</t>
        </is>
      </c>
      <c r="BB142" t="inlineStr">
        <is>
          <t>9780252009754</t>
        </is>
      </c>
      <c r="BC142" t="inlineStr">
        <is>
          <t>32285001249399</t>
        </is>
      </c>
      <c r="BD142" t="inlineStr">
        <is>
          <t>893431662</t>
        </is>
      </c>
    </row>
    <row r="143">
      <c r="A143" t="inlineStr">
        <is>
          <t>No</t>
        </is>
      </c>
      <c r="B143" t="inlineStr">
        <is>
          <t>PS169.A95 A5</t>
        </is>
      </c>
      <c r="C143" t="inlineStr">
        <is>
          <t>0                      PS 0169000A  95                 A  5</t>
        </is>
      </c>
      <c r="D143" t="inlineStr">
        <is>
          <t>The American autobiography : a collection of critical essays / edited by Albert E. Stone.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Englewood Cliffs, N.J. : Prentice-Hall, c1981.</t>
        </is>
      </c>
      <c r="M143" t="inlineStr">
        <is>
          <t>1981</t>
        </is>
      </c>
      <c r="O143" t="inlineStr">
        <is>
          <t>eng</t>
        </is>
      </c>
      <c r="P143" t="inlineStr">
        <is>
          <t>nju</t>
        </is>
      </c>
      <c r="Q143" t="inlineStr">
        <is>
          <t>A Spectrum book</t>
        </is>
      </c>
      <c r="R143" t="inlineStr">
        <is>
          <t xml:space="preserve">PS </t>
        </is>
      </c>
      <c r="S143" t="n">
        <v>3</v>
      </c>
      <c r="T143" t="n">
        <v>3</v>
      </c>
      <c r="U143" t="inlineStr">
        <is>
          <t>1996-03-04</t>
        </is>
      </c>
      <c r="V143" t="inlineStr">
        <is>
          <t>1996-03-04</t>
        </is>
      </c>
      <c r="W143" t="inlineStr">
        <is>
          <t>1992-08-21</t>
        </is>
      </c>
      <c r="X143" t="inlineStr">
        <is>
          <t>1992-08-21</t>
        </is>
      </c>
      <c r="Y143" t="n">
        <v>919</v>
      </c>
      <c r="Z143" t="n">
        <v>815</v>
      </c>
      <c r="AA143" t="n">
        <v>823</v>
      </c>
      <c r="AB143" t="n">
        <v>5</v>
      </c>
      <c r="AC143" t="n">
        <v>5</v>
      </c>
      <c r="AD143" t="n">
        <v>36</v>
      </c>
      <c r="AE143" t="n">
        <v>36</v>
      </c>
      <c r="AF143" t="n">
        <v>20</v>
      </c>
      <c r="AG143" t="n">
        <v>20</v>
      </c>
      <c r="AH143" t="n">
        <v>7</v>
      </c>
      <c r="AI143" t="n">
        <v>7</v>
      </c>
      <c r="AJ143" t="n">
        <v>16</v>
      </c>
      <c r="AK143" t="n">
        <v>16</v>
      </c>
      <c r="AL143" t="n">
        <v>4</v>
      </c>
      <c r="AM143" t="n">
        <v>4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HYPERLINK("http://catalog.hathitrust.org/Record/000186434","HathiTrust Record")</f>
        <v/>
      </c>
      <c r="AS143">
        <f>HYPERLINK("https://creighton-primo.hosted.exlibrisgroup.com/primo-explore/search?tab=default_tab&amp;search_scope=EVERYTHING&amp;vid=01CRU&amp;lang=en_US&amp;offset=0&amp;query=any,contains,991005131889702656","Catalog Record")</f>
        <v/>
      </c>
      <c r="AT143">
        <f>HYPERLINK("http://www.worldcat.org/oclc/7573201","WorldCat Record")</f>
        <v/>
      </c>
      <c r="AU143" t="inlineStr">
        <is>
          <t>889567418:eng</t>
        </is>
      </c>
      <c r="AV143" t="inlineStr">
        <is>
          <t>7573201</t>
        </is>
      </c>
      <c r="AW143" t="inlineStr">
        <is>
          <t>991005131889702656</t>
        </is>
      </c>
      <c r="AX143" t="inlineStr">
        <is>
          <t>991005131889702656</t>
        </is>
      </c>
      <c r="AY143" t="inlineStr">
        <is>
          <t>2271514380002656</t>
        </is>
      </c>
      <c r="AZ143" t="inlineStr">
        <is>
          <t>BOOK</t>
        </is>
      </c>
      <c r="BB143" t="inlineStr">
        <is>
          <t>9780130246202</t>
        </is>
      </c>
      <c r="BC143" t="inlineStr">
        <is>
          <t>32285001249407</t>
        </is>
      </c>
      <c r="BD143" t="inlineStr">
        <is>
          <t>893694798</t>
        </is>
      </c>
    </row>
    <row r="144">
      <c r="A144" t="inlineStr">
        <is>
          <t>No</t>
        </is>
      </c>
      <c r="B144" t="inlineStr">
        <is>
          <t>PS169.C57 A44 1988</t>
        </is>
      </c>
      <c r="C144" t="inlineStr">
        <is>
          <t>0                      PS 0169000C  57                 A  44          1988</t>
        </is>
      </c>
      <c r="D144" t="inlineStr">
        <is>
          <t>The American city : literary and cultural perspectives / edited by Graham Clarke.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L144" t="inlineStr">
        <is>
          <t>London : Vision Press ; New York : St. Martin's Press, 1988.</t>
        </is>
      </c>
      <c r="M144" t="inlineStr">
        <is>
          <t>1988</t>
        </is>
      </c>
      <c r="O144" t="inlineStr">
        <is>
          <t>eng</t>
        </is>
      </c>
      <c r="P144" t="inlineStr">
        <is>
          <t>enk</t>
        </is>
      </c>
      <c r="Q144" t="inlineStr">
        <is>
          <t>Critical studies series</t>
        </is>
      </c>
      <c r="R144" t="inlineStr">
        <is>
          <t xml:space="preserve">PS </t>
        </is>
      </c>
      <c r="S144" t="n">
        <v>3</v>
      </c>
      <c r="T144" t="n">
        <v>3</v>
      </c>
      <c r="U144" t="inlineStr">
        <is>
          <t>1998-02-16</t>
        </is>
      </c>
      <c r="V144" t="inlineStr">
        <is>
          <t>1998-02-16</t>
        </is>
      </c>
      <c r="W144" t="inlineStr">
        <is>
          <t>1991-01-22</t>
        </is>
      </c>
      <c r="X144" t="inlineStr">
        <is>
          <t>1991-01-22</t>
        </is>
      </c>
      <c r="Y144" t="n">
        <v>301</v>
      </c>
      <c r="Z144" t="n">
        <v>215</v>
      </c>
      <c r="AA144" t="n">
        <v>224</v>
      </c>
      <c r="AB144" t="n">
        <v>2</v>
      </c>
      <c r="AC144" t="n">
        <v>2</v>
      </c>
      <c r="AD144" t="n">
        <v>12</v>
      </c>
      <c r="AE144" t="n">
        <v>12</v>
      </c>
      <c r="AF144" t="n">
        <v>2</v>
      </c>
      <c r="AG144" t="n">
        <v>2</v>
      </c>
      <c r="AH144" t="n">
        <v>4</v>
      </c>
      <c r="AI144" t="n">
        <v>4</v>
      </c>
      <c r="AJ144" t="n">
        <v>8</v>
      </c>
      <c r="AK144" t="n">
        <v>8</v>
      </c>
      <c r="AL144" t="n">
        <v>1</v>
      </c>
      <c r="AM144" t="n">
        <v>1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HYPERLINK("https://creighton-primo.hosted.exlibrisgroup.com/primo-explore/search?tab=default_tab&amp;search_scope=EVERYTHING&amp;vid=01CRU&amp;lang=en_US&amp;offset=0&amp;query=any,contains,991001298309702656","Catalog Record")</f>
        <v/>
      </c>
      <c r="AT144">
        <f>HYPERLINK("http://www.worldcat.org/oclc/18051587","WorldCat Record")</f>
        <v/>
      </c>
      <c r="AU144" t="inlineStr">
        <is>
          <t>836703280:eng</t>
        </is>
      </c>
      <c r="AV144" t="inlineStr">
        <is>
          <t>18051587</t>
        </is>
      </c>
      <c r="AW144" t="inlineStr">
        <is>
          <t>991001298309702656</t>
        </is>
      </c>
      <c r="AX144" t="inlineStr">
        <is>
          <t>991001298309702656</t>
        </is>
      </c>
      <c r="AY144" t="inlineStr">
        <is>
          <t>2268094570002656</t>
        </is>
      </c>
      <c r="AZ144" t="inlineStr">
        <is>
          <t>BOOK</t>
        </is>
      </c>
      <c r="BB144" t="inlineStr">
        <is>
          <t>9780312024208</t>
        </is>
      </c>
      <c r="BC144" t="inlineStr">
        <is>
          <t>32285000409747</t>
        </is>
      </c>
      <c r="BD144" t="inlineStr">
        <is>
          <t>893522480</t>
        </is>
      </c>
    </row>
    <row r="145">
      <c r="A145" t="inlineStr">
        <is>
          <t>No</t>
        </is>
      </c>
      <c r="B145" t="inlineStr">
        <is>
          <t>PS169.F68 W4</t>
        </is>
      </c>
      <c r="C145" t="inlineStr">
        <is>
          <t>0                      PS 0169000F  68                 W  4</t>
        </is>
      </c>
      <c r="D145" t="inlineStr">
        <is>
          <t>Free will and determinism in American literature / Perry D. Westbrook.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Westbrook, Perry D.</t>
        </is>
      </c>
      <c r="L145" t="inlineStr">
        <is>
          <t>Rutherford [N.J.] : Fairleigh Dickinson University Press, c1979.</t>
        </is>
      </c>
      <c r="M145" t="inlineStr">
        <is>
          <t>1979</t>
        </is>
      </c>
      <c r="O145" t="inlineStr">
        <is>
          <t>eng</t>
        </is>
      </c>
      <c r="P145" t="inlineStr">
        <is>
          <t>nju</t>
        </is>
      </c>
      <c r="R145" t="inlineStr">
        <is>
          <t xml:space="preserve">PS </t>
        </is>
      </c>
      <c r="S145" t="n">
        <v>4</v>
      </c>
      <c r="T145" t="n">
        <v>4</v>
      </c>
      <c r="U145" t="inlineStr">
        <is>
          <t>2001-03-11</t>
        </is>
      </c>
      <c r="V145" t="inlineStr">
        <is>
          <t>2001-03-11</t>
        </is>
      </c>
      <c r="W145" t="inlineStr">
        <is>
          <t>1992-08-21</t>
        </is>
      </c>
      <c r="X145" t="inlineStr">
        <is>
          <t>1992-08-21</t>
        </is>
      </c>
      <c r="Y145" t="n">
        <v>497</v>
      </c>
      <c r="Z145" t="n">
        <v>434</v>
      </c>
      <c r="AA145" t="n">
        <v>447</v>
      </c>
      <c r="AB145" t="n">
        <v>7</v>
      </c>
      <c r="AC145" t="n">
        <v>7</v>
      </c>
      <c r="AD145" t="n">
        <v>25</v>
      </c>
      <c r="AE145" t="n">
        <v>25</v>
      </c>
      <c r="AF145" t="n">
        <v>9</v>
      </c>
      <c r="AG145" t="n">
        <v>9</v>
      </c>
      <c r="AH145" t="n">
        <v>5</v>
      </c>
      <c r="AI145" t="n">
        <v>5</v>
      </c>
      <c r="AJ145" t="n">
        <v>10</v>
      </c>
      <c r="AK145" t="n">
        <v>10</v>
      </c>
      <c r="AL145" t="n">
        <v>6</v>
      </c>
      <c r="AM145" t="n">
        <v>6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HYPERLINK("http://catalog.hathitrust.org/Record/000021258","HathiTrust Record")</f>
        <v/>
      </c>
      <c r="AS145">
        <f>HYPERLINK("https://creighton-primo.hosted.exlibrisgroup.com/primo-explore/search?tab=default_tab&amp;search_scope=EVERYTHING&amp;vid=01CRU&amp;lang=en_US&amp;offset=0&amp;query=any,contains,991004742219702656","Catalog Record")</f>
        <v/>
      </c>
      <c r="AT145">
        <f>HYPERLINK("http://www.worldcat.org/oclc/4884666","WorldCat Record")</f>
        <v/>
      </c>
      <c r="AU145" t="inlineStr">
        <is>
          <t>15080606:eng</t>
        </is>
      </c>
      <c r="AV145" t="inlineStr">
        <is>
          <t>4884666</t>
        </is>
      </c>
      <c r="AW145" t="inlineStr">
        <is>
          <t>991004742219702656</t>
        </is>
      </c>
      <c r="AX145" t="inlineStr">
        <is>
          <t>991004742219702656</t>
        </is>
      </c>
      <c r="AY145" t="inlineStr">
        <is>
          <t>2262135410002656</t>
        </is>
      </c>
      <c r="AZ145" t="inlineStr">
        <is>
          <t>BOOK</t>
        </is>
      </c>
      <c r="BB145" t="inlineStr">
        <is>
          <t>9780838621509</t>
        </is>
      </c>
      <c r="BC145" t="inlineStr">
        <is>
          <t>32285001249449</t>
        </is>
      </c>
      <c r="BD145" t="inlineStr">
        <is>
          <t>893513617</t>
        </is>
      </c>
    </row>
    <row r="146">
      <c r="A146" t="inlineStr">
        <is>
          <t>No</t>
        </is>
      </c>
      <c r="B146" t="inlineStr">
        <is>
          <t>PS169.H4 G7</t>
        </is>
      </c>
      <c r="C146" t="inlineStr">
        <is>
          <t>0                      PS 0169000H  4                  G  7</t>
        </is>
      </c>
      <c r="D146" t="inlineStr">
        <is>
          <t>The heroic ideal in American literature / [by] Theodore L. Gross.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Gross, Theodore L.</t>
        </is>
      </c>
      <c r="L146" t="inlineStr">
        <is>
          <t>New York : Free Press, [1971]</t>
        </is>
      </c>
      <c r="M146" t="inlineStr">
        <is>
          <t>1971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PS </t>
        </is>
      </c>
      <c r="S146" t="n">
        <v>6</v>
      </c>
      <c r="T146" t="n">
        <v>6</v>
      </c>
      <c r="U146" t="inlineStr">
        <is>
          <t>1997-11-16</t>
        </is>
      </c>
      <c r="V146" t="inlineStr">
        <is>
          <t>1997-11-16</t>
        </is>
      </c>
      <c r="W146" t="inlineStr">
        <is>
          <t>1994-11-29</t>
        </is>
      </c>
      <c r="X146" t="inlineStr">
        <is>
          <t>1994-11-29</t>
        </is>
      </c>
      <c r="Y146" t="n">
        <v>1030</v>
      </c>
      <c r="Z146" t="n">
        <v>926</v>
      </c>
      <c r="AA146" t="n">
        <v>928</v>
      </c>
      <c r="AB146" t="n">
        <v>8</v>
      </c>
      <c r="AC146" t="n">
        <v>8</v>
      </c>
      <c r="AD146" t="n">
        <v>41</v>
      </c>
      <c r="AE146" t="n">
        <v>41</v>
      </c>
      <c r="AF146" t="n">
        <v>18</v>
      </c>
      <c r="AG146" t="n">
        <v>18</v>
      </c>
      <c r="AH146" t="n">
        <v>8</v>
      </c>
      <c r="AI146" t="n">
        <v>8</v>
      </c>
      <c r="AJ146" t="n">
        <v>16</v>
      </c>
      <c r="AK146" t="n">
        <v>16</v>
      </c>
      <c r="AL146" t="n">
        <v>7</v>
      </c>
      <c r="AM146" t="n">
        <v>7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HYPERLINK("http://catalog.hathitrust.org/Record/001902384","HathiTrust Record")</f>
        <v/>
      </c>
      <c r="AS146">
        <f>HYPERLINK("https://creighton-primo.hosted.exlibrisgroup.com/primo-explore/search?tab=default_tab&amp;search_scope=EVERYTHING&amp;vid=01CRU&amp;lang=en_US&amp;offset=0&amp;query=any,contains,991000739639702656","Catalog Record")</f>
        <v/>
      </c>
      <c r="AT146">
        <f>HYPERLINK("http://www.worldcat.org/oclc/128882","WorldCat Record")</f>
        <v/>
      </c>
      <c r="AU146" t="inlineStr">
        <is>
          <t>3855432644:eng</t>
        </is>
      </c>
      <c r="AV146" t="inlineStr">
        <is>
          <t>128882</t>
        </is>
      </c>
      <c r="AW146" t="inlineStr">
        <is>
          <t>991000739639702656</t>
        </is>
      </c>
      <c r="AX146" t="inlineStr">
        <is>
          <t>991000739639702656</t>
        </is>
      </c>
      <c r="AY146" t="inlineStr">
        <is>
          <t>2266824390002656</t>
        </is>
      </c>
      <c r="AZ146" t="inlineStr">
        <is>
          <t>BOOK</t>
        </is>
      </c>
      <c r="BC146" t="inlineStr">
        <is>
          <t>32285001968741</t>
        </is>
      </c>
      <c r="BD146" t="inlineStr">
        <is>
          <t>893315191</t>
        </is>
      </c>
    </row>
    <row r="147">
      <c r="A147" t="inlineStr">
        <is>
          <t>No</t>
        </is>
      </c>
      <c r="B147" t="inlineStr">
        <is>
          <t>PS169.I53 G5 1979</t>
        </is>
      </c>
      <c r="C147" t="inlineStr">
        <is>
          <t>0                      PS 0169000I  53                 G  5           1979</t>
        </is>
      </c>
      <c r="D147" t="inlineStr">
        <is>
          <t>The law of the heart : individualism and the modern self in American literature / Sam B. Girgus.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Girgus, Sam B., 1941-</t>
        </is>
      </c>
      <c r="L147" t="inlineStr">
        <is>
          <t>Austin : University of Texas Press, c1979.</t>
        </is>
      </c>
      <c r="M147" t="inlineStr">
        <is>
          <t>1979</t>
        </is>
      </c>
      <c r="O147" t="inlineStr">
        <is>
          <t>eng</t>
        </is>
      </c>
      <c r="P147" t="inlineStr">
        <is>
          <t>txu</t>
        </is>
      </c>
      <c r="R147" t="inlineStr">
        <is>
          <t xml:space="preserve">PS </t>
        </is>
      </c>
      <c r="S147" t="n">
        <v>5</v>
      </c>
      <c r="T147" t="n">
        <v>5</v>
      </c>
      <c r="U147" t="inlineStr">
        <is>
          <t>2000-12-06</t>
        </is>
      </c>
      <c r="V147" t="inlineStr">
        <is>
          <t>2000-12-06</t>
        </is>
      </c>
      <c r="W147" t="inlineStr">
        <is>
          <t>1992-08-21</t>
        </is>
      </c>
      <c r="X147" t="inlineStr">
        <is>
          <t>1992-08-21</t>
        </is>
      </c>
      <c r="Y147" t="n">
        <v>415</v>
      </c>
      <c r="Z147" t="n">
        <v>338</v>
      </c>
      <c r="AA147" t="n">
        <v>356</v>
      </c>
      <c r="AB147" t="n">
        <v>3</v>
      </c>
      <c r="AC147" t="n">
        <v>3</v>
      </c>
      <c r="AD147" t="n">
        <v>19</v>
      </c>
      <c r="AE147" t="n">
        <v>20</v>
      </c>
      <c r="AF147" t="n">
        <v>5</v>
      </c>
      <c r="AG147" t="n">
        <v>6</v>
      </c>
      <c r="AH147" t="n">
        <v>7</v>
      </c>
      <c r="AI147" t="n">
        <v>8</v>
      </c>
      <c r="AJ147" t="n">
        <v>11</v>
      </c>
      <c r="AK147" t="n">
        <v>11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HYPERLINK("http://catalog.hathitrust.org/Record/000257063","HathiTrust Record")</f>
        <v/>
      </c>
      <c r="AS147">
        <f>HYPERLINK("https://creighton-primo.hosted.exlibrisgroup.com/primo-explore/search?tab=default_tab&amp;search_scope=EVERYTHING&amp;vid=01CRU&amp;lang=en_US&amp;offset=0&amp;query=any,contains,991004665519702656","Catalog Record")</f>
        <v/>
      </c>
      <c r="AT147">
        <f>HYPERLINK("http://www.worldcat.org/oclc/4503590","WorldCat Record")</f>
        <v/>
      </c>
      <c r="AU147" t="inlineStr">
        <is>
          <t>368122625:eng</t>
        </is>
      </c>
      <c r="AV147" t="inlineStr">
        <is>
          <t>4503590</t>
        </is>
      </c>
      <c r="AW147" t="inlineStr">
        <is>
          <t>991004665519702656</t>
        </is>
      </c>
      <c r="AX147" t="inlineStr">
        <is>
          <t>991004665519702656</t>
        </is>
      </c>
      <c r="AY147" t="inlineStr">
        <is>
          <t>2265253320002656</t>
        </is>
      </c>
      <c r="AZ147" t="inlineStr">
        <is>
          <t>BOOK</t>
        </is>
      </c>
      <c r="BB147" t="inlineStr">
        <is>
          <t>9780292746022</t>
        </is>
      </c>
      <c r="BC147" t="inlineStr">
        <is>
          <t>32285001249464</t>
        </is>
      </c>
      <c r="BD147" t="inlineStr">
        <is>
          <t>893895268</t>
        </is>
      </c>
    </row>
    <row r="148">
      <c r="A148" t="inlineStr">
        <is>
          <t>No</t>
        </is>
      </c>
      <c r="B148" t="inlineStr">
        <is>
          <t>PS169.L35 K39 1988</t>
        </is>
      </c>
      <c r="C148" t="inlineStr">
        <is>
          <t>0                      PS 0169000L  35                 K  39          1988</t>
        </is>
      </c>
      <c r="D148" t="inlineStr">
        <is>
          <t>A writer's America : landscape in literature / Alfred Kazin.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Kazin, Alfred, 1915-1998.</t>
        </is>
      </c>
      <c r="L148" t="inlineStr">
        <is>
          <t>New York : A.A. Knopf, 1988.</t>
        </is>
      </c>
      <c r="M148" t="inlineStr">
        <is>
          <t>1988</t>
        </is>
      </c>
      <c r="N148" t="inlineStr">
        <is>
          <t>1st American ed.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PS </t>
        </is>
      </c>
      <c r="S148" t="n">
        <v>1</v>
      </c>
      <c r="T148" t="n">
        <v>1</v>
      </c>
      <c r="U148" t="inlineStr">
        <is>
          <t>2003-10-07</t>
        </is>
      </c>
      <c r="V148" t="inlineStr">
        <is>
          <t>2003-10-07</t>
        </is>
      </c>
      <c r="W148" t="inlineStr">
        <is>
          <t>1992-08-21</t>
        </is>
      </c>
      <c r="X148" t="inlineStr">
        <is>
          <t>1992-08-21</t>
        </is>
      </c>
      <c r="Y148" t="n">
        <v>977</v>
      </c>
      <c r="Z148" t="n">
        <v>894</v>
      </c>
      <c r="AA148" t="n">
        <v>927</v>
      </c>
      <c r="AB148" t="n">
        <v>5</v>
      </c>
      <c r="AC148" t="n">
        <v>5</v>
      </c>
      <c r="AD148" t="n">
        <v>30</v>
      </c>
      <c r="AE148" t="n">
        <v>31</v>
      </c>
      <c r="AF148" t="n">
        <v>12</v>
      </c>
      <c r="AG148" t="n">
        <v>13</v>
      </c>
      <c r="AH148" t="n">
        <v>8</v>
      </c>
      <c r="AI148" t="n">
        <v>8</v>
      </c>
      <c r="AJ148" t="n">
        <v>16</v>
      </c>
      <c r="AK148" t="n">
        <v>16</v>
      </c>
      <c r="AL148" t="n">
        <v>3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HYPERLINK("http://catalog.hathitrust.org/Record/000947822","HathiTrust Record")</f>
        <v/>
      </c>
      <c r="AS148">
        <f>HYPERLINK("https://creighton-primo.hosted.exlibrisgroup.com/primo-explore/search?tab=default_tab&amp;search_scope=EVERYTHING&amp;vid=01CRU&amp;lang=en_US&amp;offset=0&amp;query=any,contains,991001222139702656","Catalog Record")</f>
        <v/>
      </c>
      <c r="AT148">
        <f>HYPERLINK("http://www.worldcat.org/oclc/17479332","WorldCat Record")</f>
        <v/>
      </c>
      <c r="AU148" t="inlineStr">
        <is>
          <t>839915918:eng</t>
        </is>
      </c>
      <c r="AV148" t="inlineStr">
        <is>
          <t>17479332</t>
        </is>
      </c>
      <c r="AW148" t="inlineStr">
        <is>
          <t>991001222139702656</t>
        </is>
      </c>
      <c r="AX148" t="inlineStr">
        <is>
          <t>991001222139702656</t>
        </is>
      </c>
      <c r="AY148" t="inlineStr">
        <is>
          <t>2272460150002656</t>
        </is>
      </c>
      <c r="AZ148" t="inlineStr">
        <is>
          <t>BOOK</t>
        </is>
      </c>
      <c r="BB148" t="inlineStr">
        <is>
          <t>9780394571423</t>
        </is>
      </c>
      <c r="BC148" t="inlineStr">
        <is>
          <t>32285001249472</t>
        </is>
      </c>
      <c r="BD148" t="inlineStr">
        <is>
          <t>893225709</t>
        </is>
      </c>
    </row>
    <row r="149">
      <c r="A149" t="inlineStr">
        <is>
          <t>No</t>
        </is>
      </c>
      <c r="B149" t="inlineStr">
        <is>
          <t>PS169.M45 M67 1996</t>
        </is>
      </c>
      <c r="C149" t="inlineStr">
        <is>
          <t>0                      PS 0169000M  45                 M  67          1996</t>
        </is>
      </c>
      <c r="D149" t="inlineStr">
        <is>
          <t>The medievalist impulse in American literature : Twain, Adams, Fitzgerald, and Hemingway / Kim Moreland.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Moreland, Kim Ileen, 1954-</t>
        </is>
      </c>
      <c r="L149" t="inlineStr">
        <is>
          <t>Charlottesville, VA : University Press of Virginia, 1996.</t>
        </is>
      </c>
      <c r="M149" t="inlineStr">
        <is>
          <t>1996</t>
        </is>
      </c>
      <c r="O149" t="inlineStr">
        <is>
          <t>eng</t>
        </is>
      </c>
      <c r="P149" t="inlineStr">
        <is>
          <t>vau</t>
        </is>
      </c>
      <c r="R149" t="inlineStr">
        <is>
          <t xml:space="preserve">PS </t>
        </is>
      </c>
      <c r="S149" t="n">
        <v>1</v>
      </c>
      <c r="T149" t="n">
        <v>1</v>
      </c>
      <c r="U149" t="inlineStr">
        <is>
          <t>1997-04-12</t>
        </is>
      </c>
      <c r="V149" t="inlineStr">
        <is>
          <t>1997-04-12</t>
        </is>
      </c>
      <c r="W149" t="inlineStr">
        <is>
          <t>1996-08-21</t>
        </is>
      </c>
      <c r="X149" t="inlineStr">
        <is>
          <t>1996-08-21</t>
        </is>
      </c>
      <c r="Y149" t="n">
        <v>436</v>
      </c>
      <c r="Z149" t="n">
        <v>375</v>
      </c>
      <c r="AA149" t="n">
        <v>375</v>
      </c>
      <c r="AB149" t="n">
        <v>4</v>
      </c>
      <c r="AC149" t="n">
        <v>4</v>
      </c>
      <c r="AD149" t="n">
        <v>24</v>
      </c>
      <c r="AE149" t="n">
        <v>24</v>
      </c>
      <c r="AF149" t="n">
        <v>8</v>
      </c>
      <c r="AG149" t="n">
        <v>8</v>
      </c>
      <c r="AH149" t="n">
        <v>6</v>
      </c>
      <c r="AI149" t="n">
        <v>6</v>
      </c>
      <c r="AJ149" t="n">
        <v>13</v>
      </c>
      <c r="AK149" t="n">
        <v>13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HYPERLINK("https://creighton-primo.hosted.exlibrisgroup.com/primo-explore/search?tab=default_tab&amp;search_scope=EVERYTHING&amp;vid=01CRU&amp;lang=en_US&amp;offset=0&amp;query=any,contains,991002580509702656","Catalog Record")</f>
        <v/>
      </c>
      <c r="AT149">
        <f>HYPERLINK("http://www.worldcat.org/oclc/33818887","WorldCat Record")</f>
        <v/>
      </c>
      <c r="AU149" t="inlineStr">
        <is>
          <t>837024435:eng</t>
        </is>
      </c>
      <c r="AV149" t="inlineStr">
        <is>
          <t>33818887</t>
        </is>
      </c>
      <c r="AW149" t="inlineStr">
        <is>
          <t>991002580509702656</t>
        </is>
      </c>
      <c r="AX149" t="inlineStr">
        <is>
          <t>991002580509702656</t>
        </is>
      </c>
      <c r="AY149" t="inlineStr">
        <is>
          <t>2272663300002656</t>
        </is>
      </c>
      <c r="AZ149" t="inlineStr">
        <is>
          <t>BOOK</t>
        </is>
      </c>
      <c r="BB149" t="inlineStr">
        <is>
          <t>9780813916583</t>
        </is>
      </c>
      <c r="BC149" t="inlineStr">
        <is>
          <t>32285002291390</t>
        </is>
      </c>
      <c r="BD149" t="inlineStr">
        <is>
          <t>893415378</t>
        </is>
      </c>
    </row>
    <row r="150">
      <c r="A150" t="inlineStr">
        <is>
          <t>No</t>
        </is>
      </c>
      <c r="B150" t="inlineStr">
        <is>
          <t>PS169.R6 L5 1981</t>
        </is>
      </c>
      <c r="C150" t="inlineStr">
        <is>
          <t>0                      PS 0169000R  6                  L  5           1981</t>
        </is>
      </c>
      <c r="D150" t="inlineStr">
        <is>
          <t>Literary romanticism in America / edited by William L. Andrews.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Baton Rouge : Louisiana State University Press, c1981.</t>
        </is>
      </c>
      <c r="M150" t="inlineStr">
        <is>
          <t>1981</t>
        </is>
      </c>
      <c r="O150" t="inlineStr">
        <is>
          <t>eng</t>
        </is>
      </c>
      <c r="P150" t="inlineStr">
        <is>
          <t>lau</t>
        </is>
      </c>
      <c r="R150" t="inlineStr">
        <is>
          <t xml:space="preserve">PS </t>
        </is>
      </c>
      <c r="S150" t="n">
        <v>5</v>
      </c>
      <c r="T150" t="n">
        <v>5</v>
      </c>
      <c r="U150" t="inlineStr">
        <is>
          <t>1997-09-28</t>
        </is>
      </c>
      <c r="V150" t="inlineStr">
        <is>
          <t>1997-09-28</t>
        </is>
      </c>
      <c r="W150" t="inlineStr">
        <is>
          <t>1992-08-21</t>
        </is>
      </c>
      <c r="X150" t="inlineStr">
        <is>
          <t>1992-08-21</t>
        </is>
      </c>
      <c r="Y150" t="n">
        <v>557</v>
      </c>
      <c r="Z150" t="n">
        <v>476</v>
      </c>
      <c r="AA150" t="n">
        <v>476</v>
      </c>
      <c r="AB150" t="n">
        <v>5</v>
      </c>
      <c r="AC150" t="n">
        <v>5</v>
      </c>
      <c r="AD150" t="n">
        <v>26</v>
      </c>
      <c r="AE150" t="n">
        <v>26</v>
      </c>
      <c r="AF150" t="n">
        <v>14</v>
      </c>
      <c r="AG150" t="n">
        <v>14</v>
      </c>
      <c r="AH150" t="n">
        <v>5</v>
      </c>
      <c r="AI150" t="n">
        <v>5</v>
      </c>
      <c r="AJ150" t="n">
        <v>12</v>
      </c>
      <c r="AK150" t="n">
        <v>12</v>
      </c>
      <c r="AL150" t="n">
        <v>4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HYPERLINK("https://creighton-primo.hosted.exlibrisgroup.com/primo-explore/search?tab=default_tab&amp;search_scope=EVERYTHING&amp;vid=01CRU&amp;lang=en_US&amp;offset=0&amp;query=any,contains,991005047999702656","Catalog Record")</f>
        <v/>
      </c>
      <c r="AT150">
        <f>HYPERLINK("http://www.worldcat.org/oclc/6861618","WorldCat Record")</f>
        <v/>
      </c>
      <c r="AU150" t="inlineStr">
        <is>
          <t>463774:eng</t>
        </is>
      </c>
      <c r="AV150" t="inlineStr">
        <is>
          <t>6861618</t>
        </is>
      </c>
      <c r="AW150" t="inlineStr">
        <is>
          <t>991005047999702656</t>
        </is>
      </c>
      <c r="AX150" t="inlineStr">
        <is>
          <t>991005047999702656</t>
        </is>
      </c>
      <c r="AY150" t="inlineStr">
        <is>
          <t>2271267420002656</t>
        </is>
      </c>
      <c r="AZ150" t="inlineStr">
        <is>
          <t>BOOK</t>
        </is>
      </c>
      <c r="BB150" t="inlineStr">
        <is>
          <t>9780807107607</t>
        </is>
      </c>
      <c r="BC150" t="inlineStr">
        <is>
          <t>32285001249498</t>
        </is>
      </c>
      <c r="BD150" t="inlineStr">
        <is>
          <t>893242113</t>
        </is>
      </c>
    </row>
    <row r="151">
      <c r="A151" t="inlineStr">
        <is>
          <t>No</t>
        </is>
      </c>
      <c r="B151" t="inlineStr">
        <is>
          <t>PS169.R6 M67 1987b</t>
        </is>
      </c>
      <c r="C151" t="inlineStr">
        <is>
          <t>0                      PS 0169000R  6                  M  67          1987b</t>
        </is>
      </c>
      <c r="D151" t="inlineStr">
        <is>
          <t>American Romanticism / David Morse.</t>
        </is>
      </c>
      <c r="E151" t="inlineStr">
        <is>
          <t>V. 1</t>
        </is>
      </c>
      <c r="F151" t="inlineStr">
        <is>
          <t>Yes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Morse, David.</t>
        </is>
      </c>
      <c r="L151" t="inlineStr">
        <is>
          <t>Houndmills, Basingstoke : Macmillan, 1987.</t>
        </is>
      </c>
      <c r="M151" t="inlineStr">
        <is>
          <t>1987</t>
        </is>
      </c>
      <c r="O151" t="inlineStr">
        <is>
          <t>eng</t>
        </is>
      </c>
      <c r="P151" t="inlineStr">
        <is>
          <t>enk</t>
        </is>
      </c>
      <c r="Q151" t="inlineStr">
        <is>
          <t>Macmillan studies in romanticism</t>
        </is>
      </c>
      <c r="R151" t="inlineStr">
        <is>
          <t xml:space="preserve">PS </t>
        </is>
      </c>
      <c r="S151" t="n">
        <v>4</v>
      </c>
      <c r="T151" t="n">
        <v>9</v>
      </c>
      <c r="U151" t="inlineStr">
        <is>
          <t>1997-09-28</t>
        </is>
      </c>
      <c r="V151" t="inlineStr">
        <is>
          <t>1999-03-28</t>
        </is>
      </c>
      <c r="W151" t="inlineStr">
        <is>
          <t>1992-08-21</t>
        </is>
      </c>
      <c r="X151" t="inlineStr">
        <is>
          <t>1992-08-21</t>
        </is>
      </c>
      <c r="Y151" t="n">
        <v>124</v>
      </c>
      <c r="Z151" t="n">
        <v>64</v>
      </c>
      <c r="AA151" t="n">
        <v>631</v>
      </c>
      <c r="AB151" t="n">
        <v>3</v>
      </c>
      <c r="AC151" t="n">
        <v>5</v>
      </c>
      <c r="AD151" t="n">
        <v>4</v>
      </c>
      <c r="AE151" t="n">
        <v>27</v>
      </c>
      <c r="AF151" t="n">
        <v>0</v>
      </c>
      <c r="AG151" t="n">
        <v>12</v>
      </c>
      <c r="AH151" t="n">
        <v>1</v>
      </c>
      <c r="AI151" t="n">
        <v>4</v>
      </c>
      <c r="AJ151" t="n">
        <v>2</v>
      </c>
      <c r="AK151" t="n">
        <v>15</v>
      </c>
      <c r="AL151" t="n">
        <v>2</v>
      </c>
      <c r="AM151" t="n">
        <v>4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HYPERLINK("http://catalog.hathitrust.org/Record/000854304","HathiTrust Record")</f>
        <v/>
      </c>
      <c r="AS151">
        <f>HYPERLINK("https://creighton-primo.hosted.exlibrisgroup.com/primo-explore/search?tab=default_tab&amp;search_scope=EVERYTHING&amp;vid=01CRU&amp;lang=en_US&amp;offset=0&amp;query=any,contains,991001078629702656","Catalog Record")</f>
        <v/>
      </c>
      <c r="AT151">
        <f>HYPERLINK("http://www.worldcat.org/oclc/16082875","WorldCat Record")</f>
        <v/>
      </c>
      <c r="AU151" t="inlineStr">
        <is>
          <t>10116040647:eng</t>
        </is>
      </c>
      <c r="AV151" t="inlineStr">
        <is>
          <t>16082875</t>
        </is>
      </c>
      <c r="AW151" t="inlineStr">
        <is>
          <t>991001078629702656</t>
        </is>
      </c>
      <c r="AX151" t="inlineStr">
        <is>
          <t>991001078629702656</t>
        </is>
      </c>
      <c r="AY151" t="inlineStr">
        <is>
          <t>2260467060002656</t>
        </is>
      </c>
      <c r="AZ151" t="inlineStr">
        <is>
          <t>BOOK</t>
        </is>
      </c>
      <c r="BB151" t="inlineStr">
        <is>
          <t>9780333388747</t>
        </is>
      </c>
      <c r="BC151" t="inlineStr">
        <is>
          <t>32285001249506</t>
        </is>
      </c>
      <c r="BD151" t="inlineStr">
        <is>
          <t>893621061</t>
        </is>
      </c>
    </row>
    <row r="152">
      <c r="A152" t="inlineStr">
        <is>
          <t>No</t>
        </is>
      </c>
      <c r="B152" t="inlineStr">
        <is>
          <t>PS169.R6 M67 1987b</t>
        </is>
      </c>
      <c r="C152" t="inlineStr">
        <is>
          <t>0                      PS 0169000R  6                  M  67          1987b</t>
        </is>
      </c>
      <c r="D152" t="inlineStr">
        <is>
          <t>American Romanticism / David Morse.</t>
        </is>
      </c>
      <c r="E152" t="inlineStr">
        <is>
          <t>V. 2</t>
        </is>
      </c>
      <c r="F152" t="inlineStr">
        <is>
          <t>Yes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Morse, David.</t>
        </is>
      </c>
      <c r="L152" t="inlineStr">
        <is>
          <t>Houndmills, Basingstoke : Macmillan, 1987.</t>
        </is>
      </c>
      <c r="M152" t="inlineStr">
        <is>
          <t>1987</t>
        </is>
      </c>
      <c r="O152" t="inlineStr">
        <is>
          <t>eng</t>
        </is>
      </c>
      <c r="P152" t="inlineStr">
        <is>
          <t>enk</t>
        </is>
      </c>
      <c r="Q152" t="inlineStr">
        <is>
          <t>Macmillan studies in romanticism</t>
        </is>
      </c>
      <c r="R152" t="inlineStr">
        <is>
          <t xml:space="preserve">PS </t>
        </is>
      </c>
      <c r="S152" t="n">
        <v>5</v>
      </c>
      <c r="T152" t="n">
        <v>9</v>
      </c>
      <c r="U152" t="inlineStr">
        <is>
          <t>1999-03-28</t>
        </is>
      </c>
      <c r="V152" t="inlineStr">
        <is>
          <t>1999-03-28</t>
        </is>
      </c>
      <c r="W152" t="inlineStr">
        <is>
          <t>1992-08-21</t>
        </is>
      </c>
      <c r="X152" t="inlineStr">
        <is>
          <t>1992-08-21</t>
        </is>
      </c>
      <c r="Y152" t="n">
        <v>124</v>
      </c>
      <c r="Z152" t="n">
        <v>64</v>
      </c>
      <c r="AA152" t="n">
        <v>631</v>
      </c>
      <c r="AB152" t="n">
        <v>3</v>
      </c>
      <c r="AC152" t="n">
        <v>5</v>
      </c>
      <c r="AD152" t="n">
        <v>4</v>
      </c>
      <c r="AE152" t="n">
        <v>27</v>
      </c>
      <c r="AF152" t="n">
        <v>0</v>
      </c>
      <c r="AG152" t="n">
        <v>12</v>
      </c>
      <c r="AH152" t="n">
        <v>1</v>
      </c>
      <c r="AI152" t="n">
        <v>4</v>
      </c>
      <c r="AJ152" t="n">
        <v>2</v>
      </c>
      <c r="AK152" t="n">
        <v>15</v>
      </c>
      <c r="AL152" t="n">
        <v>2</v>
      </c>
      <c r="AM152" t="n">
        <v>4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HYPERLINK("http://catalog.hathitrust.org/Record/000854304","HathiTrust Record")</f>
        <v/>
      </c>
      <c r="AS152">
        <f>HYPERLINK("https://creighton-primo.hosted.exlibrisgroup.com/primo-explore/search?tab=default_tab&amp;search_scope=EVERYTHING&amp;vid=01CRU&amp;lang=en_US&amp;offset=0&amp;query=any,contains,991001078629702656","Catalog Record")</f>
        <v/>
      </c>
      <c r="AT152">
        <f>HYPERLINK("http://www.worldcat.org/oclc/16082875","WorldCat Record")</f>
        <v/>
      </c>
      <c r="AU152" t="inlineStr">
        <is>
          <t>10116040647:eng</t>
        </is>
      </c>
      <c r="AV152" t="inlineStr">
        <is>
          <t>16082875</t>
        </is>
      </c>
      <c r="AW152" t="inlineStr">
        <is>
          <t>991001078629702656</t>
        </is>
      </c>
      <c r="AX152" t="inlineStr">
        <is>
          <t>991001078629702656</t>
        </is>
      </c>
      <c r="AY152" t="inlineStr">
        <is>
          <t>2260467060002656</t>
        </is>
      </c>
      <c r="AZ152" t="inlineStr">
        <is>
          <t>BOOK</t>
        </is>
      </c>
      <c r="BB152" t="inlineStr">
        <is>
          <t>9780333388747</t>
        </is>
      </c>
      <c r="BC152" t="inlineStr">
        <is>
          <t>32285001249514</t>
        </is>
      </c>
      <c r="BD152" t="inlineStr">
        <is>
          <t>893621062</t>
        </is>
      </c>
    </row>
    <row r="153">
      <c r="A153" t="inlineStr">
        <is>
          <t>No</t>
        </is>
      </c>
      <c r="B153" t="inlineStr">
        <is>
          <t>PS169.S43 N53 1984</t>
        </is>
      </c>
      <c r="C153" t="inlineStr">
        <is>
          <t>0                      PS 0169000S  43                 N  53          1984</t>
        </is>
      </c>
      <c r="D153" t="inlineStr">
        <is>
          <t>The diagonal line : separation and reparation in American literature / August J. Nigro.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Nigro, August J., 1934-</t>
        </is>
      </c>
      <c r="L153" t="inlineStr">
        <is>
          <t>Selinsgrove [Pa.] : Susquehanna University Press ; London : Associated University Presses, c1984.</t>
        </is>
      </c>
      <c r="M153" t="inlineStr">
        <is>
          <t>1984</t>
        </is>
      </c>
      <c r="O153" t="inlineStr">
        <is>
          <t>eng</t>
        </is>
      </c>
      <c r="P153" t="inlineStr">
        <is>
          <t>pau</t>
        </is>
      </c>
      <c r="R153" t="inlineStr">
        <is>
          <t xml:space="preserve">PS </t>
        </is>
      </c>
      <c r="S153" t="n">
        <v>2</v>
      </c>
      <c r="T153" t="n">
        <v>2</v>
      </c>
      <c r="U153" t="inlineStr">
        <is>
          <t>1994-04-20</t>
        </is>
      </c>
      <c r="V153" t="inlineStr">
        <is>
          <t>1994-04-20</t>
        </is>
      </c>
      <c r="W153" t="inlineStr">
        <is>
          <t>1992-08-21</t>
        </is>
      </c>
      <c r="X153" t="inlineStr">
        <is>
          <t>1992-08-21</t>
        </is>
      </c>
      <c r="Y153" t="n">
        <v>375</v>
      </c>
      <c r="Z153" t="n">
        <v>324</v>
      </c>
      <c r="AA153" t="n">
        <v>326</v>
      </c>
      <c r="AB153" t="n">
        <v>2</v>
      </c>
      <c r="AC153" t="n">
        <v>2</v>
      </c>
      <c r="AD153" t="n">
        <v>18</v>
      </c>
      <c r="AE153" t="n">
        <v>18</v>
      </c>
      <c r="AF153" t="n">
        <v>8</v>
      </c>
      <c r="AG153" t="n">
        <v>8</v>
      </c>
      <c r="AH153" t="n">
        <v>4</v>
      </c>
      <c r="AI153" t="n">
        <v>4</v>
      </c>
      <c r="AJ153" t="n">
        <v>10</v>
      </c>
      <c r="AK153" t="n">
        <v>10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HYPERLINK("http://catalog.hathitrust.org/Record/000572208","HathiTrust Record")</f>
        <v/>
      </c>
      <c r="AS153">
        <f>HYPERLINK("https://creighton-primo.hosted.exlibrisgroup.com/primo-explore/search?tab=default_tab&amp;search_scope=EVERYTHING&amp;vid=01CRU&amp;lang=en_US&amp;offset=0&amp;query=any,contains,991000424519702656","Catalog Record")</f>
        <v/>
      </c>
      <c r="AT153">
        <f>HYPERLINK("http://www.worldcat.org/oclc/10752723","WorldCat Record")</f>
        <v/>
      </c>
      <c r="AU153" t="inlineStr">
        <is>
          <t>2896398:eng</t>
        </is>
      </c>
      <c r="AV153" t="inlineStr">
        <is>
          <t>10752723</t>
        </is>
      </c>
      <c r="AW153" t="inlineStr">
        <is>
          <t>991000424519702656</t>
        </is>
      </c>
      <c r="AX153" t="inlineStr">
        <is>
          <t>991000424519702656</t>
        </is>
      </c>
      <c r="AY153" t="inlineStr">
        <is>
          <t>2264652650002656</t>
        </is>
      </c>
      <c r="AZ153" t="inlineStr">
        <is>
          <t>BOOK</t>
        </is>
      </c>
      <c r="BB153" t="inlineStr">
        <is>
          <t>9780941664028</t>
        </is>
      </c>
      <c r="BC153" t="inlineStr">
        <is>
          <t>32285001249522</t>
        </is>
      </c>
      <c r="BD153" t="inlineStr">
        <is>
          <t>893413342</t>
        </is>
      </c>
    </row>
    <row r="154">
      <c r="A154" t="inlineStr">
        <is>
          <t>No</t>
        </is>
      </c>
      <c r="B154" t="inlineStr">
        <is>
          <t>PS169.S45 D4 1990</t>
        </is>
      </c>
      <c r="C154" t="inlineStr">
        <is>
          <t>0                      PS 0169000S  45                 D  4           1990</t>
        </is>
      </c>
      <c r="D154" t="inlineStr">
        <is>
          <t>The importance of place in the American literature of Hawthorne, Thoreau, Crane, Adams, and Faulkner : American writers, American culture, and the American dream / Robert Glen Deamer.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Deamer, Robert Glen.</t>
        </is>
      </c>
      <c r="L154" t="inlineStr">
        <is>
          <t>Lewiston, N.Y. : E. Mellen Press, 1990.</t>
        </is>
      </c>
      <c r="M154" t="inlineStr">
        <is>
          <t>1990</t>
        </is>
      </c>
      <c r="O154" t="inlineStr">
        <is>
          <t>eng</t>
        </is>
      </c>
      <c r="P154" t="inlineStr">
        <is>
          <t>nyu</t>
        </is>
      </c>
      <c r="Q154" t="inlineStr">
        <is>
          <t>Studies in American literature ; v. 7</t>
        </is>
      </c>
      <c r="R154" t="inlineStr">
        <is>
          <t xml:space="preserve">PS </t>
        </is>
      </c>
      <c r="S154" t="n">
        <v>7</v>
      </c>
      <c r="T154" t="n">
        <v>7</v>
      </c>
      <c r="U154" t="inlineStr">
        <is>
          <t>1998-04-01</t>
        </is>
      </c>
      <c r="V154" t="inlineStr">
        <is>
          <t>1998-04-01</t>
        </is>
      </c>
      <c r="W154" t="inlineStr">
        <is>
          <t>1990-07-05</t>
        </is>
      </c>
      <c r="X154" t="inlineStr">
        <is>
          <t>1990-07-05</t>
        </is>
      </c>
      <c r="Y154" t="n">
        <v>244</v>
      </c>
      <c r="Z154" t="n">
        <v>191</v>
      </c>
      <c r="AA154" t="n">
        <v>191</v>
      </c>
      <c r="AB154" t="n">
        <v>1</v>
      </c>
      <c r="AC154" t="n">
        <v>1</v>
      </c>
      <c r="AD154" t="n">
        <v>11</v>
      </c>
      <c r="AE154" t="n">
        <v>11</v>
      </c>
      <c r="AF154" t="n">
        <v>4</v>
      </c>
      <c r="AG154" t="n">
        <v>4</v>
      </c>
      <c r="AH154" t="n">
        <v>3</v>
      </c>
      <c r="AI154" t="n">
        <v>3</v>
      </c>
      <c r="AJ154" t="n">
        <v>5</v>
      </c>
      <c r="AK154" t="n">
        <v>5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HYPERLINK("https://creighton-primo.hosted.exlibrisgroup.com/primo-explore/search?tab=default_tab&amp;search_scope=EVERYTHING&amp;vid=01CRU&amp;lang=en_US&amp;offset=0&amp;query=any,contains,991001614809702656","Catalog Record")</f>
        <v/>
      </c>
      <c r="AT154">
        <f>HYPERLINK("http://www.worldcat.org/oclc/20759270","WorldCat Record")</f>
        <v/>
      </c>
      <c r="AU154" t="inlineStr">
        <is>
          <t>836759135:eng</t>
        </is>
      </c>
      <c r="AV154" t="inlineStr">
        <is>
          <t>20759270</t>
        </is>
      </c>
      <c r="AW154" t="inlineStr">
        <is>
          <t>991001614809702656</t>
        </is>
      </c>
      <c r="AX154" t="inlineStr">
        <is>
          <t>991001614809702656</t>
        </is>
      </c>
      <c r="AY154" t="inlineStr">
        <is>
          <t>2268572650002656</t>
        </is>
      </c>
      <c r="AZ154" t="inlineStr">
        <is>
          <t>BOOK</t>
        </is>
      </c>
      <c r="BB154" t="inlineStr">
        <is>
          <t>9780889461635</t>
        </is>
      </c>
      <c r="BC154" t="inlineStr">
        <is>
          <t>32285000207737</t>
        </is>
      </c>
      <c r="BD154" t="inlineStr">
        <is>
          <t>893444724</t>
        </is>
      </c>
    </row>
    <row r="155">
      <c r="A155" t="inlineStr">
        <is>
          <t>No</t>
        </is>
      </c>
      <c r="B155" t="inlineStr">
        <is>
          <t>PS169.S57 R45 1996</t>
        </is>
      </c>
      <c r="C155" t="inlineStr">
        <is>
          <t>0                      PS 0169000S  57                 R  45          1996</t>
        </is>
      </c>
      <c r="D155" t="inlineStr">
        <is>
          <t>Loose ends : closure and crisis in the American social text / Russell Reising.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Reising, Russell.</t>
        </is>
      </c>
      <c r="L155" t="inlineStr">
        <is>
          <t>Durham, N.C. : Duke University Press, 1996.</t>
        </is>
      </c>
      <c r="M155" t="inlineStr">
        <is>
          <t>1996</t>
        </is>
      </c>
      <c r="O155" t="inlineStr">
        <is>
          <t>eng</t>
        </is>
      </c>
      <c r="P155" t="inlineStr">
        <is>
          <t>ncu</t>
        </is>
      </c>
      <c r="Q155" t="inlineStr">
        <is>
          <t>New Americanists</t>
        </is>
      </c>
      <c r="R155" t="inlineStr">
        <is>
          <t xml:space="preserve">PS </t>
        </is>
      </c>
      <c r="S155" t="n">
        <v>5</v>
      </c>
      <c r="T155" t="n">
        <v>5</v>
      </c>
      <c r="U155" t="inlineStr">
        <is>
          <t>2001-04-30</t>
        </is>
      </c>
      <c r="V155" t="inlineStr">
        <is>
          <t>2001-04-30</t>
        </is>
      </c>
      <c r="W155" t="inlineStr">
        <is>
          <t>1998-06-09</t>
        </is>
      </c>
      <c r="X155" t="inlineStr">
        <is>
          <t>1998-06-09</t>
        </is>
      </c>
      <c r="Y155" t="n">
        <v>423</v>
      </c>
      <c r="Z155" t="n">
        <v>365</v>
      </c>
      <c r="AA155" t="n">
        <v>373</v>
      </c>
      <c r="AB155" t="n">
        <v>4</v>
      </c>
      <c r="AC155" t="n">
        <v>4</v>
      </c>
      <c r="AD155" t="n">
        <v>23</v>
      </c>
      <c r="AE155" t="n">
        <v>23</v>
      </c>
      <c r="AF155" t="n">
        <v>7</v>
      </c>
      <c r="AG155" t="n">
        <v>7</v>
      </c>
      <c r="AH155" t="n">
        <v>8</v>
      </c>
      <c r="AI155" t="n">
        <v>8</v>
      </c>
      <c r="AJ155" t="n">
        <v>11</v>
      </c>
      <c r="AK155" t="n">
        <v>11</v>
      </c>
      <c r="AL155" t="n">
        <v>3</v>
      </c>
      <c r="AM155" t="n">
        <v>3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HYPERLINK("http://catalog.hathitrust.org/Record/003153915","HathiTrust Record")</f>
        <v/>
      </c>
      <c r="AS155">
        <f>HYPERLINK("https://creighton-primo.hosted.exlibrisgroup.com/primo-explore/search?tab=default_tab&amp;search_scope=EVERYTHING&amp;vid=01CRU&amp;lang=en_US&amp;offset=0&amp;query=any,contains,991002665579702656","Catalog Record")</f>
        <v/>
      </c>
      <c r="AT155">
        <f>HYPERLINK("http://www.worldcat.org/oclc/34875703","WorldCat Record")</f>
        <v/>
      </c>
      <c r="AU155" t="inlineStr">
        <is>
          <t>475627058:eng</t>
        </is>
      </c>
      <c r="AV155" t="inlineStr">
        <is>
          <t>34875703</t>
        </is>
      </c>
      <c r="AW155" t="inlineStr">
        <is>
          <t>991002665579702656</t>
        </is>
      </c>
      <c r="AX155" t="inlineStr">
        <is>
          <t>991002665579702656</t>
        </is>
      </c>
      <c r="AY155" t="inlineStr">
        <is>
          <t>2270372210002656</t>
        </is>
      </c>
      <c r="AZ155" t="inlineStr">
        <is>
          <t>BOOK</t>
        </is>
      </c>
      <c r="BB155" t="inlineStr">
        <is>
          <t>9780822318873</t>
        </is>
      </c>
      <c r="BC155" t="inlineStr">
        <is>
          <t>32285003413811</t>
        </is>
      </c>
      <c r="BD155" t="inlineStr">
        <is>
          <t>893610118</t>
        </is>
      </c>
    </row>
    <row r="156">
      <c r="A156" t="inlineStr">
        <is>
          <t>No</t>
        </is>
      </c>
      <c r="B156" t="inlineStr">
        <is>
          <t>PS169.S9 M6 1978</t>
        </is>
      </c>
      <c r="C156" t="inlineStr">
        <is>
          <t>0                      PS 0169000S  9                  M  6           1978</t>
        </is>
      </c>
      <c r="D156" t="inlineStr">
        <is>
          <t>Earthly delights, unearthly adornments : American writers as image makers / Wright Morris.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Morris, Wright, 1910-1998.</t>
        </is>
      </c>
      <c r="L156" t="inlineStr">
        <is>
          <t>New York : Harper &amp; Row, c1978.</t>
        </is>
      </c>
      <c r="M156" t="inlineStr">
        <is>
          <t>1978</t>
        </is>
      </c>
      <c r="N156" t="inlineStr">
        <is>
          <t>1st ed. --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PS </t>
        </is>
      </c>
      <c r="S156" t="n">
        <v>2</v>
      </c>
      <c r="T156" t="n">
        <v>2</v>
      </c>
      <c r="U156" t="inlineStr">
        <is>
          <t>2005-06-29</t>
        </is>
      </c>
      <c r="V156" t="inlineStr">
        <is>
          <t>2005-06-29</t>
        </is>
      </c>
      <c r="W156" t="inlineStr">
        <is>
          <t>1992-08-21</t>
        </is>
      </c>
      <c r="X156" t="inlineStr">
        <is>
          <t>1992-08-21</t>
        </is>
      </c>
      <c r="Y156" t="n">
        <v>990</v>
      </c>
      <c r="Z156" t="n">
        <v>913</v>
      </c>
      <c r="AA156" t="n">
        <v>922</v>
      </c>
      <c r="AB156" t="n">
        <v>14</v>
      </c>
      <c r="AC156" t="n">
        <v>14</v>
      </c>
      <c r="AD156" t="n">
        <v>33</v>
      </c>
      <c r="AE156" t="n">
        <v>33</v>
      </c>
      <c r="AF156" t="n">
        <v>10</v>
      </c>
      <c r="AG156" t="n">
        <v>10</v>
      </c>
      <c r="AH156" t="n">
        <v>7</v>
      </c>
      <c r="AI156" t="n">
        <v>7</v>
      </c>
      <c r="AJ156" t="n">
        <v>13</v>
      </c>
      <c r="AK156" t="n">
        <v>13</v>
      </c>
      <c r="AL156" t="n">
        <v>9</v>
      </c>
      <c r="AM156" t="n">
        <v>9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HYPERLINK("http://catalog.hathitrust.org/Record/000215794","HathiTrust Record")</f>
        <v/>
      </c>
      <c r="AS156">
        <f>HYPERLINK("https://creighton-primo.hosted.exlibrisgroup.com/primo-explore/search?tab=default_tab&amp;search_scope=EVERYTHING&amp;vid=01CRU&amp;lang=en_US&amp;offset=0&amp;query=any,contains,991004603919702656","Catalog Record")</f>
        <v/>
      </c>
      <c r="AT156">
        <f>HYPERLINK("http://www.worldcat.org/oclc/4192249","WorldCat Record")</f>
        <v/>
      </c>
      <c r="AU156" t="inlineStr">
        <is>
          <t>425123336:eng</t>
        </is>
      </c>
      <c r="AV156" t="inlineStr">
        <is>
          <t>4192249</t>
        </is>
      </c>
      <c r="AW156" t="inlineStr">
        <is>
          <t>991004603919702656</t>
        </is>
      </c>
      <c r="AX156" t="inlineStr">
        <is>
          <t>991004603919702656</t>
        </is>
      </c>
      <c r="AY156" t="inlineStr">
        <is>
          <t>2263450590002656</t>
        </is>
      </c>
      <c r="AZ156" t="inlineStr">
        <is>
          <t>BOOK</t>
        </is>
      </c>
      <c r="BB156" t="inlineStr">
        <is>
          <t>9780060131074</t>
        </is>
      </c>
      <c r="BC156" t="inlineStr">
        <is>
          <t>32285001249530</t>
        </is>
      </c>
      <c r="BD156" t="inlineStr">
        <is>
          <t>893331816</t>
        </is>
      </c>
    </row>
    <row r="157">
      <c r="A157" t="inlineStr">
        <is>
          <t>No</t>
        </is>
      </c>
      <c r="B157" t="inlineStr">
        <is>
          <t>PS1692 .J3 1899</t>
        </is>
      </c>
      <c r="C157" t="inlineStr">
        <is>
          <t>0                      PS 1692000J  3           1899</t>
        </is>
      </c>
      <c r="D157" t="inlineStr">
        <is>
          <t>Janice Meredith; a story of the American revolution, by Paul Leicester Ford ...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Ford, Paul Leicester, 1865-1902.</t>
        </is>
      </c>
      <c r="L157" t="inlineStr">
        <is>
          <t>New York, Dodd, Mead and Company, 1899.</t>
        </is>
      </c>
      <c r="M157" t="inlineStr">
        <is>
          <t>1899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PS </t>
        </is>
      </c>
      <c r="S157" t="n">
        <v>1</v>
      </c>
      <c r="T157" t="n">
        <v>1</v>
      </c>
      <c r="U157" t="inlineStr">
        <is>
          <t>2001-02-19</t>
        </is>
      </c>
      <c r="V157" t="inlineStr">
        <is>
          <t>2001-02-19</t>
        </is>
      </c>
      <c r="W157" t="inlineStr">
        <is>
          <t>1997-05-13</t>
        </is>
      </c>
      <c r="X157" t="inlineStr">
        <is>
          <t>1997-05-13</t>
        </is>
      </c>
      <c r="Y157" t="n">
        <v>322</v>
      </c>
      <c r="Z157" t="n">
        <v>313</v>
      </c>
      <c r="AA157" t="n">
        <v>808</v>
      </c>
      <c r="AB157" t="n">
        <v>6</v>
      </c>
      <c r="AC157" t="n">
        <v>8</v>
      </c>
      <c r="AD157" t="n">
        <v>16</v>
      </c>
      <c r="AE157" t="n">
        <v>36</v>
      </c>
      <c r="AF157" t="n">
        <v>6</v>
      </c>
      <c r="AG157" t="n">
        <v>14</v>
      </c>
      <c r="AH157" t="n">
        <v>1</v>
      </c>
      <c r="AI157" t="n">
        <v>8</v>
      </c>
      <c r="AJ157" t="n">
        <v>8</v>
      </c>
      <c r="AK157" t="n">
        <v>15</v>
      </c>
      <c r="AL157" t="n">
        <v>5</v>
      </c>
      <c r="AM157" t="n">
        <v>6</v>
      </c>
      <c r="AN157" t="n">
        <v>0</v>
      </c>
      <c r="AO157" t="n">
        <v>0</v>
      </c>
      <c r="AP157" t="inlineStr">
        <is>
          <t>Yes</t>
        </is>
      </c>
      <c r="AQ157" t="inlineStr">
        <is>
          <t>No</t>
        </is>
      </c>
      <c r="AR157">
        <f>HYPERLINK("http://catalog.hathitrust.org/Record/000249888","HathiTrust Record")</f>
        <v/>
      </c>
      <c r="AS157">
        <f>HYPERLINK("https://creighton-primo.hosted.exlibrisgroup.com/primo-explore/search?tab=default_tab&amp;search_scope=EVERYTHING&amp;vid=01CRU&amp;lang=en_US&amp;offset=0&amp;query=any,contains,991003035239702656","Catalog Record")</f>
        <v/>
      </c>
      <c r="AT157">
        <f>HYPERLINK("http://www.worldcat.org/oclc/598201","WorldCat Record")</f>
        <v/>
      </c>
      <c r="AU157" t="inlineStr">
        <is>
          <t>1436995:eng</t>
        </is>
      </c>
      <c r="AV157" t="inlineStr">
        <is>
          <t>598201</t>
        </is>
      </c>
      <c r="AW157" t="inlineStr">
        <is>
          <t>991003035239702656</t>
        </is>
      </c>
      <c r="AX157" t="inlineStr">
        <is>
          <t>991003035239702656</t>
        </is>
      </c>
      <c r="AY157" t="inlineStr">
        <is>
          <t>2271173620002656</t>
        </is>
      </c>
      <c r="AZ157" t="inlineStr">
        <is>
          <t>BOOK</t>
        </is>
      </c>
      <c r="BC157" t="inlineStr">
        <is>
          <t>32285002639556</t>
        </is>
      </c>
      <c r="BD157" t="inlineStr">
        <is>
          <t>893434590</t>
        </is>
      </c>
    </row>
    <row r="158">
      <c r="A158" t="inlineStr">
        <is>
          <t>No</t>
        </is>
      </c>
      <c r="B158" t="inlineStr">
        <is>
          <t>PS1713 .W4</t>
        </is>
      </c>
      <c r="C158" t="inlineStr">
        <is>
          <t>0                      PS 1713000W  4</t>
        </is>
      </c>
      <c r="D158" t="inlineStr">
        <is>
          <t>Mary Wilkins Freeman / by Perry D. Westbrook.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Yes</t>
        </is>
      </c>
      <c r="J158" t="inlineStr">
        <is>
          <t>0</t>
        </is>
      </c>
      <c r="K158" t="inlineStr">
        <is>
          <t>Westbrook, Perry D.</t>
        </is>
      </c>
      <c r="L158" t="inlineStr">
        <is>
          <t>New York : Twayne Publishers, [1967]</t>
        </is>
      </c>
      <c r="M158" t="inlineStr">
        <is>
          <t>1967</t>
        </is>
      </c>
      <c r="O158" t="inlineStr">
        <is>
          <t>eng</t>
        </is>
      </c>
      <c r="P158" t="inlineStr">
        <is>
          <t>nyu</t>
        </is>
      </c>
      <c r="Q158" t="inlineStr">
        <is>
          <t>Twayne's United States authors series, 122</t>
        </is>
      </c>
      <c r="R158" t="inlineStr">
        <is>
          <t xml:space="preserve">PS </t>
        </is>
      </c>
      <c r="S158" t="n">
        <v>6</v>
      </c>
      <c r="T158" t="n">
        <v>6</v>
      </c>
      <c r="U158" t="inlineStr">
        <is>
          <t>2003-11-02</t>
        </is>
      </c>
      <c r="V158" t="inlineStr">
        <is>
          <t>2003-11-02</t>
        </is>
      </c>
      <c r="W158" t="inlineStr">
        <is>
          <t>1994-10-12</t>
        </is>
      </c>
      <c r="X158" t="inlineStr">
        <is>
          <t>1994-10-12</t>
        </is>
      </c>
      <c r="Y158" t="n">
        <v>960</v>
      </c>
      <c r="Z158" t="n">
        <v>885</v>
      </c>
      <c r="AA158" t="n">
        <v>1242</v>
      </c>
      <c r="AB158" t="n">
        <v>10</v>
      </c>
      <c r="AC158" t="n">
        <v>12</v>
      </c>
      <c r="AD158" t="n">
        <v>43</v>
      </c>
      <c r="AE158" t="n">
        <v>54</v>
      </c>
      <c r="AF158" t="n">
        <v>17</v>
      </c>
      <c r="AG158" t="n">
        <v>22</v>
      </c>
      <c r="AH158" t="n">
        <v>8</v>
      </c>
      <c r="AI158" t="n">
        <v>10</v>
      </c>
      <c r="AJ158" t="n">
        <v>19</v>
      </c>
      <c r="AK158" t="n">
        <v>23</v>
      </c>
      <c r="AL158" t="n">
        <v>9</v>
      </c>
      <c r="AM158" t="n">
        <v>11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HYPERLINK("http://catalog.hathitrust.org/Record/001027355","HathiTrust Record")</f>
        <v/>
      </c>
      <c r="AS158">
        <f>HYPERLINK("https://creighton-primo.hosted.exlibrisgroup.com/primo-explore/search?tab=default_tab&amp;search_scope=EVERYTHING&amp;vid=01CRU&amp;lang=en_US&amp;offset=0&amp;query=any,contains,991003325299702656","Catalog Record")</f>
        <v/>
      </c>
      <c r="AT158">
        <f>HYPERLINK("http://www.worldcat.org/oclc/854436","WorldCat Record")</f>
        <v/>
      </c>
      <c r="AU158" t="inlineStr">
        <is>
          <t>579426:eng</t>
        </is>
      </c>
      <c r="AV158" t="inlineStr">
        <is>
          <t>854436</t>
        </is>
      </c>
      <c r="AW158" t="inlineStr">
        <is>
          <t>991003325299702656</t>
        </is>
      </c>
      <c r="AX158" t="inlineStr">
        <is>
          <t>991003325299702656</t>
        </is>
      </c>
      <c r="AY158" t="inlineStr">
        <is>
          <t>2265497680002656</t>
        </is>
      </c>
      <c r="AZ158" t="inlineStr">
        <is>
          <t>BOOK</t>
        </is>
      </c>
      <c r="BC158" t="inlineStr">
        <is>
          <t>32285001960961</t>
        </is>
      </c>
      <c r="BD158" t="inlineStr">
        <is>
          <t>893240094</t>
        </is>
      </c>
    </row>
    <row r="159">
      <c r="A159" t="inlineStr">
        <is>
          <t>No</t>
        </is>
      </c>
      <c r="B159" t="inlineStr">
        <is>
          <t>PS1713 .W4 1988</t>
        </is>
      </c>
      <c r="C159" t="inlineStr">
        <is>
          <t>0                      PS 1713000W  4           1988</t>
        </is>
      </c>
      <c r="D159" t="inlineStr">
        <is>
          <t>Mary Wilkins Freeman / by Perry D. Westbrook.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0</t>
        </is>
      </c>
      <c r="K159" t="inlineStr">
        <is>
          <t>Westbrook, Perry D.</t>
        </is>
      </c>
      <c r="L159" t="inlineStr">
        <is>
          <t>Boston : Twayne Publishers, c1988.</t>
        </is>
      </c>
      <c r="M159" t="inlineStr">
        <is>
          <t>1988</t>
        </is>
      </c>
      <c r="N159" t="inlineStr">
        <is>
          <t>Rev. ed.</t>
        </is>
      </c>
      <c r="O159" t="inlineStr">
        <is>
          <t>eng</t>
        </is>
      </c>
      <c r="P159" t="inlineStr">
        <is>
          <t>mau</t>
        </is>
      </c>
      <c r="Q159" t="inlineStr">
        <is>
          <t>Twayne's United States authors series ; TUSAS 122</t>
        </is>
      </c>
      <c r="R159" t="inlineStr">
        <is>
          <t xml:space="preserve">PS </t>
        </is>
      </c>
      <c r="S159" t="n">
        <v>10</v>
      </c>
      <c r="T159" t="n">
        <v>10</v>
      </c>
      <c r="U159" t="inlineStr">
        <is>
          <t>2003-11-02</t>
        </is>
      </c>
      <c r="V159" t="inlineStr">
        <is>
          <t>2003-11-02</t>
        </is>
      </c>
      <c r="W159" t="inlineStr">
        <is>
          <t>1990-10-29</t>
        </is>
      </c>
      <c r="X159" t="inlineStr">
        <is>
          <t>1990-10-29</t>
        </is>
      </c>
      <c r="Y159" t="n">
        <v>578</v>
      </c>
      <c r="Z159" t="n">
        <v>529</v>
      </c>
      <c r="AA159" t="n">
        <v>1242</v>
      </c>
      <c r="AB159" t="n">
        <v>5</v>
      </c>
      <c r="AC159" t="n">
        <v>12</v>
      </c>
      <c r="AD159" t="n">
        <v>24</v>
      </c>
      <c r="AE159" t="n">
        <v>54</v>
      </c>
      <c r="AF159" t="n">
        <v>9</v>
      </c>
      <c r="AG159" t="n">
        <v>22</v>
      </c>
      <c r="AH159" t="n">
        <v>4</v>
      </c>
      <c r="AI159" t="n">
        <v>10</v>
      </c>
      <c r="AJ159" t="n">
        <v>13</v>
      </c>
      <c r="AK159" t="n">
        <v>23</v>
      </c>
      <c r="AL159" t="n">
        <v>4</v>
      </c>
      <c r="AM159" t="n">
        <v>11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HYPERLINK("http://catalog.hathitrust.org/Record/001075833","HathiTrust Record")</f>
        <v/>
      </c>
      <c r="AS159">
        <f>HYPERLINK("https://creighton-primo.hosted.exlibrisgroup.com/primo-explore/search?tab=default_tab&amp;search_scope=EVERYTHING&amp;vid=01CRU&amp;lang=en_US&amp;offset=0&amp;query=any,contains,991001269519702656","Catalog Record")</f>
        <v/>
      </c>
      <c r="AT159">
        <f>HYPERLINK("http://www.worldcat.org/oclc/17840626","WorldCat Record")</f>
        <v/>
      </c>
      <c r="AU159" t="inlineStr">
        <is>
          <t>579426:eng</t>
        </is>
      </c>
      <c r="AV159" t="inlineStr">
        <is>
          <t>17840626</t>
        </is>
      </c>
      <c r="AW159" t="inlineStr">
        <is>
          <t>991001269519702656</t>
        </is>
      </c>
      <c r="AX159" t="inlineStr">
        <is>
          <t>991001269519702656</t>
        </is>
      </c>
      <c r="AY159" t="inlineStr">
        <is>
          <t>2269419570002656</t>
        </is>
      </c>
      <c r="AZ159" t="inlineStr">
        <is>
          <t>BOOK</t>
        </is>
      </c>
      <c r="BB159" t="inlineStr">
        <is>
          <t>9780805775235</t>
        </is>
      </c>
      <c r="BC159" t="inlineStr">
        <is>
          <t>32285000363530</t>
        </is>
      </c>
      <c r="BD159" t="inlineStr">
        <is>
          <t>893503266</t>
        </is>
      </c>
    </row>
    <row r="160">
      <c r="A160" t="inlineStr">
        <is>
          <t>No</t>
        </is>
      </c>
      <c r="B160" t="inlineStr">
        <is>
          <t>PS173.W6 J4</t>
        </is>
      </c>
      <c r="C160" t="inlineStr">
        <is>
          <t>0                      PS 0173000W  6                  J  4</t>
        </is>
      </c>
      <c r="D160" t="inlineStr">
        <is>
          <t>The faith of our feminists : a study in the novels of Edith Wharton, Ellen Glasgow, Willa Cather.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Jessup, Josephine Lurie.</t>
        </is>
      </c>
      <c r="L160" t="inlineStr">
        <is>
          <t>New York : R.R. Smith, 1950.</t>
        </is>
      </c>
      <c r="M160" t="inlineStr">
        <is>
          <t>1950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PS </t>
        </is>
      </c>
      <c r="S160" t="n">
        <v>4</v>
      </c>
      <c r="T160" t="n">
        <v>4</v>
      </c>
      <c r="U160" t="inlineStr">
        <is>
          <t>1995-04-21</t>
        </is>
      </c>
      <c r="V160" t="inlineStr">
        <is>
          <t>1995-04-21</t>
        </is>
      </c>
      <c r="W160" t="inlineStr">
        <is>
          <t>1992-11-23</t>
        </is>
      </c>
      <c r="X160" t="inlineStr">
        <is>
          <t>1992-11-23</t>
        </is>
      </c>
      <c r="Y160" t="n">
        <v>481</v>
      </c>
      <c r="Z160" t="n">
        <v>452</v>
      </c>
      <c r="AA160" t="n">
        <v>927</v>
      </c>
      <c r="AB160" t="n">
        <v>7</v>
      </c>
      <c r="AC160" t="n">
        <v>12</v>
      </c>
      <c r="AD160" t="n">
        <v>31</v>
      </c>
      <c r="AE160" t="n">
        <v>43</v>
      </c>
      <c r="AF160" t="n">
        <v>12</v>
      </c>
      <c r="AG160" t="n">
        <v>16</v>
      </c>
      <c r="AH160" t="n">
        <v>7</v>
      </c>
      <c r="AI160" t="n">
        <v>8</v>
      </c>
      <c r="AJ160" t="n">
        <v>16</v>
      </c>
      <c r="AK160" t="n">
        <v>22</v>
      </c>
      <c r="AL160" t="n">
        <v>6</v>
      </c>
      <c r="AM160" t="n">
        <v>9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HYPERLINK("http://catalog.hathitrust.org/Record/001026478","HathiTrust Record")</f>
        <v/>
      </c>
      <c r="AS160">
        <f>HYPERLINK("https://creighton-primo.hosted.exlibrisgroup.com/primo-explore/search?tab=default_tab&amp;search_scope=EVERYTHING&amp;vid=01CRU&amp;lang=en_US&amp;offset=0&amp;query=any,contains,991002127409702656","Catalog Record")</f>
        <v/>
      </c>
      <c r="AT160">
        <f>HYPERLINK("http://www.worldcat.org/oclc/269338","WorldCat Record")</f>
        <v/>
      </c>
      <c r="AU160" t="inlineStr">
        <is>
          <t>484363:eng</t>
        </is>
      </c>
      <c r="AV160" t="inlineStr">
        <is>
          <t>269338</t>
        </is>
      </c>
      <c r="AW160" t="inlineStr">
        <is>
          <t>991002127409702656</t>
        </is>
      </c>
      <c r="AX160" t="inlineStr">
        <is>
          <t>991002127409702656</t>
        </is>
      </c>
      <c r="AY160" t="inlineStr">
        <is>
          <t>2267427120002656</t>
        </is>
      </c>
      <c r="AZ160" t="inlineStr">
        <is>
          <t>BOOK</t>
        </is>
      </c>
      <c r="BC160" t="inlineStr">
        <is>
          <t>32285001408052</t>
        </is>
      </c>
      <c r="BD160" t="inlineStr">
        <is>
          <t>893408725</t>
        </is>
      </c>
    </row>
    <row r="161">
      <c r="A161" t="inlineStr">
        <is>
          <t>No</t>
        </is>
      </c>
      <c r="B161" t="inlineStr">
        <is>
          <t>PS1733 .M27</t>
        </is>
      </c>
      <c r="C161" t="inlineStr">
        <is>
          <t>0                      PS 1733000M  27</t>
        </is>
      </c>
      <c r="D161" t="inlineStr">
        <is>
          <t>Hamlin Garland / by Joseph B. McCullough.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McCullough, Joseph B.</t>
        </is>
      </c>
      <c r="L161" t="inlineStr">
        <is>
          <t>Boston : Twayne Publishers, c1978.</t>
        </is>
      </c>
      <c r="M161" t="inlineStr">
        <is>
          <t>1978</t>
        </is>
      </c>
      <c r="O161" t="inlineStr">
        <is>
          <t>eng</t>
        </is>
      </c>
      <c r="P161" t="inlineStr">
        <is>
          <t>mau</t>
        </is>
      </c>
      <c r="Q161" t="inlineStr">
        <is>
          <t>Twayne's United States authors series ; TUSAS 299</t>
        </is>
      </c>
      <c r="R161" t="inlineStr">
        <is>
          <t xml:space="preserve">PS </t>
        </is>
      </c>
      <c r="S161" t="n">
        <v>5</v>
      </c>
      <c r="T161" t="n">
        <v>5</v>
      </c>
      <c r="U161" t="inlineStr">
        <is>
          <t>2004-11-29</t>
        </is>
      </c>
      <c r="V161" t="inlineStr">
        <is>
          <t>2004-11-29</t>
        </is>
      </c>
      <c r="W161" t="inlineStr">
        <is>
          <t>1994-10-12</t>
        </is>
      </c>
      <c r="X161" t="inlineStr">
        <is>
          <t>1994-10-12</t>
        </is>
      </c>
      <c r="Y161" t="n">
        <v>885</v>
      </c>
      <c r="Z161" t="n">
        <v>802</v>
      </c>
      <c r="AA161" t="n">
        <v>808</v>
      </c>
      <c r="AB161" t="n">
        <v>8</v>
      </c>
      <c r="AC161" t="n">
        <v>8</v>
      </c>
      <c r="AD161" t="n">
        <v>37</v>
      </c>
      <c r="AE161" t="n">
        <v>37</v>
      </c>
      <c r="AF161" t="n">
        <v>14</v>
      </c>
      <c r="AG161" t="n">
        <v>14</v>
      </c>
      <c r="AH161" t="n">
        <v>7</v>
      </c>
      <c r="AI161" t="n">
        <v>7</v>
      </c>
      <c r="AJ161" t="n">
        <v>17</v>
      </c>
      <c r="AK161" t="n">
        <v>17</v>
      </c>
      <c r="AL161" t="n">
        <v>7</v>
      </c>
      <c r="AM161" t="n">
        <v>7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HYPERLINK("http://catalog.hathitrust.org/Record/000749054","HathiTrust Record")</f>
        <v/>
      </c>
      <c r="AS161">
        <f>HYPERLINK("https://creighton-primo.hosted.exlibrisgroup.com/primo-explore/search?tab=default_tab&amp;search_scope=EVERYTHING&amp;vid=01CRU&amp;lang=en_US&amp;offset=0&amp;query=any,contains,991004407639702656","Catalog Record")</f>
        <v/>
      </c>
      <c r="AT161">
        <f>HYPERLINK("http://www.worldcat.org/oclc/3327600","WorldCat Record")</f>
        <v/>
      </c>
      <c r="AU161" t="inlineStr">
        <is>
          <t>3768815570:eng</t>
        </is>
      </c>
      <c r="AV161" t="inlineStr">
        <is>
          <t>3327600</t>
        </is>
      </c>
      <c r="AW161" t="inlineStr">
        <is>
          <t>991004407639702656</t>
        </is>
      </c>
      <c r="AX161" t="inlineStr">
        <is>
          <t>991004407639702656</t>
        </is>
      </c>
      <c r="AY161" t="inlineStr">
        <is>
          <t>2267340810002656</t>
        </is>
      </c>
      <c r="AZ161" t="inlineStr">
        <is>
          <t>BOOK</t>
        </is>
      </c>
      <c r="BB161" t="inlineStr">
        <is>
          <t>9780805772036</t>
        </is>
      </c>
      <c r="BC161" t="inlineStr">
        <is>
          <t>32285001960946</t>
        </is>
      </c>
      <c r="BD161" t="inlineStr">
        <is>
          <t>893229326</t>
        </is>
      </c>
    </row>
    <row r="162">
      <c r="A162" t="inlineStr">
        <is>
          <t>No</t>
        </is>
      </c>
      <c r="B162" t="inlineStr">
        <is>
          <t>PS1744 .G1153</t>
        </is>
      </c>
      <c r="C162" t="inlineStr">
        <is>
          <t>0                      PS 1744000G  1153</t>
        </is>
      </c>
      <c r="D162" t="inlineStr">
        <is>
          <t>Illustrations of genius, in some of its relations to culture and society. By Henry Giles ....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Giles, Henry, 1809-1882.</t>
        </is>
      </c>
      <c r="L162" t="inlineStr">
        <is>
          <t>Boston, Ticknor and Fields, 1854.</t>
        </is>
      </c>
      <c r="M162" t="inlineStr">
        <is>
          <t>1854</t>
        </is>
      </c>
      <c r="O162" t="inlineStr">
        <is>
          <t>eng</t>
        </is>
      </c>
      <c r="P162" t="inlineStr">
        <is>
          <t>mau</t>
        </is>
      </c>
      <c r="R162" t="inlineStr">
        <is>
          <t xml:space="preserve">PS </t>
        </is>
      </c>
      <c r="S162" t="n">
        <v>4</v>
      </c>
      <c r="T162" t="n">
        <v>4</v>
      </c>
      <c r="U162" t="inlineStr">
        <is>
          <t>2002-11-20</t>
        </is>
      </c>
      <c r="V162" t="inlineStr">
        <is>
          <t>2002-11-20</t>
        </is>
      </c>
      <c r="W162" t="inlineStr">
        <is>
          <t>1997-05-13</t>
        </is>
      </c>
      <c r="X162" t="inlineStr">
        <is>
          <t>1997-05-13</t>
        </is>
      </c>
      <c r="Y162" t="n">
        <v>94</v>
      </c>
      <c r="Z162" t="n">
        <v>91</v>
      </c>
      <c r="AA162" t="n">
        <v>116</v>
      </c>
      <c r="AB162" t="n">
        <v>2</v>
      </c>
      <c r="AC162" t="n">
        <v>2</v>
      </c>
      <c r="AD162" t="n">
        <v>5</v>
      </c>
      <c r="AE162" t="n">
        <v>5</v>
      </c>
      <c r="AF162" t="n">
        <v>1</v>
      </c>
      <c r="AG162" t="n">
        <v>1</v>
      </c>
      <c r="AH162" t="n">
        <v>0</v>
      </c>
      <c r="AI162" t="n">
        <v>0</v>
      </c>
      <c r="AJ162" t="n">
        <v>3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Yes</t>
        </is>
      </c>
      <c r="AQ162" t="inlineStr">
        <is>
          <t>No</t>
        </is>
      </c>
      <c r="AR162">
        <f>HYPERLINK("http://catalog.hathitrust.org/Record/001439910","HathiTrust Record")</f>
        <v/>
      </c>
      <c r="AS162">
        <f>HYPERLINK("https://creighton-primo.hosted.exlibrisgroup.com/primo-explore/search?tab=default_tab&amp;search_scope=EVERYTHING&amp;vid=01CRU&amp;lang=en_US&amp;offset=0&amp;query=any,contains,991005041149702656","Catalog Record")</f>
        <v/>
      </c>
      <c r="AT162">
        <f>HYPERLINK("http://www.worldcat.org/oclc/6791271","WorldCat Record")</f>
        <v/>
      </c>
      <c r="AU162" t="inlineStr">
        <is>
          <t>19901413:eng</t>
        </is>
      </c>
      <c r="AV162" t="inlineStr">
        <is>
          <t>6791271</t>
        </is>
      </c>
      <c r="AW162" t="inlineStr">
        <is>
          <t>991005041149702656</t>
        </is>
      </c>
      <c r="AX162" t="inlineStr">
        <is>
          <t>991005041149702656</t>
        </is>
      </c>
      <c r="AY162" t="inlineStr">
        <is>
          <t>2272114040002656</t>
        </is>
      </c>
      <c r="AZ162" t="inlineStr">
        <is>
          <t>BOOK</t>
        </is>
      </c>
      <c r="BC162" t="inlineStr">
        <is>
          <t>32285002639887</t>
        </is>
      </c>
      <c r="BD162" t="inlineStr">
        <is>
          <t>893338410</t>
        </is>
      </c>
    </row>
    <row r="163">
      <c r="A163" t="inlineStr">
        <is>
          <t>No</t>
        </is>
      </c>
      <c r="B163" t="inlineStr">
        <is>
          <t>PS1744.G2 S5 1977</t>
        </is>
      </c>
      <c r="C163" t="inlineStr">
        <is>
          <t>0                      PS 1744000G  2                  S  5           1977</t>
        </is>
      </c>
      <c r="D163" t="inlineStr">
        <is>
          <t>Sherlock Holmes : a play / by William Gillette and Sir Arthur Conan Doyle. --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Gillette, William, 1853-1937.</t>
        </is>
      </c>
      <c r="L163" t="inlineStr">
        <is>
          <t>Garden City, N.Y. : Doubleday, 1977, c1976.</t>
        </is>
      </c>
      <c r="M163" t="inlineStr">
        <is>
          <t>1977</t>
        </is>
      </c>
      <c r="N163" t="inlineStr">
        <is>
          <t>1st ed.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PS </t>
        </is>
      </c>
      <c r="S163" t="n">
        <v>2</v>
      </c>
      <c r="T163" t="n">
        <v>2</v>
      </c>
      <c r="U163" t="inlineStr">
        <is>
          <t>1994-12-12</t>
        </is>
      </c>
      <c r="V163" t="inlineStr">
        <is>
          <t>1994-12-12</t>
        </is>
      </c>
      <c r="W163" t="inlineStr">
        <is>
          <t>1990-10-29</t>
        </is>
      </c>
      <c r="X163" t="inlineStr">
        <is>
          <t>1990-10-29</t>
        </is>
      </c>
      <c r="Y163" t="n">
        <v>356</v>
      </c>
      <c r="Z163" t="n">
        <v>349</v>
      </c>
      <c r="AA163" t="n">
        <v>636</v>
      </c>
      <c r="AB163" t="n">
        <v>5</v>
      </c>
      <c r="AC163" t="n">
        <v>7</v>
      </c>
      <c r="AD163" t="n">
        <v>11</v>
      </c>
      <c r="AE163" t="n">
        <v>26</v>
      </c>
      <c r="AF163" t="n">
        <v>4</v>
      </c>
      <c r="AG163" t="n">
        <v>12</v>
      </c>
      <c r="AH163" t="n">
        <v>3</v>
      </c>
      <c r="AI163" t="n">
        <v>6</v>
      </c>
      <c r="AJ163" t="n">
        <v>5</v>
      </c>
      <c r="AK163" t="n">
        <v>10</v>
      </c>
      <c r="AL163" t="n">
        <v>2</v>
      </c>
      <c r="AM163" t="n">
        <v>4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HYPERLINK("http://catalog.hathitrust.org/Record/007114587","HathiTrust Record")</f>
        <v/>
      </c>
      <c r="AS163">
        <f>HYPERLINK("https://creighton-primo.hosted.exlibrisgroup.com/primo-explore/search?tab=default_tab&amp;search_scope=EVERYTHING&amp;vid=01CRU&amp;lang=en_US&amp;offset=0&amp;query=any,contains,991004392769702656","Catalog Record")</f>
        <v/>
      </c>
      <c r="AT163">
        <f>HYPERLINK("http://www.worldcat.org/oclc/3273240","WorldCat Record")</f>
        <v/>
      </c>
      <c r="AU163" t="inlineStr">
        <is>
          <t>3768462689:eng</t>
        </is>
      </c>
      <c r="AV163" t="inlineStr">
        <is>
          <t>3273240</t>
        </is>
      </c>
      <c r="AW163" t="inlineStr">
        <is>
          <t>991004392769702656</t>
        </is>
      </c>
      <c r="AX163" t="inlineStr">
        <is>
          <t>991004392769702656</t>
        </is>
      </c>
      <c r="AY163" t="inlineStr">
        <is>
          <t>2260771970002656</t>
        </is>
      </c>
      <c r="AZ163" t="inlineStr">
        <is>
          <t>BOOK</t>
        </is>
      </c>
      <c r="BB163" t="inlineStr">
        <is>
          <t>9780385111683</t>
        </is>
      </c>
      <c r="BC163" t="inlineStr">
        <is>
          <t>32285000363571</t>
        </is>
      </c>
      <c r="BD163" t="inlineStr">
        <is>
          <t>893526048</t>
        </is>
      </c>
    </row>
    <row r="164">
      <c r="A164" t="inlineStr">
        <is>
          <t>No</t>
        </is>
      </c>
      <c r="B164" t="inlineStr">
        <is>
          <t>PS1772 .P4 1970</t>
        </is>
      </c>
      <c r="C164" t="inlineStr">
        <is>
          <t>0                      PS 1772000P  4           1970</t>
        </is>
      </c>
      <c r="D164" t="inlineStr">
        <is>
          <t>Philip Nolan's friends.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Hale, Edward Everett, 1822-1909.</t>
        </is>
      </c>
      <c r="L164" t="inlineStr">
        <is>
          <t>Upper Saddle River, N.J., Literature House [1970]</t>
        </is>
      </c>
      <c r="M164" t="inlineStr">
        <is>
          <t>1970</t>
        </is>
      </c>
      <c r="O164" t="inlineStr">
        <is>
          <t>eng</t>
        </is>
      </c>
      <c r="P164" t="inlineStr">
        <is>
          <t>nju</t>
        </is>
      </c>
      <c r="R164" t="inlineStr">
        <is>
          <t xml:space="preserve">PS </t>
        </is>
      </c>
      <c r="S164" t="n">
        <v>0</v>
      </c>
      <c r="T164" t="n">
        <v>0</v>
      </c>
      <c r="U164" t="inlineStr">
        <is>
          <t>2003-04-11</t>
        </is>
      </c>
      <c r="V164" t="inlineStr">
        <is>
          <t>2003-04-11</t>
        </is>
      </c>
      <c r="W164" t="inlineStr">
        <is>
          <t>1997-05-14</t>
        </is>
      </c>
      <c r="X164" t="inlineStr">
        <is>
          <t>1997-05-14</t>
        </is>
      </c>
      <c r="Y164" t="n">
        <v>96</v>
      </c>
      <c r="Z164" t="n">
        <v>84</v>
      </c>
      <c r="AA164" t="n">
        <v>291</v>
      </c>
      <c r="AB164" t="n">
        <v>3</v>
      </c>
      <c r="AC164" t="n">
        <v>3</v>
      </c>
      <c r="AD164" t="n">
        <v>2</v>
      </c>
      <c r="AE164" t="n">
        <v>5</v>
      </c>
      <c r="AF164" t="n">
        <v>0</v>
      </c>
      <c r="AG164" t="n">
        <v>0</v>
      </c>
      <c r="AH164" t="n">
        <v>0</v>
      </c>
      <c r="AI164" t="n">
        <v>2</v>
      </c>
      <c r="AJ164" t="n">
        <v>0</v>
      </c>
      <c r="AK164" t="n">
        <v>1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HYPERLINK("http://catalog.hathitrust.org/Record/000432992","HathiTrust Record")</f>
        <v/>
      </c>
      <c r="AS164">
        <f>HYPERLINK("https://creighton-primo.hosted.exlibrisgroup.com/primo-explore/search?tab=default_tab&amp;search_scope=EVERYTHING&amp;vid=01CRU&amp;lang=en_US&amp;offset=0&amp;query=any,contains,991000515569702656","Catalog Record")</f>
        <v/>
      </c>
      <c r="AT164">
        <f>HYPERLINK("http://www.worldcat.org/oclc/85444","WorldCat Record")</f>
        <v/>
      </c>
      <c r="AU164" t="inlineStr">
        <is>
          <t>2302718:eng</t>
        </is>
      </c>
      <c r="AV164" t="inlineStr">
        <is>
          <t>85444</t>
        </is>
      </c>
      <c r="AW164" t="inlineStr">
        <is>
          <t>991000515569702656</t>
        </is>
      </c>
      <c r="AX164" t="inlineStr">
        <is>
          <t>991000515569702656</t>
        </is>
      </c>
      <c r="AY164" t="inlineStr">
        <is>
          <t>2267162400002656</t>
        </is>
      </c>
      <c r="AZ164" t="inlineStr">
        <is>
          <t>BOOK</t>
        </is>
      </c>
      <c r="BB164" t="inlineStr">
        <is>
          <t>9780839807513</t>
        </is>
      </c>
      <c r="BC164" t="inlineStr">
        <is>
          <t>32285002710068</t>
        </is>
      </c>
      <c r="BD164" t="inlineStr">
        <is>
          <t>893528111</t>
        </is>
      </c>
    </row>
    <row r="165">
      <c r="A165" t="inlineStr">
        <is>
          <t>No</t>
        </is>
      </c>
      <c r="B165" t="inlineStr">
        <is>
          <t>PS1779.H16 L4 1832</t>
        </is>
      </c>
      <c r="C165" t="inlineStr">
        <is>
          <t>0                      PS 1779000H  16                 L  4           1832</t>
        </is>
      </c>
      <c r="D165" t="inlineStr">
        <is>
          <t>Legends of the West / by James Hall.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Hall, James, 1793-1868.</t>
        </is>
      </c>
      <c r="L165" t="inlineStr">
        <is>
          <t>Philadelphia : H. Hall, 1832.</t>
        </is>
      </c>
      <c r="M165" t="inlineStr">
        <is>
          <t>1832</t>
        </is>
      </c>
      <c r="O165" t="inlineStr">
        <is>
          <t>eng</t>
        </is>
      </c>
      <c r="P165" t="inlineStr">
        <is>
          <t>pau</t>
        </is>
      </c>
      <c r="R165" t="inlineStr">
        <is>
          <t xml:space="preserve">PS </t>
        </is>
      </c>
      <c r="S165" t="n">
        <v>1</v>
      </c>
      <c r="T165" t="n">
        <v>1</v>
      </c>
      <c r="U165" t="inlineStr">
        <is>
          <t>1999-06-03</t>
        </is>
      </c>
      <c r="V165" t="inlineStr">
        <is>
          <t>1999-06-03</t>
        </is>
      </c>
      <c r="W165" t="inlineStr">
        <is>
          <t>1996-07-19</t>
        </is>
      </c>
      <c r="X165" t="inlineStr">
        <is>
          <t>1996-07-19</t>
        </is>
      </c>
      <c r="Y165" t="n">
        <v>60</v>
      </c>
      <c r="Z165" t="n">
        <v>58</v>
      </c>
      <c r="AA165" t="n">
        <v>317</v>
      </c>
      <c r="AB165" t="n">
        <v>1</v>
      </c>
      <c r="AC165" t="n">
        <v>3</v>
      </c>
      <c r="AD165" t="n">
        <v>0</v>
      </c>
      <c r="AE165" t="n">
        <v>10</v>
      </c>
      <c r="AF165" t="n">
        <v>0</v>
      </c>
      <c r="AG165" t="n">
        <v>2</v>
      </c>
      <c r="AH165" t="n">
        <v>0</v>
      </c>
      <c r="AI165" t="n">
        <v>4</v>
      </c>
      <c r="AJ165" t="n">
        <v>0</v>
      </c>
      <c r="AK165" t="n">
        <v>3</v>
      </c>
      <c r="AL165" t="n">
        <v>0</v>
      </c>
      <c r="AM165" t="n">
        <v>2</v>
      </c>
      <c r="AN165" t="n">
        <v>0</v>
      </c>
      <c r="AO165" t="n">
        <v>0</v>
      </c>
      <c r="AP165" t="inlineStr">
        <is>
          <t>Yes</t>
        </is>
      </c>
      <c r="AQ165" t="inlineStr">
        <is>
          <t>No</t>
        </is>
      </c>
      <c r="AR165">
        <f>HYPERLINK("http://catalog.hathitrust.org/Record/100613013","HathiTrust Record")</f>
        <v/>
      </c>
      <c r="AS165">
        <f>HYPERLINK("https://creighton-primo.hosted.exlibrisgroup.com/primo-explore/search?tab=default_tab&amp;search_scope=EVERYTHING&amp;vid=01CRU&amp;lang=en_US&amp;offset=0&amp;query=any,contains,991004621979702656","Catalog Record")</f>
        <v/>
      </c>
      <c r="AT165">
        <f>HYPERLINK("http://www.worldcat.org/oclc/4303803","WorldCat Record")</f>
        <v/>
      </c>
      <c r="AU165" t="inlineStr">
        <is>
          <t>4926825381:eng</t>
        </is>
      </c>
      <c r="AV165" t="inlineStr">
        <is>
          <t>4303803</t>
        </is>
      </c>
      <c r="AW165" t="inlineStr">
        <is>
          <t>991004621979702656</t>
        </is>
      </c>
      <c r="AX165" t="inlineStr">
        <is>
          <t>991004621979702656</t>
        </is>
      </c>
      <c r="AY165" t="inlineStr">
        <is>
          <t>2272698770002656</t>
        </is>
      </c>
      <c r="AZ165" t="inlineStr">
        <is>
          <t>BOOK</t>
        </is>
      </c>
      <c r="BC165" t="inlineStr">
        <is>
          <t>32285002213915</t>
        </is>
      </c>
      <c r="BD165" t="inlineStr">
        <is>
          <t>893782442</t>
        </is>
      </c>
    </row>
    <row r="166">
      <c r="A166" t="inlineStr">
        <is>
          <t>No</t>
        </is>
      </c>
      <c r="B166" t="inlineStr">
        <is>
          <t>PS1799.H87 Z8 1966</t>
        </is>
      </c>
      <c r="C166" t="inlineStr">
        <is>
          <t>0                      PS 1799000H  87                 Z  8           1966</t>
        </is>
      </c>
      <c r="D166" t="inlineStr">
        <is>
          <t>George Washington Harris.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Rickels, Milton.</t>
        </is>
      </c>
      <c r="L166" t="inlineStr">
        <is>
          <t>New York : Twayne Publishers, [1966, c1965]</t>
        </is>
      </c>
      <c r="M166" t="inlineStr">
        <is>
          <t>1966</t>
        </is>
      </c>
      <c r="O166" t="inlineStr">
        <is>
          <t>eng</t>
        </is>
      </c>
      <c r="P166" t="inlineStr">
        <is>
          <t>nyu</t>
        </is>
      </c>
      <c r="Q166" t="inlineStr">
        <is>
          <t>Twayne's United States authors series ; TUSAS 91</t>
        </is>
      </c>
      <c r="R166" t="inlineStr">
        <is>
          <t xml:space="preserve">PS </t>
        </is>
      </c>
      <c r="S166" t="n">
        <v>1</v>
      </c>
      <c r="T166" t="n">
        <v>1</v>
      </c>
      <c r="U166" t="inlineStr">
        <is>
          <t>1998-09-19</t>
        </is>
      </c>
      <c r="V166" t="inlineStr">
        <is>
          <t>1998-09-19</t>
        </is>
      </c>
      <c r="W166" t="inlineStr">
        <is>
          <t>1994-10-12</t>
        </is>
      </c>
      <c r="X166" t="inlineStr">
        <is>
          <t>1994-10-12</t>
        </is>
      </c>
      <c r="Y166" t="n">
        <v>922</v>
      </c>
      <c r="Z166" t="n">
        <v>876</v>
      </c>
      <c r="AA166" t="n">
        <v>969</v>
      </c>
      <c r="AB166" t="n">
        <v>10</v>
      </c>
      <c r="AC166" t="n">
        <v>10</v>
      </c>
      <c r="AD166" t="n">
        <v>44</v>
      </c>
      <c r="AE166" t="n">
        <v>48</v>
      </c>
      <c r="AF166" t="n">
        <v>18</v>
      </c>
      <c r="AG166" t="n">
        <v>21</v>
      </c>
      <c r="AH166" t="n">
        <v>7</v>
      </c>
      <c r="AI166" t="n">
        <v>8</v>
      </c>
      <c r="AJ166" t="n">
        <v>22</v>
      </c>
      <c r="AK166" t="n">
        <v>22</v>
      </c>
      <c r="AL166" t="n">
        <v>7</v>
      </c>
      <c r="AM166" t="n">
        <v>7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HYPERLINK("http://catalog.hathitrust.org/Record/000435012","HathiTrust Record")</f>
        <v/>
      </c>
      <c r="AS166">
        <f>HYPERLINK("https://creighton-primo.hosted.exlibrisgroup.com/primo-explore/search?tab=default_tab&amp;search_scope=EVERYTHING&amp;vid=01CRU&amp;lang=en_US&amp;offset=0&amp;query=any,contains,991002171609702656","Catalog Record")</f>
        <v/>
      </c>
      <c r="AT166">
        <f>HYPERLINK("http://www.worldcat.org/oclc/276986","WorldCat Record")</f>
        <v/>
      </c>
      <c r="AU166" t="inlineStr">
        <is>
          <t>1414404:eng</t>
        </is>
      </c>
      <c r="AV166" t="inlineStr">
        <is>
          <t>276986</t>
        </is>
      </c>
      <c r="AW166" t="inlineStr">
        <is>
          <t>991002171609702656</t>
        </is>
      </c>
      <c r="AX166" t="inlineStr">
        <is>
          <t>991002171609702656</t>
        </is>
      </c>
      <c r="AY166" t="inlineStr">
        <is>
          <t>2259847750002656</t>
        </is>
      </c>
      <c r="AZ166" t="inlineStr">
        <is>
          <t>BOOK</t>
        </is>
      </c>
      <c r="BC166" t="inlineStr">
        <is>
          <t>32285001960904</t>
        </is>
      </c>
      <c r="BD166" t="inlineStr">
        <is>
          <t>893903735</t>
        </is>
      </c>
    </row>
    <row r="167">
      <c r="A167" t="inlineStr">
        <is>
          <t>No</t>
        </is>
      </c>
      <c r="B167" t="inlineStr">
        <is>
          <t>PS1818 .M3 1964</t>
        </is>
      </c>
      <c r="C167" t="inlineStr">
        <is>
          <t>0                      PS 1818000M  3           1964</t>
        </is>
      </c>
      <c r="D167" t="inlineStr">
        <is>
          <t>Hawthorne's tragic vision / by Roy R. Male.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Male, Roy R.</t>
        </is>
      </c>
      <c r="L167" t="inlineStr">
        <is>
          <t>New York : Norton, [1964, c1957]</t>
        </is>
      </c>
      <c r="M167" t="inlineStr">
        <is>
          <t>1964</t>
        </is>
      </c>
      <c r="O167" t="inlineStr">
        <is>
          <t>eng</t>
        </is>
      </c>
      <c r="P167" t="inlineStr">
        <is>
          <t>nyu</t>
        </is>
      </c>
      <c r="Q167" t="inlineStr">
        <is>
          <t>The Norton library, N258</t>
        </is>
      </c>
      <c r="R167" t="inlineStr">
        <is>
          <t xml:space="preserve">PS </t>
        </is>
      </c>
      <c r="S167" t="n">
        <v>8</v>
      </c>
      <c r="T167" t="n">
        <v>8</v>
      </c>
      <c r="U167" t="inlineStr">
        <is>
          <t>2000-04-10</t>
        </is>
      </c>
      <c r="V167" t="inlineStr">
        <is>
          <t>2000-04-10</t>
        </is>
      </c>
      <c r="W167" t="inlineStr">
        <is>
          <t>1992-02-17</t>
        </is>
      </c>
      <c r="X167" t="inlineStr">
        <is>
          <t>1992-02-17</t>
        </is>
      </c>
      <c r="Y167" t="n">
        <v>499</v>
      </c>
      <c r="Z167" t="n">
        <v>421</v>
      </c>
      <c r="AA167" t="n">
        <v>994</v>
      </c>
      <c r="AB167" t="n">
        <v>6</v>
      </c>
      <c r="AC167" t="n">
        <v>12</v>
      </c>
      <c r="AD167" t="n">
        <v>14</v>
      </c>
      <c r="AE167" t="n">
        <v>55</v>
      </c>
      <c r="AF167" t="n">
        <v>6</v>
      </c>
      <c r="AG167" t="n">
        <v>24</v>
      </c>
      <c r="AH167" t="n">
        <v>2</v>
      </c>
      <c r="AI167" t="n">
        <v>9</v>
      </c>
      <c r="AJ167" t="n">
        <v>4</v>
      </c>
      <c r="AK167" t="n">
        <v>25</v>
      </c>
      <c r="AL167" t="n">
        <v>5</v>
      </c>
      <c r="AM167" t="n">
        <v>11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HYPERLINK("http://catalog.hathitrust.org/Record/001422807","HathiTrust Record")</f>
        <v/>
      </c>
      <c r="AS167">
        <f>HYPERLINK("https://creighton-primo.hosted.exlibrisgroup.com/primo-explore/search?tab=default_tab&amp;search_scope=EVERYTHING&amp;vid=01CRU&amp;lang=en_US&amp;offset=0&amp;query=any,contains,991001920319702656","Catalog Record")</f>
        <v/>
      </c>
      <c r="AT167">
        <f>HYPERLINK("http://www.worldcat.org/oclc/244847","WorldCat Record")</f>
        <v/>
      </c>
      <c r="AU167" t="inlineStr">
        <is>
          <t>1396655:eng</t>
        </is>
      </c>
      <c r="AV167" t="inlineStr">
        <is>
          <t>244847</t>
        </is>
      </c>
      <c r="AW167" t="inlineStr">
        <is>
          <t>991001920319702656</t>
        </is>
      </c>
      <c r="AX167" t="inlineStr">
        <is>
          <t>991001920319702656</t>
        </is>
      </c>
      <c r="AY167" t="inlineStr">
        <is>
          <t>2270077570002656</t>
        </is>
      </c>
      <c r="AZ167" t="inlineStr">
        <is>
          <t>BOOK</t>
        </is>
      </c>
      <c r="BC167" t="inlineStr">
        <is>
          <t>32285000959659</t>
        </is>
      </c>
      <c r="BD167" t="inlineStr">
        <is>
          <t>893804005</t>
        </is>
      </c>
    </row>
    <row r="168">
      <c r="A168" t="inlineStr">
        <is>
          <t>No</t>
        </is>
      </c>
      <c r="B168" t="inlineStr">
        <is>
          <t>PS1832 .G13</t>
        </is>
      </c>
      <c r="C168" t="inlineStr">
        <is>
          <t>0                      PS 1832000G  13</t>
        </is>
      </c>
      <c r="D168" t="inlineStr">
        <is>
          <t>Bret Harte; bibliography and biographical data.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Gaer, Joseph, 1897-1969 editor.</t>
        </is>
      </c>
      <c r="L168" t="inlineStr">
        <is>
          <t>New York, B. Franklin [1968]</t>
        </is>
      </c>
      <c r="M168" t="inlineStr">
        <is>
          <t>1968</t>
        </is>
      </c>
      <c r="O168" t="inlineStr">
        <is>
          <t>eng</t>
        </is>
      </c>
      <c r="P168" t="inlineStr">
        <is>
          <t>nyu</t>
        </is>
      </c>
      <c r="Q168" t="inlineStr">
        <is>
          <t>Burt Franklin bibliography and reference series, #162</t>
        </is>
      </c>
      <c r="R168" t="inlineStr">
        <is>
          <t xml:space="preserve">PS </t>
        </is>
      </c>
      <c r="S168" t="n">
        <v>2</v>
      </c>
      <c r="T168" t="n">
        <v>2</v>
      </c>
      <c r="U168" t="inlineStr">
        <is>
          <t>2002-07-18</t>
        </is>
      </c>
      <c r="V168" t="inlineStr">
        <is>
          <t>2002-07-18</t>
        </is>
      </c>
      <c r="W168" t="inlineStr">
        <is>
          <t>1997-05-14</t>
        </is>
      </c>
      <c r="X168" t="inlineStr">
        <is>
          <t>1997-05-14</t>
        </is>
      </c>
      <c r="Y168" t="n">
        <v>266</v>
      </c>
      <c r="Z168" t="n">
        <v>237</v>
      </c>
      <c r="AA168" t="n">
        <v>304</v>
      </c>
      <c r="AB168" t="n">
        <v>2</v>
      </c>
      <c r="AC168" t="n">
        <v>3</v>
      </c>
      <c r="AD168" t="n">
        <v>13</v>
      </c>
      <c r="AE168" t="n">
        <v>14</v>
      </c>
      <c r="AF168" t="n">
        <v>5</v>
      </c>
      <c r="AG168" t="n">
        <v>5</v>
      </c>
      <c r="AH168" t="n">
        <v>1</v>
      </c>
      <c r="AI168" t="n">
        <v>1</v>
      </c>
      <c r="AJ168" t="n">
        <v>9</v>
      </c>
      <c r="AK168" t="n">
        <v>9</v>
      </c>
      <c r="AL168" t="n">
        <v>1</v>
      </c>
      <c r="AM168" t="n">
        <v>2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HYPERLINK("https://creighton-primo.hosted.exlibrisgroup.com/primo-explore/search?tab=default_tab&amp;search_scope=EVERYTHING&amp;vid=01CRU&amp;lang=en_US&amp;offset=0&amp;query=any,contains,991000087739702656","Catalog Record")</f>
        <v/>
      </c>
      <c r="AT168">
        <f>HYPERLINK("http://www.worldcat.org/oclc/34318","WorldCat Record")</f>
        <v/>
      </c>
      <c r="AU168" t="inlineStr">
        <is>
          <t>254910433:eng</t>
        </is>
      </c>
      <c r="AV168" t="inlineStr">
        <is>
          <t>34318</t>
        </is>
      </c>
      <c r="AW168" t="inlineStr">
        <is>
          <t>991000087739702656</t>
        </is>
      </c>
      <c r="AX168" t="inlineStr">
        <is>
          <t>991000087739702656</t>
        </is>
      </c>
      <c r="AY168" t="inlineStr">
        <is>
          <t>2259923130002656</t>
        </is>
      </c>
      <c r="AZ168" t="inlineStr">
        <is>
          <t>BOOK</t>
        </is>
      </c>
      <c r="BC168" t="inlineStr">
        <is>
          <t>32285002710399</t>
        </is>
      </c>
      <c r="BD168" t="inlineStr">
        <is>
          <t>893255166</t>
        </is>
      </c>
    </row>
    <row r="169">
      <c r="A169" t="inlineStr">
        <is>
          <t>No</t>
        </is>
      </c>
      <c r="B169" t="inlineStr">
        <is>
          <t>PS186 .M3</t>
        </is>
      </c>
      <c r="C169" t="inlineStr">
        <is>
          <t>0                      PS 0186000M  3</t>
        </is>
      </c>
      <c r="D169" t="inlineStr">
        <is>
          <t>Heralds of American literature; a group of patriot writers of the revolutionary and national periods, by Annie Russell Marble, M. A.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Marble, Annie Russell, 1864-1936.</t>
        </is>
      </c>
      <c r="L169" t="inlineStr">
        <is>
          <t>Chicago, The University of Chicago Press; [etc., etc.] 1907.</t>
        </is>
      </c>
      <c r="M169" t="inlineStr">
        <is>
          <t>1907</t>
        </is>
      </c>
      <c r="O169" t="inlineStr">
        <is>
          <t>eng</t>
        </is>
      </c>
      <c r="P169" t="inlineStr">
        <is>
          <t>ilu</t>
        </is>
      </c>
      <c r="R169" t="inlineStr">
        <is>
          <t xml:space="preserve">PS </t>
        </is>
      </c>
      <c r="S169" t="n">
        <v>3</v>
      </c>
      <c r="T169" t="n">
        <v>3</v>
      </c>
      <c r="U169" t="inlineStr">
        <is>
          <t>2001-04-30</t>
        </is>
      </c>
      <c r="V169" t="inlineStr">
        <is>
          <t>2001-04-30</t>
        </is>
      </c>
      <c r="W169" t="inlineStr">
        <is>
          <t>1997-05-02</t>
        </is>
      </c>
      <c r="X169" t="inlineStr">
        <is>
          <t>1997-05-02</t>
        </is>
      </c>
      <c r="Y169" t="n">
        <v>219</v>
      </c>
      <c r="Z169" t="n">
        <v>207</v>
      </c>
      <c r="AA169" t="n">
        <v>614</v>
      </c>
      <c r="AB169" t="n">
        <v>3</v>
      </c>
      <c r="AC169" t="n">
        <v>4</v>
      </c>
      <c r="AD169" t="n">
        <v>9</v>
      </c>
      <c r="AE169" t="n">
        <v>26</v>
      </c>
      <c r="AF169" t="n">
        <v>1</v>
      </c>
      <c r="AG169" t="n">
        <v>10</v>
      </c>
      <c r="AH169" t="n">
        <v>3</v>
      </c>
      <c r="AI169" t="n">
        <v>6</v>
      </c>
      <c r="AJ169" t="n">
        <v>6</v>
      </c>
      <c r="AK169" t="n">
        <v>14</v>
      </c>
      <c r="AL169" t="n">
        <v>2</v>
      </c>
      <c r="AM169" t="n">
        <v>3</v>
      </c>
      <c r="AN169" t="n">
        <v>0</v>
      </c>
      <c r="AO169" t="n">
        <v>0</v>
      </c>
      <c r="AP169" t="inlineStr">
        <is>
          <t>Yes</t>
        </is>
      </c>
      <c r="AQ169" t="inlineStr">
        <is>
          <t>No</t>
        </is>
      </c>
      <c r="AR169">
        <f>HYPERLINK("http://catalog.hathitrust.org/Record/001440579","HathiTrust Record")</f>
        <v/>
      </c>
      <c r="AS169">
        <f>HYPERLINK("https://creighton-primo.hosted.exlibrisgroup.com/primo-explore/search?tab=default_tab&amp;search_scope=EVERYTHING&amp;vid=01CRU&amp;lang=en_US&amp;offset=0&amp;query=any,contains,991003339419702656","Catalog Record")</f>
        <v/>
      </c>
      <c r="AT169">
        <f>HYPERLINK("http://www.worldcat.org/oclc/869910","WorldCat Record")</f>
        <v/>
      </c>
      <c r="AU169" t="inlineStr">
        <is>
          <t>1394615:eng</t>
        </is>
      </c>
      <c r="AV169" t="inlineStr">
        <is>
          <t>869910</t>
        </is>
      </c>
      <c r="AW169" t="inlineStr">
        <is>
          <t>991003339419702656</t>
        </is>
      </c>
      <c r="AX169" t="inlineStr">
        <is>
          <t>991003339419702656</t>
        </is>
      </c>
      <c r="AY169" t="inlineStr">
        <is>
          <t>2266539670002656</t>
        </is>
      </c>
      <c r="AZ169" t="inlineStr">
        <is>
          <t>BOOK</t>
        </is>
      </c>
      <c r="BC169" t="inlineStr">
        <is>
          <t>32285002635109</t>
        </is>
      </c>
      <c r="BD169" t="inlineStr">
        <is>
          <t>893234072</t>
        </is>
      </c>
    </row>
    <row r="170">
      <c r="A170" t="inlineStr">
        <is>
          <t>No</t>
        </is>
      </c>
      <c r="B170" t="inlineStr">
        <is>
          <t>PS1861 .C75 1995</t>
        </is>
      </c>
      <c r="C170" t="inlineStr">
        <is>
          <t>0                      PS 1861000C  75          1995</t>
        </is>
      </c>
      <c r="D170" t="inlineStr">
        <is>
          <t>Critical essays on Hawthorne's The house of the seven gables / edited by Bernard Rosenthal.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New York : G.K. Hall ; London : Prentice Hall International, c1995.</t>
        </is>
      </c>
      <c r="M170" t="inlineStr">
        <is>
          <t>1995</t>
        </is>
      </c>
      <c r="O170" t="inlineStr">
        <is>
          <t>eng</t>
        </is>
      </c>
      <c r="P170" t="inlineStr">
        <is>
          <t>nyu</t>
        </is>
      </c>
      <c r="Q170" t="inlineStr">
        <is>
          <t>Critical essays on American literature</t>
        </is>
      </c>
      <c r="R170" t="inlineStr">
        <is>
          <t xml:space="preserve">PS </t>
        </is>
      </c>
      <c r="S170" t="n">
        <v>3</v>
      </c>
      <c r="T170" t="n">
        <v>3</v>
      </c>
      <c r="U170" t="inlineStr">
        <is>
          <t>1999-11-04</t>
        </is>
      </c>
      <c r="V170" t="inlineStr">
        <is>
          <t>1999-11-04</t>
        </is>
      </c>
      <c r="W170" t="inlineStr">
        <is>
          <t>1995-12-27</t>
        </is>
      </c>
      <c r="X170" t="inlineStr">
        <is>
          <t>1995-12-27</t>
        </is>
      </c>
      <c r="Y170" t="n">
        <v>592</v>
      </c>
      <c r="Z170" t="n">
        <v>537</v>
      </c>
      <c r="AA170" t="n">
        <v>537</v>
      </c>
      <c r="AB170" t="n">
        <v>8</v>
      </c>
      <c r="AC170" t="n">
        <v>8</v>
      </c>
      <c r="AD170" t="n">
        <v>37</v>
      </c>
      <c r="AE170" t="n">
        <v>37</v>
      </c>
      <c r="AF170" t="n">
        <v>13</v>
      </c>
      <c r="AG170" t="n">
        <v>13</v>
      </c>
      <c r="AH170" t="n">
        <v>8</v>
      </c>
      <c r="AI170" t="n">
        <v>8</v>
      </c>
      <c r="AJ170" t="n">
        <v>17</v>
      </c>
      <c r="AK170" t="n">
        <v>17</v>
      </c>
      <c r="AL170" t="n">
        <v>7</v>
      </c>
      <c r="AM170" t="n">
        <v>7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HYPERLINK("https://creighton-primo.hosted.exlibrisgroup.com/primo-explore/search?tab=default_tab&amp;search_scope=EVERYTHING&amp;vid=01CRU&amp;lang=en_US&amp;offset=0&amp;query=any,contains,991002422709702656","Catalog Record")</f>
        <v/>
      </c>
      <c r="AT170">
        <f>HYPERLINK("http://www.worldcat.org/oclc/31604866","WorldCat Record")</f>
        <v/>
      </c>
      <c r="AU170" t="inlineStr">
        <is>
          <t>144161422:eng</t>
        </is>
      </c>
      <c r="AV170" t="inlineStr">
        <is>
          <t>31604866</t>
        </is>
      </c>
      <c r="AW170" t="inlineStr">
        <is>
          <t>991002422709702656</t>
        </is>
      </c>
      <c r="AX170" t="inlineStr">
        <is>
          <t>991002422709702656</t>
        </is>
      </c>
      <c r="AY170" t="inlineStr">
        <is>
          <t>2270987570002656</t>
        </is>
      </c>
      <c r="AZ170" t="inlineStr">
        <is>
          <t>BOOK</t>
        </is>
      </c>
      <c r="BB170" t="inlineStr">
        <is>
          <t>9780783800141</t>
        </is>
      </c>
      <c r="BC170" t="inlineStr">
        <is>
          <t>32285002112265</t>
        </is>
      </c>
      <c r="BD170" t="inlineStr">
        <is>
          <t>893251192</t>
        </is>
      </c>
    </row>
    <row r="171">
      <c r="A171" t="inlineStr">
        <is>
          <t>No</t>
        </is>
      </c>
      <c r="B171" t="inlineStr">
        <is>
          <t>PS1880 .C56</t>
        </is>
      </c>
      <c r="C171" t="inlineStr">
        <is>
          <t>0                      PS 1880000C  56</t>
        </is>
      </c>
      <c r="D171" t="inlineStr">
        <is>
          <t>Nathaniel Hawthorne : a descriptive bibliography / C. E. Frazer Clark, Jr.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Clark, C. E. Frazer.</t>
        </is>
      </c>
      <c r="L171" t="inlineStr">
        <is>
          <t>Pittsburgh : University of Pittsburgh Press, 1978.</t>
        </is>
      </c>
      <c r="M171" t="inlineStr">
        <is>
          <t>1978</t>
        </is>
      </c>
      <c r="O171" t="inlineStr">
        <is>
          <t>eng</t>
        </is>
      </c>
      <c r="P171" t="inlineStr">
        <is>
          <t>pau</t>
        </is>
      </c>
      <c r="Q171" t="inlineStr">
        <is>
          <t>Pittsburgh series in bibliography</t>
        </is>
      </c>
      <c r="R171" t="inlineStr">
        <is>
          <t xml:space="preserve">PS </t>
        </is>
      </c>
      <c r="S171" t="n">
        <v>3</v>
      </c>
      <c r="T171" t="n">
        <v>3</v>
      </c>
      <c r="U171" t="inlineStr">
        <is>
          <t>1999-11-08</t>
        </is>
      </c>
      <c r="V171" t="inlineStr">
        <is>
          <t>1999-11-08</t>
        </is>
      </c>
      <c r="W171" t="inlineStr">
        <is>
          <t>1990-10-29</t>
        </is>
      </c>
      <c r="X171" t="inlineStr">
        <is>
          <t>1990-10-29</t>
        </is>
      </c>
      <c r="Y171" t="n">
        <v>599</v>
      </c>
      <c r="Z171" t="n">
        <v>518</v>
      </c>
      <c r="AA171" t="n">
        <v>529</v>
      </c>
      <c r="AB171" t="n">
        <v>4</v>
      </c>
      <c r="AC171" t="n">
        <v>4</v>
      </c>
      <c r="AD171" t="n">
        <v>21</v>
      </c>
      <c r="AE171" t="n">
        <v>21</v>
      </c>
      <c r="AF171" t="n">
        <v>5</v>
      </c>
      <c r="AG171" t="n">
        <v>5</v>
      </c>
      <c r="AH171" t="n">
        <v>4</v>
      </c>
      <c r="AI171" t="n">
        <v>4</v>
      </c>
      <c r="AJ171" t="n">
        <v>13</v>
      </c>
      <c r="AK171" t="n">
        <v>13</v>
      </c>
      <c r="AL171" t="n">
        <v>3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HYPERLINK("http://catalog.hathitrust.org/Record/000250408","HathiTrust Record")</f>
        <v/>
      </c>
      <c r="AS171">
        <f>HYPERLINK("https://creighton-primo.hosted.exlibrisgroup.com/primo-explore/search?tab=default_tab&amp;search_scope=EVERYTHING&amp;vid=01CRU&amp;lang=en_US&amp;offset=0&amp;query=any,contains,991004307149702656","Catalog Record")</f>
        <v/>
      </c>
      <c r="AT171">
        <f>HYPERLINK("http://www.worldcat.org/oclc/2984330","WorldCat Record")</f>
        <v/>
      </c>
      <c r="AU171" t="inlineStr">
        <is>
          <t>2286933329:eng</t>
        </is>
      </c>
      <c r="AV171" t="inlineStr">
        <is>
          <t>2984330</t>
        </is>
      </c>
      <c r="AW171" t="inlineStr">
        <is>
          <t>991004307149702656</t>
        </is>
      </c>
      <c r="AX171" t="inlineStr">
        <is>
          <t>991004307149702656</t>
        </is>
      </c>
      <c r="AY171" t="inlineStr">
        <is>
          <t>2258308040002656</t>
        </is>
      </c>
      <c r="AZ171" t="inlineStr">
        <is>
          <t>BOOK</t>
        </is>
      </c>
      <c r="BB171" t="inlineStr">
        <is>
          <t>9780822933434</t>
        </is>
      </c>
      <c r="BC171" t="inlineStr">
        <is>
          <t>32285000363647</t>
        </is>
      </c>
      <c r="BD171" t="inlineStr">
        <is>
          <t>893894836</t>
        </is>
      </c>
    </row>
    <row r="172">
      <c r="A172" t="inlineStr">
        <is>
          <t>No</t>
        </is>
      </c>
      <c r="B172" t="inlineStr">
        <is>
          <t>PS1880 .J66</t>
        </is>
      </c>
      <c r="C172" t="inlineStr">
        <is>
          <t>0                      PS 1880000J  66</t>
        </is>
      </c>
      <c r="D172" t="inlineStr">
        <is>
          <t>A checklist of Hawthorne criticism, 1951-1966.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Jones, Buford.</t>
        </is>
      </c>
      <c r="L172" t="inlineStr">
        <is>
          <t>Hartford : Transcendental Books, [1967]</t>
        </is>
      </c>
      <c r="M172" t="inlineStr">
        <is>
          <t>1967</t>
        </is>
      </c>
      <c r="O172" t="inlineStr">
        <is>
          <t>eng</t>
        </is>
      </c>
      <c r="P172" t="inlineStr">
        <is>
          <t>ctu</t>
        </is>
      </c>
      <c r="R172" t="inlineStr">
        <is>
          <t xml:space="preserve">PS </t>
        </is>
      </c>
      <c r="S172" t="n">
        <v>5</v>
      </c>
      <c r="T172" t="n">
        <v>5</v>
      </c>
      <c r="U172" t="inlineStr">
        <is>
          <t>2001-04-19</t>
        </is>
      </c>
      <c r="V172" t="inlineStr">
        <is>
          <t>2001-04-19</t>
        </is>
      </c>
      <c r="W172" t="inlineStr">
        <is>
          <t>1993-04-16</t>
        </is>
      </c>
      <c r="X172" t="inlineStr">
        <is>
          <t>1993-04-16</t>
        </is>
      </c>
      <c r="Y172" t="n">
        <v>353</v>
      </c>
      <c r="Z172" t="n">
        <v>332</v>
      </c>
      <c r="AA172" t="n">
        <v>342</v>
      </c>
      <c r="AB172" t="n">
        <v>4</v>
      </c>
      <c r="AC172" t="n">
        <v>4</v>
      </c>
      <c r="AD172" t="n">
        <v>23</v>
      </c>
      <c r="AE172" t="n">
        <v>23</v>
      </c>
      <c r="AF172" t="n">
        <v>10</v>
      </c>
      <c r="AG172" t="n">
        <v>10</v>
      </c>
      <c r="AH172" t="n">
        <v>7</v>
      </c>
      <c r="AI172" t="n">
        <v>7</v>
      </c>
      <c r="AJ172" t="n">
        <v>11</v>
      </c>
      <c r="AK172" t="n">
        <v>11</v>
      </c>
      <c r="AL172" t="n">
        <v>3</v>
      </c>
      <c r="AM172" t="n">
        <v>3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HYPERLINK("http://catalog.hathitrust.org/Record/000480565","HathiTrust Record")</f>
        <v/>
      </c>
      <c r="AS172">
        <f>HYPERLINK("https://creighton-primo.hosted.exlibrisgroup.com/primo-explore/search?tab=default_tab&amp;search_scope=EVERYTHING&amp;vid=01CRU&amp;lang=en_US&amp;offset=0&amp;query=any,contains,991002762229702656","Catalog Record")</f>
        <v/>
      </c>
      <c r="AT172">
        <f>HYPERLINK("http://www.worldcat.org/oclc/429489","WorldCat Record")</f>
        <v/>
      </c>
      <c r="AU172" t="inlineStr">
        <is>
          <t>422424073:eng</t>
        </is>
      </c>
      <c r="AV172" t="inlineStr">
        <is>
          <t>429489</t>
        </is>
      </c>
      <c r="AW172" t="inlineStr">
        <is>
          <t>991002762229702656</t>
        </is>
      </c>
      <c r="AX172" t="inlineStr">
        <is>
          <t>991002762229702656</t>
        </is>
      </c>
      <c r="AY172" t="inlineStr">
        <is>
          <t>2264499520002656</t>
        </is>
      </c>
      <c r="AZ172" t="inlineStr">
        <is>
          <t>BOOK</t>
        </is>
      </c>
      <c r="BC172" t="inlineStr">
        <is>
          <t>32285001621266</t>
        </is>
      </c>
      <c r="BD172" t="inlineStr">
        <is>
          <t>893415612</t>
        </is>
      </c>
    </row>
    <row r="173">
      <c r="A173" t="inlineStr">
        <is>
          <t>No</t>
        </is>
      </c>
      <c r="B173" t="inlineStr">
        <is>
          <t>PS1881 .C3</t>
        </is>
      </c>
      <c r="C173" t="inlineStr">
        <is>
          <t>0                      PS 1881000C  3</t>
        </is>
      </c>
      <c r="D173" t="inlineStr">
        <is>
          <t>Nathaniel Hawthorne, the American years.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Cantwell, Robert, 1908-1978.</t>
        </is>
      </c>
      <c r="L173" t="inlineStr">
        <is>
          <t>New York : Rinehart, [1948]</t>
        </is>
      </c>
      <c r="M173" t="inlineStr">
        <is>
          <t>1948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PS </t>
        </is>
      </c>
      <c r="S173" t="n">
        <v>4</v>
      </c>
      <c r="T173" t="n">
        <v>4</v>
      </c>
      <c r="U173" t="inlineStr">
        <is>
          <t>1998-04-04</t>
        </is>
      </c>
      <c r="V173" t="inlineStr">
        <is>
          <t>1998-04-04</t>
        </is>
      </c>
      <c r="W173" t="inlineStr">
        <is>
          <t>1992-02-19</t>
        </is>
      </c>
      <c r="X173" t="inlineStr">
        <is>
          <t>1992-02-19</t>
        </is>
      </c>
      <c r="Y173" t="n">
        <v>732</v>
      </c>
      <c r="Z173" t="n">
        <v>659</v>
      </c>
      <c r="AA173" t="n">
        <v>921</v>
      </c>
      <c r="AB173" t="n">
        <v>8</v>
      </c>
      <c r="AC173" t="n">
        <v>8</v>
      </c>
      <c r="AD173" t="n">
        <v>41</v>
      </c>
      <c r="AE173" t="n">
        <v>47</v>
      </c>
      <c r="AF173" t="n">
        <v>13</v>
      </c>
      <c r="AG173" t="n">
        <v>18</v>
      </c>
      <c r="AH173" t="n">
        <v>8</v>
      </c>
      <c r="AI173" t="n">
        <v>9</v>
      </c>
      <c r="AJ173" t="n">
        <v>21</v>
      </c>
      <c r="AK173" t="n">
        <v>23</v>
      </c>
      <c r="AL173" t="n">
        <v>7</v>
      </c>
      <c r="AM173" t="n">
        <v>7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HYPERLINK("http://catalog.hathitrust.org/Record/000435525","HathiTrust Record")</f>
        <v/>
      </c>
      <c r="AS173">
        <f>HYPERLINK("https://creighton-primo.hosted.exlibrisgroup.com/primo-explore/search?tab=default_tab&amp;search_scope=EVERYTHING&amp;vid=01CRU&amp;lang=en_US&amp;offset=0&amp;query=any,contains,991003231689702656","Catalog Record")</f>
        <v/>
      </c>
      <c r="AT173">
        <f>HYPERLINK("http://www.worldcat.org/oclc/40456870","WorldCat Record")</f>
        <v/>
      </c>
      <c r="AU173" t="inlineStr">
        <is>
          <t>57523651:eng</t>
        </is>
      </c>
      <c r="AV173" t="inlineStr">
        <is>
          <t>40456870</t>
        </is>
      </c>
      <c r="AW173" t="inlineStr">
        <is>
          <t>991003231689702656</t>
        </is>
      </c>
      <c r="AX173" t="inlineStr">
        <is>
          <t>991003231689702656</t>
        </is>
      </c>
      <c r="AY173" t="inlineStr">
        <is>
          <t>2271267990002656</t>
        </is>
      </c>
      <c r="AZ173" t="inlineStr">
        <is>
          <t>BOOK</t>
        </is>
      </c>
      <c r="BC173" t="inlineStr">
        <is>
          <t>32285000971142</t>
        </is>
      </c>
      <c r="BD173" t="inlineStr">
        <is>
          <t>893246154</t>
        </is>
      </c>
    </row>
    <row r="174">
      <c r="A174" t="inlineStr">
        <is>
          <t>No</t>
        </is>
      </c>
      <c r="B174" t="inlineStr">
        <is>
          <t>PS1881 .C56</t>
        </is>
      </c>
      <c r="C174" t="inlineStr">
        <is>
          <t>0                      PS 1881000C  56</t>
        </is>
      </c>
      <c r="D174" t="inlineStr">
        <is>
          <t>The recognition of Nathaniel Hawthorne; selected criticism since 1828. Edited by B. Bernard Cohen.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Cohen, Benjamin Bernard, 1922- compiler.</t>
        </is>
      </c>
      <c r="L174" t="inlineStr">
        <is>
          <t>Ann Arbor, University of Michigan Press [1969]</t>
        </is>
      </c>
      <c r="M174" t="inlineStr">
        <is>
          <t>1969</t>
        </is>
      </c>
      <c r="O174" t="inlineStr">
        <is>
          <t>eng</t>
        </is>
      </c>
      <c r="P174" t="inlineStr">
        <is>
          <t>miu</t>
        </is>
      </c>
      <c r="R174" t="inlineStr">
        <is>
          <t xml:space="preserve">PS </t>
        </is>
      </c>
      <c r="S174" t="n">
        <v>1</v>
      </c>
      <c r="T174" t="n">
        <v>1</v>
      </c>
      <c r="U174" t="inlineStr">
        <is>
          <t>2001-04-08</t>
        </is>
      </c>
      <c r="V174" t="inlineStr">
        <is>
          <t>2001-04-08</t>
        </is>
      </c>
      <c r="W174" t="inlineStr">
        <is>
          <t>1997-05-14</t>
        </is>
      </c>
      <c r="X174" t="inlineStr">
        <is>
          <t>1997-05-14</t>
        </is>
      </c>
      <c r="Y174" t="n">
        <v>1186</v>
      </c>
      <c r="Z174" t="n">
        <v>1060</v>
      </c>
      <c r="AA174" t="n">
        <v>1078</v>
      </c>
      <c r="AB174" t="n">
        <v>9</v>
      </c>
      <c r="AC174" t="n">
        <v>9</v>
      </c>
      <c r="AD174" t="n">
        <v>36</v>
      </c>
      <c r="AE174" t="n">
        <v>36</v>
      </c>
      <c r="AF174" t="n">
        <v>14</v>
      </c>
      <c r="AG174" t="n">
        <v>14</v>
      </c>
      <c r="AH174" t="n">
        <v>6</v>
      </c>
      <c r="AI174" t="n">
        <v>6</v>
      </c>
      <c r="AJ174" t="n">
        <v>18</v>
      </c>
      <c r="AK174" t="n">
        <v>18</v>
      </c>
      <c r="AL174" t="n">
        <v>8</v>
      </c>
      <c r="AM174" t="n">
        <v>8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HYPERLINK("http://catalog.hathitrust.org/Record/000435531","HathiTrust Record")</f>
        <v/>
      </c>
      <c r="AS174">
        <f>HYPERLINK("https://creighton-primo.hosted.exlibrisgroup.com/primo-explore/search?tab=default_tab&amp;search_scope=EVERYTHING&amp;vid=01CRU&amp;lang=en_US&amp;offset=0&amp;query=any,contains,991000059989702656","Catalog Record")</f>
        <v/>
      </c>
      <c r="AT174">
        <f>HYPERLINK("http://www.worldcat.org/oclc/24398","WorldCat Record")</f>
        <v/>
      </c>
      <c r="AU174" t="inlineStr">
        <is>
          <t>55032529:eng</t>
        </is>
      </c>
      <c r="AV174" t="inlineStr">
        <is>
          <t>24398</t>
        </is>
      </c>
      <c r="AW174" t="inlineStr">
        <is>
          <t>991000059989702656</t>
        </is>
      </c>
      <c r="AX174" t="inlineStr">
        <is>
          <t>991000059989702656</t>
        </is>
      </c>
      <c r="AY174" t="inlineStr">
        <is>
          <t>2266816060002656</t>
        </is>
      </c>
      <c r="AZ174" t="inlineStr">
        <is>
          <t>BOOK</t>
        </is>
      </c>
      <c r="BC174" t="inlineStr">
        <is>
          <t>32285005292114</t>
        </is>
      </c>
      <c r="BD174" t="inlineStr">
        <is>
          <t>893613842</t>
        </is>
      </c>
    </row>
    <row r="175">
      <c r="A175" t="inlineStr">
        <is>
          <t>No</t>
        </is>
      </c>
      <c r="B175" t="inlineStr">
        <is>
          <t>PS1881 .K3 1966</t>
        </is>
      </c>
      <c r="C175" t="inlineStr">
        <is>
          <t>0                      PS 1881000K  3           1966</t>
        </is>
      </c>
      <c r="D175" t="inlineStr">
        <is>
          <t>Hawthorne : a collection of critical essays / edited by A. N. Kaul.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Kaul, A. N., editor.</t>
        </is>
      </c>
      <c r="L175" t="inlineStr">
        <is>
          <t>Englewood Cliffs, N.J. : Prentice-Hall, [1966]</t>
        </is>
      </c>
      <c r="M175" t="inlineStr">
        <is>
          <t>1966</t>
        </is>
      </c>
      <c r="O175" t="inlineStr">
        <is>
          <t>eng</t>
        </is>
      </c>
      <c r="P175" t="inlineStr">
        <is>
          <t>nju</t>
        </is>
      </c>
      <c r="Q175" t="inlineStr">
        <is>
          <t>A Spectrum book</t>
        </is>
      </c>
      <c r="R175" t="inlineStr">
        <is>
          <t xml:space="preserve">PS </t>
        </is>
      </c>
      <c r="S175" t="n">
        <v>3</v>
      </c>
      <c r="T175" t="n">
        <v>3</v>
      </c>
      <c r="U175" t="inlineStr">
        <is>
          <t>2001-04-08</t>
        </is>
      </c>
      <c r="V175" t="inlineStr">
        <is>
          <t>2001-04-08</t>
        </is>
      </c>
      <c r="W175" t="inlineStr">
        <is>
          <t>1992-04-11</t>
        </is>
      </c>
      <c r="X175" t="inlineStr">
        <is>
          <t>1992-04-11</t>
        </is>
      </c>
      <c r="Y175" t="n">
        <v>2208</v>
      </c>
      <c r="Z175" t="n">
        <v>1942</v>
      </c>
      <c r="AA175" t="n">
        <v>1949</v>
      </c>
      <c r="AB175" t="n">
        <v>15</v>
      </c>
      <c r="AC175" t="n">
        <v>15</v>
      </c>
      <c r="AD175" t="n">
        <v>58</v>
      </c>
      <c r="AE175" t="n">
        <v>58</v>
      </c>
      <c r="AF175" t="n">
        <v>26</v>
      </c>
      <c r="AG175" t="n">
        <v>26</v>
      </c>
      <c r="AH175" t="n">
        <v>9</v>
      </c>
      <c r="AI175" t="n">
        <v>9</v>
      </c>
      <c r="AJ175" t="n">
        <v>24</v>
      </c>
      <c r="AK175" t="n">
        <v>24</v>
      </c>
      <c r="AL175" t="n">
        <v>12</v>
      </c>
      <c r="AM175" t="n">
        <v>12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HYPERLINK("http://catalog.hathitrust.org/Record/000435459","HathiTrust Record")</f>
        <v/>
      </c>
      <c r="AS175">
        <f>HYPERLINK("https://creighton-primo.hosted.exlibrisgroup.com/primo-explore/search?tab=default_tab&amp;search_scope=EVERYTHING&amp;vid=01CRU&amp;lang=en_US&amp;offset=0&amp;query=any,contains,991003595309702656","Catalog Record")</f>
        <v/>
      </c>
      <c r="AT175">
        <f>HYPERLINK("http://www.worldcat.org/oclc/1175596","WorldCat Record")</f>
        <v/>
      </c>
      <c r="AU175" t="inlineStr">
        <is>
          <t>9381430010:eng</t>
        </is>
      </c>
      <c r="AV175" t="inlineStr">
        <is>
          <t>1175596</t>
        </is>
      </c>
      <c r="AW175" t="inlineStr">
        <is>
          <t>991003595309702656</t>
        </is>
      </c>
      <c r="AX175" t="inlineStr">
        <is>
          <t>991003595309702656</t>
        </is>
      </c>
      <c r="AY175" t="inlineStr">
        <is>
          <t>2271903750002656</t>
        </is>
      </c>
      <c r="AZ175" t="inlineStr">
        <is>
          <t>BOOK</t>
        </is>
      </c>
      <c r="BC175" t="inlineStr">
        <is>
          <t>32285001058048</t>
        </is>
      </c>
      <c r="BD175" t="inlineStr">
        <is>
          <t>893441464</t>
        </is>
      </c>
    </row>
    <row r="176">
      <c r="A176" t="inlineStr">
        <is>
          <t>No</t>
        </is>
      </c>
      <c r="B176" t="inlineStr">
        <is>
          <t>PS1881 .L35 1969</t>
        </is>
      </c>
      <c r="C176" t="inlineStr">
        <is>
          <t>0                      PS 1881000L  35          1969</t>
        </is>
      </c>
      <c r="D176" t="inlineStr">
        <is>
          <t>A study of Hawthorne / by George Parsons Lathrop.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Lathrop, George Parsons, 1851-1898.</t>
        </is>
      </c>
      <c r="L176" t="inlineStr">
        <is>
          <t>New York : AMS Press, 1969.</t>
        </is>
      </c>
      <c r="M176" t="inlineStr">
        <is>
          <t>1969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PS </t>
        </is>
      </c>
      <c r="S176" t="n">
        <v>3</v>
      </c>
      <c r="T176" t="n">
        <v>3</v>
      </c>
      <c r="U176" t="inlineStr">
        <is>
          <t>1997-11-23</t>
        </is>
      </c>
      <c r="V176" t="inlineStr">
        <is>
          <t>1997-11-23</t>
        </is>
      </c>
      <c r="W176" t="inlineStr">
        <is>
          <t>1990-02-27</t>
        </is>
      </c>
      <c r="X176" t="inlineStr">
        <is>
          <t>1990-02-27</t>
        </is>
      </c>
      <c r="Y176" t="n">
        <v>273</v>
      </c>
      <c r="Z176" t="n">
        <v>250</v>
      </c>
      <c r="AA176" t="n">
        <v>672</v>
      </c>
      <c r="AB176" t="n">
        <v>3</v>
      </c>
      <c r="AC176" t="n">
        <v>5</v>
      </c>
      <c r="AD176" t="n">
        <v>14</v>
      </c>
      <c r="AE176" t="n">
        <v>32</v>
      </c>
      <c r="AF176" t="n">
        <v>3</v>
      </c>
      <c r="AG176" t="n">
        <v>11</v>
      </c>
      <c r="AH176" t="n">
        <v>3</v>
      </c>
      <c r="AI176" t="n">
        <v>8</v>
      </c>
      <c r="AJ176" t="n">
        <v>8</v>
      </c>
      <c r="AK176" t="n">
        <v>13</v>
      </c>
      <c r="AL176" t="n">
        <v>2</v>
      </c>
      <c r="AM176" t="n">
        <v>4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HYPERLINK("http://catalog.hathitrust.org/Record/012204746","HathiTrust Record")</f>
        <v/>
      </c>
      <c r="AS176">
        <f>HYPERLINK("https://creighton-primo.hosted.exlibrisgroup.com/primo-explore/search?tab=default_tab&amp;search_scope=EVERYTHING&amp;vid=01CRU&amp;lang=en_US&amp;offset=0&amp;query=any,contains,991000009189702656","Catalog Record")</f>
        <v/>
      </c>
      <c r="AT176">
        <f>HYPERLINK("http://www.worldcat.org/oclc/13879","WorldCat Record")</f>
        <v/>
      </c>
      <c r="AU176" t="inlineStr">
        <is>
          <t>1136622:eng</t>
        </is>
      </c>
      <c r="AV176" t="inlineStr">
        <is>
          <t>13879</t>
        </is>
      </c>
      <c r="AW176" t="inlineStr">
        <is>
          <t>991000009189702656</t>
        </is>
      </c>
      <c r="AX176" t="inlineStr">
        <is>
          <t>991000009189702656</t>
        </is>
      </c>
      <c r="AY176" t="inlineStr">
        <is>
          <t>2264402930002656</t>
        </is>
      </c>
      <c r="AZ176" t="inlineStr">
        <is>
          <t>BOOK</t>
        </is>
      </c>
      <c r="BC176" t="inlineStr">
        <is>
          <t>32285000072032</t>
        </is>
      </c>
      <c r="BD176" t="inlineStr">
        <is>
          <t>893527712</t>
        </is>
      </c>
    </row>
    <row r="177">
      <c r="A177" t="inlineStr">
        <is>
          <t>No</t>
        </is>
      </c>
      <c r="B177" t="inlineStr">
        <is>
          <t>PS1881 .M4</t>
        </is>
      </c>
      <c r="C177" t="inlineStr">
        <is>
          <t>0                      PS 1881000M  4</t>
        </is>
      </c>
      <c r="D177" t="inlineStr">
        <is>
          <t>Nathaniel Hawthorne in his times / James R. Mellow.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Mellow, James Robert, 1926-1997.</t>
        </is>
      </c>
      <c r="L177" t="inlineStr">
        <is>
          <t>Boston : Houghton Mifflin, 1980.</t>
        </is>
      </c>
      <c r="M177" t="inlineStr">
        <is>
          <t>1980</t>
        </is>
      </c>
      <c r="O177" t="inlineStr">
        <is>
          <t>eng</t>
        </is>
      </c>
      <c r="P177" t="inlineStr">
        <is>
          <t>mau</t>
        </is>
      </c>
      <c r="R177" t="inlineStr">
        <is>
          <t xml:space="preserve">PS </t>
        </is>
      </c>
      <c r="S177" t="n">
        <v>2</v>
      </c>
      <c r="T177" t="n">
        <v>2</v>
      </c>
      <c r="U177" t="inlineStr">
        <is>
          <t>1993-12-04</t>
        </is>
      </c>
      <c r="V177" t="inlineStr">
        <is>
          <t>1993-12-04</t>
        </is>
      </c>
      <c r="W177" t="inlineStr">
        <is>
          <t>1990-10-29</t>
        </is>
      </c>
      <c r="X177" t="inlineStr">
        <is>
          <t>1990-10-29</t>
        </is>
      </c>
      <c r="Y177" t="n">
        <v>1629</v>
      </c>
      <c r="Z177" t="n">
        <v>1515</v>
      </c>
      <c r="AA177" t="n">
        <v>1655</v>
      </c>
      <c r="AB177" t="n">
        <v>9</v>
      </c>
      <c r="AC177" t="n">
        <v>9</v>
      </c>
      <c r="AD177" t="n">
        <v>46</v>
      </c>
      <c r="AE177" t="n">
        <v>49</v>
      </c>
      <c r="AF177" t="n">
        <v>20</v>
      </c>
      <c r="AG177" t="n">
        <v>22</v>
      </c>
      <c r="AH177" t="n">
        <v>11</v>
      </c>
      <c r="AI177" t="n">
        <v>11</v>
      </c>
      <c r="AJ177" t="n">
        <v>22</v>
      </c>
      <c r="AK177" t="n">
        <v>23</v>
      </c>
      <c r="AL177" t="n">
        <v>6</v>
      </c>
      <c r="AM177" t="n">
        <v>6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HYPERLINK("http://catalog.hathitrust.org/Record/000085439","HathiTrust Record")</f>
        <v/>
      </c>
      <c r="AS177">
        <f>HYPERLINK("https://creighton-primo.hosted.exlibrisgroup.com/primo-explore/search?tab=default_tab&amp;search_scope=EVERYTHING&amp;vid=01CRU&amp;lang=en_US&amp;offset=0&amp;query=any,contains,991004965179702656","Catalog Record")</f>
        <v/>
      </c>
      <c r="AT177">
        <f>HYPERLINK("http://www.worldcat.org/oclc/6331361","WorldCat Record")</f>
        <v/>
      </c>
      <c r="AU177" t="inlineStr">
        <is>
          <t>469201:eng</t>
        </is>
      </c>
      <c r="AV177" t="inlineStr">
        <is>
          <t>6331361</t>
        </is>
      </c>
      <c r="AW177" t="inlineStr">
        <is>
          <t>991004965179702656</t>
        </is>
      </c>
      <c r="AX177" t="inlineStr">
        <is>
          <t>991004965179702656</t>
        </is>
      </c>
      <c r="AY177" t="inlineStr">
        <is>
          <t>2272524590002656</t>
        </is>
      </c>
      <c r="AZ177" t="inlineStr">
        <is>
          <t>BOOK</t>
        </is>
      </c>
      <c r="BB177" t="inlineStr">
        <is>
          <t>9780395276020</t>
        </is>
      </c>
      <c r="BC177" t="inlineStr">
        <is>
          <t>32285000363654</t>
        </is>
      </c>
      <c r="BD177" t="inlineStr">
        <is>
          <t>893889486</t>
        </is>
      </c>
    </row>
    <row r="178">
      <c r="A178" t="inlineStr">
        <is>
          <t>No</t>
        </is>
      </c>
      <c r="B178" t="inlineStr">
        <is>
          <t>PS1881 .S67 1961</t>
        </is>
      </c>
      <c r="C178" t="inlineStr">
        <is>
          <t>0                      PS 1881000S  67          1961</t>
        </is>
      </c>
      <c r="D178" t="inlineStr">
        <is>
          <t>Nathaniel Hawthorne : a biography / by Randall Stewart.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Yes</t>
        </is>
      </c>
      <c r="J178" t="inlineStr">
        <is>
          <t>0</t>
        </is>
      </c>
      <c r="K178" t="inlineStr">
        <is>
          <t>Stewart, Randall, 1896-1964.</t>
        </is>
      </c>
      <c r="L178" t="inlineStr">
        <is>
          <t>New Haven : Yale University Press, 1961, c1948.</t>
        </is>
      </c>
      <c r="M178" t="inlineStr">
        <is>
          <t>1961</t>
        </is>
      </c>
      <c r="O178" t="inlineStr">
        <is>
          <t>eng</t>
        </is>
      </c>
      <c r="P178" t="inlineStr">
        <is>
          <t>ctu</t>
        </is>
      </c>
      <c r="Q178" t="inlineStr">
        <is>
          <t>A Yale paperbound ; Y-37</t>
        </is>
      </c>
      <c r="R178" t="inlineStr">
        <is>
          <t xml:space="preserve">PS </t>
        </is>
      </c>
      <c r="S178" t="n">
        <v>3</v>
      </c>
      <c r="T178" t="n">
        <v>3</v>
      </c>
      <c r="U178" t="inlineStr">
        <is>
          <t>1992-04-14</t>
        </is>
      </c>
      <c r="V178" t="inlineStr">
        <is>
          <t>1992-04-14</t>
        </is>
      </c>
      <c r="W178" t="inlineStr">
        <is>
          <t>1990-10-29</t>
        </is>
      </c>
      <c r="X178" t="inlineStr">
        <is>
          <t>1990-10-29</t>
        </is>
      </c>
      <c r="Y178" t="n">
        <v>106</v>
      </c>
      <c r="Z178" t="n">
        <v>81</v>
      </c>
      <c r="AA178" t="n">
        <v>1257</v>
      </c>
      <c r="AB178" t="n">
        <v>1</v>
      </c>
      <c r="AC178" t="n">
        <v>10</v>
      </c>
      <c r="AD178" t="n">
        <v>3</v>
      </c>
      <c r="AE178" t="n">
        <v>51</v>
      </c>
      <c r="AF178" t="n">
        <v>2</v>
      </c>
      <c r="AG178" t="n">
        <v>23</v>
      </c>
      <c r="AH178" t="n">
        <v>0</v>
      </c>
      <c r="AI178" t="n">
        <v>9</v>
      </c>
      <c r="AJ178" t="n">
        <v>1</v>
      </c>
      <c r="AK178" t="n">
        <v>24</v>
      </c>
      <c r="AL178" t="n">
        <v>0</v>
      </c>
      <c r="AM178" t="n">
        <v>8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HYPERLINK("http://catalog.hathitrust.org/Record/000436023","HathiTrust Record")</f>
        <v/>
      </c>
      <c r="AS178">
        <f>HYPERLINK("https://creighton-primo.hosted.exlibrisgroup.com/primo-explore/search?tab=default_tab&amp;search_scope=EVERYTHING&amp;vid=01CRU&amp;lang=en_US&amp;offset=0&amp;query=any,contains,991004619809702656","Catalog Record")</f>
        <v/>
      </c>
      <c r="AT178">
        <f>HYPERLINK("http://www.worldcat.org/oclc/4284296","WorldCat Record")</f>
        <v/>
      </c>
      <c r="AU178" t="inlineStr">
        <is>
          <t>2564865831:eng</t>
        </is>
      </c>
      <c r="AV178" t="inlineStr">
        <is>
          <t>4284296</t>
        </is>
      </c>
      <c r="AW178" t="inlineStr">
        <is>
          <t>991004619809702656</t>
        </is>
      </c>
      <c r="AX178" t="inlineStr">
        <is>
          <t>991004619809702656</t>
        </is>
      </c>
      <c r="AY178" t="inlineStr">
        <is>
          <t>2255749000002656</t>
        </is>
      </c>
      <c r="AZ178" t="inlineStr">
        <is>
          <t>BOOK</t>
        </is>
      </c>
      <c r="BC178" t="inlineStr">
        <is>
          <t>32285000363662</t>
        </is>
      </c>
      <c r="BD178" t="inlineStr">
        <is>
          <t>893263347</t>
        </is>
      </c>
    </row>
    <row r="179">
      <c r="A179" t="inlineStr">
        <is>
          <t>No</t>
        </is>
      </c>
      <c r="B179" t="inlineStr">
        <is>
          <t>PS1881 .T79</t>
        </is>
      </c>
      <c r="C179" t="inlineStr">
        <is>
          <t>0                      PS 1881000T  79</t>
        </is>
      </c>
      <c r="D179" t="inlineStr">
        <is>
          <t>Nathaniel Hawthorne, a biography / Arlin Turner.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Turner, Arlin.</t>
        </is>
      </c>
      <c r="L179" t="inlineStr">
        <is>
          <t>New York : Oxford University Press, 1980.</t>
        </is>
      </c>
      <c r="M179" t="inlineStr">
        <is>
          <t>1980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PS </t>
        </is>
      </c>
      <c r="S179" t="n">
        <v>7</v>
      </c>
      <c r="T179" t="n">
        <v>7</v>
      </c>
      <c r="U179" t="inlineStr">
        <is>
          <t>1999-11-08</t>
        </is>
      </c>
      <c r="V179" t="inlineStr">
        <is>
          <t>1999-11-08</t>
        </is>
      </c>
      <c r="W179" t="inlineStr">
        <is>
          <t>1990-10-29</t>
        </is>
      </c>
      <c r="X179" t="inlineStr">
        <is>
          <t>1990-10-29</t>
        </is>
      </c>
      <c r="Y179" t="n">
        <v>1329</v>
      </c>
      <c r="Z179" t="n">
        <v>1156</v>
      </c>
      <c r="AA179" t="n">
        <v>1170</v>
      </c>
      <c r="AB179" t="n">
        <v>12</v>
      </c>
      <c r="AC179" t="n">
        <v>12</v>
      </c>
      <c r="AD179" t="n">
        <v>48</v>
      </c>
      <c r="AE179" t="n">
        <v>48</v>
      </c>
      <c r="AF179" t="n">
        <v>20</v>
      </c>
      <c r="AG179" t="n">
        <v>20</v>
      </c>
      <c r="AH179" t="n">
        <v>11</v>
      </c>
      <c r="AI179" t="n">
        <v>11</v>
      </c>
      <c r="AJ179" t="n">
        <v>19</v>
      </c>
      <c r="AK179" t="n">
        <v>19</v>
      </c>
      <c r="AL179" t="n">
        <v>10</v>
      </c>
      <c r="AM179" t="n">
        <v>10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HYPERLINK("http://catalog.hathitrust.org/Record/000715189","HathiTrust Record")</f>
        <v/>
      </c>
      <c r="AS179">
        <f>HYPERLINK("https://creighton-primo.hosted.exlibrisgroup.com/primo-explore/search?tab=default_tab&amp;search_scope=EVERYTHING&amp;vid=01CRU&amp;lang=en_US&amp;offset=0&amp;query=any,contains,991004667209702656","Catalog Record")</f>
        <v/>
      </c>
      <c r="AT179">
        <f>HYPERLINK("http://www.worldcat.org/oclc/4504759","WorldCat Record")</f>
        <v/>
      </c>
      <c r="AU179" t="inlineStr">
        <is>
          <t>2945949578:eng</t>
        </is>
      </c>
      <c r="AV179" t="inlineStr">
        <is>
          <t>4504759</t>
        </is>
      </c>
      <c r="AW179" t="inlineStr">
        <is>
          <t>991004667209702656</t>
        </is>
      </c>
      <c r="AX179" t="inlineStr">
        <is>
          <t>991004667209702656</t>
        </is>
      </c>
      <c r="AY179" t="inlineStr">
        <is>
          <t>2264806150002656</t>
        </is>
      </c>
      <c r="AZ179" t="inlineStr">
        <is>
          <t>BOOK</t>
        </is>
      </c>
      <c r="BB179" t="inlineStr">
        <is>
          <t>9780195025477</t>
        </is>
      </c>
      <c r="BC179" t="inlineStr">
        <is>
          <t>32285000363670</t>
        </is>
      </c>
      <c r="BD179" t="inlineStr">
        <is>
          <t>893782512</t>
        </is>
      </c>
    </row>
    <row r="180">
      <c r="A180" t="inlineStr">
        <is>
          <t>No</t>
        </is>
      </c>
      <c r="B180" t="inlineStr">
        <is>
          <t>PS1881 .T8</t>
        </is>
      </c>
      <c r="C180" t="inlineStr">
        <is>
          <t>0                      PS 1881000T  8</t>
        </is>
      </c>
      <c r="D180" t="inlineStr">
        <is>
          <t>Nathaniel Hawthorne : an introduction and interpretation / Arlin Turner.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Turner, Arlin.</t>
        </is>
      </c>
      <c r="L180" t="inlineStr">
        <is>
          <t>New York : Barnes &amp; Noble, [1961]</t>
        </is>
      </c>
      <c r="M180" t="inlineStr">
        <is>
          <t>1961</t>
        </is>
      </c>
      <c r="O180" t="inlineStr">
        <is>
          <t>eng</t>
        </is>
      </c>
      <c r="P180" t="inlineStr">
        <is>
          <t>nyu</t>
        </is>
      </c>
      <c r="Q180" t="inlineStr">
        <is>
          <t>American authors and critics series ; AC2</t>
        </is>
      </c>
      <c r="R180" t="inlineStr">
        <is>
          <t xml:space="preserve">PS </t>
        </is>
      </c>
      <c r="S180" t="n">
        <v>6</v>
      </c>
      <c r="T180" t="n">
        <v>6</v>
      </c>
      <c r="U180" t="inlineStr">
        <is>
          <t>1999-09-02</t>
        </is>
      </c>
      <c r="V180" t="inlineStr">
        <is>
          <t>1999-09-02</t>
        </is>
      </c>
      <c r="W180" t="inlineStr">
        <is>
          <t>1990-03-01</t>
        </is>
      </c>
      <c r="X180" t="inlineStr">
        <is>
          <t>1990-03-01</t>
        </is>
      </c>
      <c r="Y180" t="n">
        <v>1053</v>
      </c>
      <c r="Z180" t="n">
        <v>938</v>
      </c>
      <c r="AA180" t="n">
        <v>1033</v>
      </c>
      <c r="AB180" t="n">
        <v>10</v>
      </c>
      <c r="AC180" t="n">
        <v>10</v>
      </c>
      <c r="AD180" t="n">
        <v>41</v>
      </c>
      <c r="AE180" t="n">
        <v>45</v>
      </c>
      <c r="AF180" t="n">
        <v>15</v>
      </c>
      <c r="AG180" t="n">
        <v>19</v>
      </c>
      <c r="AH180" t="n">
        <v>8</v>
      </c>
      <c r="AI180" t="n">
        <v>8</v>
      </c>
      <c r="AJ180" t="n">
        <v>18</v>
      </c>
      <c r="AK180" t="n">
        <v>19</v>
      </c>
      <c r="AL180" t="n">
        <v>9</v>
      </c>
      <c r="AM180" t="n">
        <v>9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HYPERLINK("http://catalog.hathitrust.org/Record/000015564","HathiTrust Record")</f>
        <v/>
      </c>
      <c r="AS180">
        <f>HYPERLINK("https://creighton-primo.hosted.exlibrisgroup.com/primo-explore/search?tab=default_tab&amp;search_scope=EVERYTHING&amp;vid=01CRU&amp;lang=en_US&amp;offset=0&amp;query=any,contains,991003427839702656","Catalog Record")</f>
        <v/>
      </c>
      <c r="AT180">
        <f>HYPERLINK("http://www.worldcat.org/oclc/964922","WorldCat Record")</f>
        <v/>
      </c>
      <c r="AU180" t="inlineStr">
        <is>
          <t>1918804:eng</t>
        </is>
      </c>
      <c r="AV180" t="inlineStr">
        <is>
          <t>964922</t>
        </is>
      </c>
      <c r="AW180" t="inlineStr">
        <is>
          <t>991003427839702656</t>
        </is>
      </c>
      <c r="AX180" t="inlineStr">
        <is>
          <t>991003427839702656</t>
        </is>
      </c>
      <c r="AY180" t="inlineStr">
        <is>
          <t>2261754700002656</t>
        </is>
      </c>
      <c r="AZ180" t="inlineStr">
        <is>
          <t>BOOK</t>
        </is>
      </c>
      <c r="BC180" t="inlineStr">
        <is>
          <t>32285000063148</t>
        </is>
      </c>
      <c r="BD180" t="inlineStr">
        <is>
          <t>893899960</t>
        </is>
      </c>
    </row>
    <row r="181">
      <c r="A181" t="inlineStr">
        <is>
          <t>No</t>
        </is>
      </c>
      <c r="B181" t="inlineStr">
        <is>
          <t>PS1881 .V3</t>
        </is>
      </c>
      <c r="C181" t="inlineStr">
        <is>
          <t>0                      PS 1881000V  3</t>
        </is>
      </c>
      <c r="D181" t="inlineStr">
        <is>
          <t>Nathaniel Hawthorne.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Van Doren, Mark, 1894-1972.</t>
        </is>
      </c>
      <c r="L181" t="inlineStr">
        <is>
          <t>[New York] : W. Sloane Associates, [1949]</t>
        </is>
      </c>
      <c r="M181" t="inlineStr">
        <is>
          <t>1949</t>
        </is>
      </c>
      <c r="O181" t="inlineStr">
        <is>
          <t>eng</t>
        </is>
      </c>
      <c r="P181" t="inlineStr">
        <is>
          <t>nyu</t>
        </is>
      </c>
      <c r="Q181" t="inlineStr">
        <is>
          <t>The American men of letters series</t>
        </is>
      </c>
      <c r="R181" t="inlineStr">
        <is>
          <t xml:space="preserve">PS </t>
        </is>
      </c>
      <c r="S181" t="n">
        <v>5</v>
      </c>
      <c r="T181" t="n">
        <v>5</v>
      </c>
      <c r="U181" t="inlineStr">
        <is>
          <t>2000-04-10</t>
        </is>
      </c>
      <c r="V181" t="inlineStr">
        <is>
          <t>2000-04-10</t>
        </is>
      </c>
      <c r="W181" t="inlineStr">
        <is>
          <t>1992-02-13</t>
        </is>
      </c>
      <c r="X181" t="inlineStr">
        <is>
          <t>1992-02-13</t>
        </is>
      </c>
      <c r="Y181" t="n">
        <v>890</v>
      </c>
      <c r="Z181" t="n">
        <v>814</v>
      </c>
      <c r="AA181" t="n">
        <v>1318</v>
      </c>
      <c r="AB181" t="n">
        <v>10</v>
      </c>
      <c r="AC181" t="n">
        <v>13</v>
      </c>
      <c r="AD181" t="n">
        <v>36</v>
      </c>
      <c r="AE181" t="n">
        <v>48</v>
      </c>
      <c r="AF181" t="n">
        <v>13</v>
      </c>
      <c r="AG181" t="n">
        <v>17</v>
      </c>
      <c r="AH181" t="n">
        <v>4</v>
      </c>
      <c r="AI181" t="n">
        <v>6</v>
      </c>
      <c r="AJ181" t="n">
        <v>16</v>
      </c>
      <c r="AK181" t="n">
        <v>22</v>
      </c>
      <c r="AL181" t="n">
        <v>8</v>
      </c>
      <c r="AM181" t="n">
        <v>11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HYPERLINK("http://catalog.hathitrust.org/Record/000437204","HathiTrust Record")</f>
        <v/>
      </c>
      <c r="AS181">
        <f>HYPERLINK("https://creighton-primo.hosted.exlibrisgroup.com/primo-explore/search?tab=default_tab&amp;search_scope=EVERYTHING&amp;vid=01CRU&amp;lang=en_US&amp;offset=0&amp;query=any,contains,991002160309702656","Catalog Record")</f>
        <v/>
      </c>
      <c r="AT181">
        <f>HYPERLINK("http://www.worldcat.org/oclc/273876","WorldCat Record")</f>
        <v/>
      </c>
      <c r="AU181" t="inlineStr">
        <is>
          <t>500607:eng</t>
        </is>
      </c>
      <c r="AV181" t="inlineStr">
        <is>
          <t>273876</t>
        </is>
      </c>
      <c r="AW181" t="inlineStr">
        <is>
          <t>991002160309702656</t>
        </is>
      </c>
      <c r="AX181" t="inlineStr">
        <is>
          <t>991002160309702656</t>
        </is>
      </c>
      <c r="AY181" t="inlineStr">
        <is>
          <t>2263267740002656</t>
        </is>
      </c>
      <c r="AZ181" t="inlineStr">
        <is>
          <t>BOOK</t>
        </is>
      </c>
      <c r="BC181" t="inlineStr">
        <is>
          <t>32285000957943</t>
        </is>
      </c>
      <c r="BD181" t="inlineStr">
        <is>
          <t>893804288</t>
        </is>
      </c>
    </row>
    <row r="182">
      <c r="A182" t="inlineStr">
        <is>
          <t>No</t>
        </is>
      </c>
      <c r="B182" t="inlineStr">
        <is>
          <t>PS1888 .C7 1970b</t>
        </is>
      </c>
      <c r="C182" t="inlineStr">
        <is>
          <t>0                      PS 1888000C  7           1970b</t>
        </is>
      </c>
      <c r="D182" t="inlineStr">
        <is>
          <t>Hawthorne, the critical heritage / edited by J. Donald Crowley.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Crowley, J. Donald (Joseph Donald) compiler.</t>
        </is>
      </c>
      <c r="L182" t="inlineStr">
        <is>
          <t>New York : Barnes &amp; Noble, [1970]</t>
        </is>
      </c>
      <c r="M182" t="inlineStr">
        <is>
          <t>1970</t>
        </is>
      </c>
      <c r="O182" t="inlineStr">
        <is>
          <t>eng</t>
        </is>
      </c>
      <c r="P182" t="inlineStr">
        <is>
          <t>nyu</t>
        </is>
      </c>
      <c r="Q182" t="inlineStr">
        <is>
          <t>The Critical heritage series</t>
        </is>
      </c>
      <c r="R182" t="inlineStr">
        <is>
          <t xml:space="preserve">PS </t>
        </is>
      </c>
      <c r="S182" t="n">
        <v>7</v>
      </c>
      <c r="T182" t="n">
        <v>7</v>
      </c>
      <c r="U182" t="inlineStr">
        <is>
          <t>1994-04-10</t>
        </is>
      </c>
      <c r="V182" t="inlineStr">
        <is>
          <t>1994-04-10</t>
        </is>
      </c>
      <c r="W182" t="inlineStr">
        <is>
          <t>1990-03-20</t>
        </is>
      </c>
      <c r="X182" t="inlineStr">
        <is>
          <t>1990-03-20</t>
        </is>
      </c>
      <c r="Y182" t="n">
        <v>601</v>
      </c>
      <c r="Z182" t="n">
        <v>581</v>
      </c>
      <c r="AA182" t="n">
        <v>719</v>
      </c>
      <c r="AB182" t="n">
        <v>6</v>
      </c>
      <c r="AC182" t="n">
        <v>6</v>
      </c>
      <c r="AD182" t="n">
        <v>29</v>
      </c>
      <c r="AE182" t="n">
        <v>34</v>
      </c>
      <c r="AF182" t="n">
        <v>10</v>
      </c>
      <c r="AG182" t="n">
        <v>12</v>
      </c>
      <c r="AH182" t="n">
        <v>7</v>
      </c>
      <c r="AI182" t="n">
        <v>8</v>
      </c>
      <c r="AJ182" t="n">
        <v>16</v>
      </c>
      <c r="AK182" t="n">
        <v>20</v>
      </c>
      <c r="AL182" t="n">
        <v>5</v>
      </c>
      <c r="AM182" t="n">
        <v>5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HYPERLINK("https://creighton-primo.hosted.exlibrisgroup.com/primo-explore/search?tab=default_tab&amp;search_scope=EVERYTHING&amp;vid=01CRU&amp;lang=en_US&amp;offset=0&amp;query=any,contains,991000678859702656","Catalog Record")</f>
        <v/>
      </c>
      <c r="AT182">
        <f>HYPERLINK("http://www.worldcat.org/oclc/120887","WorldCat Record")</f>
        <v/>
      </c>
      <c r="AU182" t="inlineStr">
        <is>
          <t>365251381:eng</t>
        </is>
      </c>
      <c r="AV182" t="inlineStr">
        <is>
          <t>120887</t>
        </is>
      </c>
      <c r="AW182" t="inlineStr">
        <is>
          <t>991000678859702656</t>
        </is>
      </c>
      <c r="AX182" t="inlineStr">
        <is>
          <t>991000678859702656</t>
        </is>
      </c>
      <c r="AY182" t="inlineStr">
        <is>
          <t>2261920620002656</t>
        </is>
      </c>
      <c r="AZ182" t="inlineStr">
        <is>
          <t>BOOK</t>
        </is>
      </c>
      <c r="BB182" t="inlineStr">
        <is>
          <t>9780389040552</t>
        </is>
      </c>
      <c r="BC182" t="inlineStr">
        <is>
          <t>32285000083021</t>
        </is>
      </c>
      <c r="BD182" t="inlineStr">
        <is>
          <t>893595776</t>
        </is>
      </c>
    </row>
    <row r="183">
      <c r="A183" t="inlineStr">
        <is>
          <t>No</t>
        </is>
      </c>
      <c r="B183" t="inlineStr">
        <is>
          <t>PS1888 .E4</t>
        </is>
      </c>
      <c r="C183" t="inlineStr">
        <is>
          <t>0                      PS 1888000E  4</t>
        </is>
      </c>
      <c r="D183" t="inlineStr">
        <is>
          <t>Nathaniel Hawthorne, transcendental symbolist / [by] Marjorie J. Elder.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Elder, Marjorie J.</t>
        </is>
      </c>
      <c r="L183" t="inlineStr">
        <is>
          <t>[Athens] : Ohio University Press, 1969.</t>
        </is>
      </c>
      <c r="M183" t="inlineStr">
        <is>
          <t>1969</t>
        </is>
      </c>
      <c r="O183" t="inlineStr">
        <is>
          <t>eng</t>
        </is>
      </c>
      <c r="P183" t="inlineStr">
        <is>
          <t>ohu</t>
        </is>
      </c>
      <c r="R183" t="inlineStr">
        <is>
          <t xml:space="preserve">PS </t>
        </is>
      </c>
      <c r="S183" t="n">
        <v>2</v>
      </c>
      <c r="T183" t="n">
        <v>2</v>
      </c>
      <c r="U183" t="inlineStr">
        <is>
          <t>2001-02-25</t>
        </is>
      </c>
      <c r="V183" t="inlineStr">
        <is>
          <t>2001-02-25</t>
        </is>
      </c>
      <c r="W183" t="inlineStr">
        <is>
          <t>1990-03-05</t>
        </is>
      </c>
      <c r="X183" t="inlineStr">
        <is>
          <t>1990-03-05</t>
        </is>
      </c>
      <c r="Y183" t="n">
        <v>955</v>
      </c>
      <c r="Z183" t="n">
        <v>849</v>
      </c>
      <c r="AA183" t="n">
        <v>856</v>
      </c>
      <c r="AB183" t="n">
        <v>8</v>
      </c>
      <c r="AC183" t="n">
        <v>8</v>
      </c>
      <c r="AD183" t="n">
        <v>45</v>
      </c>
      <c r="AE183" t="n">
        <v>45</v>
      </c>
      <c r="AF183" t="n">
        <v>18</v>
      </c>
      <c r="AG183" t="n">
        <v>18</v>
      </c>
      <c r="AH183" t="n">
        <v>9</v>
      </c>
      <c r="AI183" t="n">
        <v>9</v>
      </c>
      <c r="AJ183" t="n">
        <v>23</v>
      </c>
      <c r="AK183" t="n">
        <v>23</v>
      </c>
      <c r="AL183" t="n">
        <v>7</v>
      </c>
      <c r="AM183" t="n">
        <v>7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HYPERLINK("http://catalog.hathitrust.org/Record/000435858","HathiTrust Record")</f>
        <v/>
      </c>
      <c r="AS183">
        <f>HYPERLINK("https://creighton-primo.hosted.exlibrisgroup.com/primo-explore/search?tab=default_tab&amp;search_scope=EVERYTHING&amp;vid=01CRU&amp;lang=en_US&amp;offset=0&amp;query=any,contains,991000055839702656","Catalog Record")</f>
        <v/>
      </c>
      <c r="AT183">
        <f>HYPERLINK("http://www.worldcat.org/oclc/23492","WorldCat Record")</f>
        <v/>
      </c>
      <c r="AU183" t="inlineStr">
        <is>
          <t>1145725:eng</t>
        </is>
      </c>
      <c r="AV183" t="inlineStr">
        <is>
          <t>23492</t>
        </is>
      </c>
      <c r="AW183" t="inlineStr">
        <is>
          <t>991000055839702656</t>
        </is>
      </c>
      <c r="AX183" t="inlineStr">
        <is>
          <t>991000055839702656</t>
        </is>
      </c>
      <c r="AY183" t="inlineStr">
        <is>
          <t>2265512920002656</t>
        </is>
      </c>
      <c r="AZ183" t="inlineStr">
        <is>
          <t>BOOK</t>
        </is>
      </c>
      <c r="BB183" t="inlineStr">
        <is>
          <t>9780821400517</t>
        </is>
      </c>
      <c r="BC183" t="inlineStr">
        <is>
          <t>32285000064468</t>
        </is>
      </c>
      <c r="BD183" t="inlineStr">
        <is>
          <t>893444179</t>
        </is>
      </c>
    </row>
    <row r="184">
      <c r="A184" t="inlineStr">
        <is>
          <t>No</t>
        </is>
      </c>
      <c r="B184" t="inlineStr">
        <is>
          <t>PS1888 .F64</t>
        </is>
      </c>
      <c r="C184" t="inlineStr">
        <is>
          <t>0                      PS 1888000F  64</t>
        </is>
      </c>
      <c r="D184" t="inlineStr">
        <is>
          <t>Man's accidents and God's purposes : multiplicity in Hawthorne's fiction.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Folsom, James K.</t>
        </is>
      </c>
      <c r="L184" t="inlineStr">
        <is>
          <t>New Haven : College and University Press, [c1963]</t>
        </is>
      </c>
      <c r="M184" t="inlineStr">
        <is>
          <t>1963</t>
        </is>
      </c>
      <c r="O184" t="inlineStr">
        <is>
          <t>eng</t>
        </is>
      </c>
      <c r="P184" t="inlineStr">
        <is>
          <t>ctu</t>
        </is>
      </c>
      <c r="R184" t="inlineStr">
        <is>
          <t xml:space="preserve">PS </t>
        </is>
      </c>
      <c r="S184" t="n">
        <v>6</v>
      </c>
      <c r="T184" t="n">
        <v>6</v>
      </c>
      <c r="U184" t="inlineStr">
        <is>
          <t>1996-11-18</t>
        </is>
      </c>
      <c r="V184" t="inlineStr">
        <is>
          <t>1996-11-18</t>
        </is>
      </c>
      <c r="W184" t="inlineStr">
        <is>
          <t>1990-02-27</t>
        </is>
      </c>
      <c r="X184" t="inlineStr">
        <is>
          <t>1990-02-27</t>
        </is>
      </c>
      <c r="Y184" t="n">
        <v>603</v>
      </c>
      <c r="Z184" t="n">
        <v>542</v>
      </c>
      <c r="AA184" t="n">
        <v>556</v>
      </c>
      <c r="AB184" t="n">
        <v>5</v>
      </c>
      <c r="AC184" t="n">
        <v>5</v>
      </c>
      <c r="AD184" t="n">
        <v>25</v>
      </c>
      <c r="AE184" t="n">
        <v>26</v>
      </c>
      <c r="AF184" t="n">
        <v>10</v>
      </c>
      <c r="AG184" t="n">
        <v>11</v>
      </c>
      <c r="AH184" t="n">
        <v>4</v>
      </c>
      <c r="AI184" t="n">
        <v>4</v>
      </c>
      <c r="AJ184" t="n">
        <v>12</v>
      </c>
      <c r="AK184" t="n">
        <v>12</v>
      </c>
      <c r="AL184" t="n">
        <v>4</v>
      </c>
      <c r="AM184" t="n">
        <v>4</v>
      </c>
      <c r="AN184" t="n">
        <v>0</v>
      </c>
      <c r="AO184" t="n">
        <v>0</v>
      </c>
      <c r="AP184" t="inlineStr">
        <is>
          <t>Yes</t>
        </is>
      </c>
      <c r="AQ184" t="inlineStr">
        <is>
          <t>No</t>
        </is>
      </c>
      <c r="AR184">
        <f>HYPERLINK("http://catalog.hathitrust.org/Record/000435910","HathiTrust Record")</f>
        <v/>
      </c>
      <c r="AS184">
        <f>HYPERLINK("https://creighton-primo.hosted.exlibrisgroup.com/primo-explore/search?tab=default_tab&amp;search_scope=EVERYTHING&amp;vid=01CRU&amp;lang=en_US&amp;offset=0&amp;query=any,contains,991002158679702656","Catalog Record")</f>
        <v/>
      </c>
      <c r="AT184">
        <f>HYPERLINK("http://www.worldcat.org/oclc/273429","WorldCat Record")</f>
        <v/>
      </c>
      <c r="AU184" t="inlineStr">
        <is>
          <t>308834496:eng</t>
        </is>
      </c>
      <c r="AV184" t="inlineStr">
        <is>
          <t>273429</t>
        </is>
      </c>
      <c r="AW184" t="inlineStr">
        <is>
          <t>991002158679702656</t>
        </is>
      </c>
      <c r="AX184" t="inlineStr">
        <is>
          <t>991002158679702656</t>
        </is>
      </c>
      <c r="AY184" t="inlineStr">
        <is>
          <t>2261948050002656</t>
        </is>
      </c>
      <c r="AZ184" t="inlineStr">
        <is>
          <t>BOOK</t>
        </is>
      </c>
      <c r="BC184" t="inlineStr">
        <is>
          <t>32285000062173</t>
        </is>
      </c>
      <c r="BD184" t="inlineStr">
        <is>
          <t>893609530</t>
        </is>
      </c>
    </row>
    <row r="185">
      <c r="A185" t="inlineStr">
        <is>
          <t>No</t>
        </is>
      </c>
      <c r="B185" t="inlineStr">
        <is>
          <t>PS1888 .M34 1965</t>
        </is>
      </c>
      <c r="C185" t="inlineStr">
        <is>
          <t>0                      PS 1888000M  34          1965</t>
        </is>
      </c>
      <c r="D185" t="inlineStr">
        <is>
          <t>Nathaniel Hawthorne.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Martin, Terence.</t>
        </is>
      </c>
      <c r="L185" t="inlineStr">
        <is>
          <t>New York : Twayne Publishers, [1965]</t>
        </is>
      </c>
      <c r="M185" t="inlineStr">
        <is>
          <t>1965</t>
        </is>
      </c>
      <c r="O185" t="inlineStr">
        <is>
          <t>eng</t>
        </is>
      </c>
      <c r="P185" t="inlineStr">
        <is>
          <t>nyu</t>
        </is>
      </c>
      <c r="Q185" t="inlineStr">
        <is>
          <t>Twayne's United States authors series, 75</t>
        </is>
      </c>
      <c r="R185" t="inlineStr">
        <is>
          <t xml:space="preserve">PS </t>
        </is>
      </c>
      <c r="S185" t="n">
        <v>4</v>
      </c>
      <c r="T185" t="n">
        <v>4</v>
      </c>
      <c r="U185" t="inlineStr">
        <is>
          <t>1996-09-03</t>
        </is>
      </c>
      <c r="V185" t="inlineStr">
        <is>
          <t>1996-09-03</t>
        </is>
      </c>
      <c r="W185" t="inlineStr">
        <is>
          <t>1992-03-25</t>
        </is>
      </c>
      <c r="X185" t="inlineStr">
        <is>
          <t>1992-03-25</t>
        </is>
      </c>
      <c r="Y185" t="n">
        <v>1681</v>
      </c>
      <c r="Z185" t="n">
        <v>1523</v>
      </c>
      <c r="AA185" t="n">
        <v>1533</v>
      </c>
      <c r="AB185" t="n">
        <v>15</v>
      </c>
      <c r="AC185" t="n">
        <v>15</v>
      </c>
      <c r="AD185" t="n">
        <v>40</v>
      </c>
      <c r="AE185" t="n">
        <v>40</v>
      </c>
      <c r="AF185" t="n">
        <v>16</v>
      </c>
      <c r="AG185" t="n">
        <v>16</v>
      </c>
      <c r="AH185" t="n">
        <v>8</v>
      </c>
      <c r="AI185" t="n">
        <v>8</v>
      </c>
      <c r="AJ185" t="n">
        <v>18</v>
      </c>
      <c r="AK185" t="n">
        <v>18</v>
      </c>
      <c r="AL185" t="n">
        <v>8</v>
      </c>
      <c r="AM185" t="n">
        <v>8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HYPERLINK("http://catalog.hathitrust.org/Record/000003936","HathiTrust Record")</f>
        <v/>
      </c>
      <c r="AS185">
        <f>HYPERLINK("https://creighton-primo.hosted.exlibrisgroup.com/primo-explore/search?tab=default_tab&amp;search_scope=EVERYTHING&amp;vid=01CRU&amp;lang=en_US&amp;offset=0&amp;query=any,contains,991002157899702656","Catalog Record")</f>
        <v/>
      </c>
      <c r="AT185">
        <f>HYPERLINK("http://www.worldcat.org/oclc/273236","WorldCat Record")</f>
        <v/>
      </c>
      <c r="AU185" t="inlineStr">
        <is>
          <t>5092848320:eng</t>
        </is>
      </c>
      <c r="AV185" t="inlineStr">
        <is>
          <t>273236</t>
        </is>
      </c>
      <c r="AW185" t="inlineStr">
        <is>
          <t>991002157899702656</t>
        </is>
      </c>
      <c r="AX185" t="inlineStr">
        <is>
          <t>991002157899702656</t>
        </is>
      </c>
      <c r="AY185" t="inlineStr">
        <is>
          <t>2261992260002656</t>
        </is>
      </c>
      <c r="AZ185" t="inlineStr">
        <is>
          <t>BOOK</t>
        </is>
      </c>
      <c r="BC185" t="inlineStr">
        <is>
          <t>32285001028827</t>
        </is>
      </c>
      <c r="BD185" t="inlineStr">
        <is>
          <t>893709934</t>
        </is>
      </c>
    </row>
    <row r="186">
      <c r="A186" t="inlineStr">
        <is>
          <t>No</t>
        </is>
      </c>
      <c r="B186" t="inlineStr">
        <is>
          <t>PS1888 .P46 1999</t>
        </is>
      </c>
      <c r="C186" t="inlineStr">
        <is>
          <t>0                      PS 1888000P  46          1999</t>
        </is>
      </c>
      <c r="D186" t="inlineStr">
        <is>
          <t>Student companion to Nathaniel Hawthorne / Melissa McFarland Pennell.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Pennell, Melissa McFarland.</t>
        </is>
      </c>
      <c r="L186" t="inlineStr">
        <is>
          <t>Westport, Conn. : Greenwood Press, 1999.</t>
        </is>
      </c>
      <c r="M186" t="inlineStr">
        <is>
          <t>1999</t>
        </is>
      </c>
      <c r="O186" t="inlineStr">
        <is>
          <t>eng</t>
        </is>
      </c>
      <c r="P186" t="inlineStr">
        <is>
          <t>ctu</t>
        </is>
      </c>
      <c r="Q186" t="inlineStr">
        <is>
          <t>Student companions to classic writers, 1522-7979</t>
        </is>
      </c>
      <c r="R186" t="inlineStr">
        <is>
          <t xml:space="preserve">PS </t>
        </is>
      </c>
      <c r="S186" t="n">
        <v>8</v>
      </c>
      <c r="T186" t="n">
        <v>8</v>
      </c>
      <c r="U186" t="inlineStr">
        <is>
          <t>2001-12-04</t>
        </is>
      </c>
      <c r="V186" t="inlineStr">
        <is>
          <t>2001-12-04</t>
        </is>
      </c>
      <c r="W186" t="inlineStr">
        <is>
          <t>1999-09-28</t>
        </is>
      </c>
      <c r="X186" t="inlineStr">
        <is>
          <t>1999-09-28</t>
        </is>
      </c>
      <c r="Y186" t="n">
        <v>569</v>
      </c>
      <c r="Z186" t="n">
        <v>529</v>
      </c>
      <c r="AA186" t="n">
        <v>535</v>
      </c>
      <c r="AB186" t="n">
        <v>3</v>
      </c>
      <c r="AC186" t="n">
        <v>3</v>
      </c>
      <c r="AD186" t="n">
        <v>9</v>
      </c>
      <c r="AE186" t="n">
        <v>9</v>
      </c>
      <c r="AF186" t="n">
        <v>4</v>
      </c>
      <c r="AG186" t="n">
        <v>4</v>
      </c>
      <c r="AH186" t="n">
        <v>1</v>
      </c>
      <c r="AI186" t="n">
        <v>1</v>
      </c>
      <c r="AJ186" t="n">
        <v>5</v>
      </c>
      <c r="AK186" t="n">
        <v>5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HYPERLINK("http://catalog.hathitrust.org/Record/007137817","HathiTrust Record")</f>
        <v/>
      </c>
      <c r="AS186">
        <f>HYPERLINK("https://creighton-primo.hosted.exlibrisgroup.com/primo-explore/search?tab=default_tab&amp;search_scope=EVERYTHING&amp;vid=01CRU&amp;lang=en_US&amp;offset=0&amp;query=any,contains,991002992719702656","Catalog Record")</f>
        <v/>
      </c>
      <c r="AT186">
        <f>HYPERLINK("http://www.worldcat.org/oclc/40417873","WorldCat Record")</f>
        <v/>
      </c>
      <c r="AU186" t="inlineStr">
        <is>
          <t>896179:eng</t>
        </is>
      </c>
      <c r="AV186" t="inlineStr">
        <is>
          <t>40417873</t>
        </is>
      </c>
      <c r="AW186" t="inlineStr">
        <is>
          <t>991002992719702656</t>
        </is>
      </c>
      <c r="AX186" t="inlineStr">
        <is>
          <t>991002992719702656</t>
        </is>
      </c>
      <c r="AY186" t="inlineStr">
        <is>
          <t>2257214110002656</t>
        </is>
      </c>
      <c r="AZ186" t="inlineStr">
        <is>
          <t>BOOK</t>
        </is>
      </c>
      <c r="BB186" t="inlineStr">
        <is>
          <t>9780313305955</t>
        </is>
      </c>
      <c r="BC186" t="inlineStr">
        <is>
          <t>32285003591095</t>
        </is>
      </c>
      <c r="BD186" t="inlineStr">
        <is>
          <t>893887011</t>
        </is>
      </c>
    </row>
    <row r="187">
      <c r="A187" t="inlineStr">
        <is>
          <t>No</t>
        </is>
      </c>
      <c r="B187" t="inlineStr">
        <is>
          <t>PS1888 .W3 1963</t>
        </is>
      </c>
      <c r="C187" t="inlineStr">
        <is>
          <t>0                      PS 1888000W  3           1963</t>
        </is>
      </c>
      <c r="D187" t="inlineStr">
        <is>
          <t>Hawthorne ; a critical study / Hyatt H. Waggoner.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Waggoner, Hyatt Howe.</t>
        </is>
      </c>
      <c r="L187" t="inlineStr">
        <is>
          <t>Cambridge, Mass. : Belknap Press of Harvard University Press, 1963, 1971 printing.</t>
        </is>
      </c>
      <c r="M187" t="inlineStr">
        <is>
          <t>1963</t>
        </is>
      </c>
      <c r="N187" t="inlineStr">
        <is>
          <t>Rev ed. --</t>
        </is>
      </c>
      <c r="O187" t="inlineStr">
        <is>
          <t>eng</t>
        </is>
      </c>
      <c r="P187" t="inlineStr">
        <is>
          <t>mau</t>
        </is>
      </c>
      <c r="R187" t="inlineStr">
        <is>
          <t xml:space="preserve">PS </t>
        </is>
      </c>
      <c r="S187" t="n">
        <v>6</v>
      </c>
      <c r="T187" t="n">
        <v>6</v>
      </c>
      <c r="U187" t="inlineStr">
        <is>
          <t>1996-11-05</t>
        </is>
      </c>
      <c r="V187" t="inlineStr">
        <is>
          <t>1996-11-05</t>
        </is>
      </c>
      <c r="W187" t="inlineStr">
        <is>
          <t>1990-02-12</t>
        </is>
      </c>
      <c r="X187" t="inlineStr">
        <is>
          <t>1990-02-12</t>
        </is>
      </c>
      <c r="Y187" t="n">
        <v>1068</v>
      </c>
      <c r="Z187" t="n">
        <v>934</v>
      </c>
      <c r="AA187" t="n">
        <v>1263</v>
      </c>
      <c r="AB187" t="n">
        <v>9</v>
      </c>
      <c r="AC187" t="n">
        <v>12</v>
      </c>
      <c r="AD187" t="n">
        <v>30</v>
      </c>
      <c r="AE187" t="n">
        <v>52</v>
      </c>
      <c r="AF187" t="n">
        <v>13</v>
      </c>
      <c r="AG187" t="n">
        <v>22</v>
      </c>
      <c r="AH187" t="n">
        <v>5</v>
      </c>
      <c r="AI187" t="n">
        <v>9</v>
      </c>
      <c r="AJ187" t="n">
        <v>14</v>
      </c>
      <c r="AK187" t="n">
        <v>22</v>
      </c>
      <c r="AL187" t="n">
        <v>7</v>
      </c>
      <c r="AM187" t="n">
        <v>10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HYPERLINK("http://catalog.hathitrust.org/Record/001020738","HathiTrust Record")</f>
        <v/>
      </c>
      <c r="AS187">
        <f>HYPERLINK("https://creighton-primo.hosted.exlibrisgroup.com/primo-explore/search?tab=default_tab&amp;search_scope=EVERYTHING&amp;vid=01CRU&amp;lang=en_US&amp;offset=0&amp;query=any,contains,991001177779702656","Catalog Record")</f>
        <v/>
      </c>
      <c r="AT187">
        <f>HYPERLINK("http://www.worldcat.org/oclc/189221","WorldCat Record")</f>
        <v/>
      </c>
      <c r="AU187" t="inlineStr">
        <is>
          <t>521450:eng</t>
        </is>
      </c>
      <c r="AV187" t="inlineStr">
        <is>
          <t>189221</t>
        </is>
      </c>
      <c r="AW187" t="inlineStr">
        <is>
          <t>991001177779702656</t>
        </is>
      </c>
      <c r="AX187" t="inlineStr">
        <is>
          <t>991001177779702656</t>
        </is>
      </c>
      <c r="AY187" t="inlineStr">
        <is>
          <t>2268007930002656</t>
        </is>
      </c>
      <c r="AZ187" t="inlineStr">
        <is>
          <t>BOOK</t>
        </is>
      </c>
      <c r="BC187" t="inlineStr">
        <is>
          <t>32285000045525</t>
        </is>
      </c>
      <c r="BD187" t="inlineStr">
        <is>
          <t>893891372</t>
        </is>
      </c>
    </row>
    <row r="188">
      <c r="A188" t="inlineStr">
        <is>
          <t>No</t>
        </is>
      </c>
      <c r="B188" t="inlineStr">
        <is>
          <t>PS1889 .S7</t>
        </is>
      </c>
      <c r="C188" t="inlineStr">
        <is>
          <t>0                      PS 1889000S  7</t>
        </is>
      </c>
      <c r="D188" t="inlineStr">
        <is>
          <t>Hawthorne's mad scientists : pseudoscience and social science in nineteenth-century life and letters / by Taylor Stoehr.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Stoehr, Taylor, 1931-2013.</t>
        </is>
      </c>
      <c r="L188" t="inlineStr">
        <is>
          <t>Hamden, Conn. : Archon Books, 1978.</t>
        </is>
      </c>
      <c r="M188" t="inlineStr">
        <is>
          <t>1978</t>
        </is>
      </c>
      <c r="O188" t="inlineStr">
        <is>
          <t>eng</t>
        </is>
      </c>
      <c r="P188" t="inlineStr">
        <is>
          <t>ctu</t>
        </is>
      </c>
      <c r="R188" t="inlineStr">
        <is>
          <t xml:space="preserve">PS </t>
        </is>
      </c>
      <c r="S188" t="n">
        <v>11</v>
      </c>
      <c r="T188" t="n">
        <v>11</v>
      </c>
      <c r="U188" t="inlineStr">
        <is>
          <t>1997-02-09</t>
        </is>
      </c>
      <c r="V188" t="inlineStr">
        <is>
          <t>1997-02-09</t>
        </is>
      </c>
      <c r="W188" t="inlineStr">
        <is>
          <t>1993-12-13</t>
        </is>
      </c>
      <c r="X188" t="inlineStr">
        <is>
          <t>1993-12-13</t>
        </is>
      </c>
      <c r="Y188" t="n">
        <v>715</v>
      </c>
      <c r="Z188" t="n">
        <v>622</v>
      </c>
      <c r="AA188" t="n">
        <v>624</v>
      </c>
      <c r="AB188" t="n">
        <v>6</v>
      </c>
      <c r="AC188" t="n">
        <v>6</v>
      </c>
      <c r="AD188" t="n">
        <v>32</v>
      </c>
      <c r="AE188" t="n">
        <v>32</v>
      </c>
      <c r="AF188" t="n">
        <v>10</v>
      </c>
      <c r="AG188" t="n">
        <v>10</v>
      </c>
      <c r="AH188" t="n">
        <v>9</v>
      </c>
      <c r="AI188" t="n">
        <v>9</v>
      </c>
      <c r="AJ188" t="n">
        <v>15</v>
      </c>
      <c r="AK188" t="n">
        <v>15</v>
      </c>
      <c r="AL188" t="n">
        <v>5</v>
      </c>
      <c r="AM188" t="n">
        <v>5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HYPERLINK("http://catalog.hathitrust.org/Record/000091038","HathiTrust Record")</f>
        <v/>
      </c>
      <c r="AS188">
        <f>HYPERLINK("https://creighton-primo.hosted.exlibrisgroup.com/primo-explore/search?tab=default_tab&amp;search_scope=EVERYTHING&amp;vid=01CRU&amp;lang=en_US&amp;offset=0&amp;query=any,contains,991004472249702656","Catalog Record")</f>
        <v/>
      </c>
      <c r="AT188">
        <f>HYPERLINK("http://www.worldcat.org/oclc/3604342","WorldCat Record")</f>
        <v/>
      </c>
      <c r="AU188" t="inlineStr">
        <is>
          <t>890023395:eng</t>
        </is>
      </c>
      <c r="AV188" t="inlineStr">
        <is>
          <t>3604342</t>
        </is>
      </c>
      <c r="AW188" t="inlineStr">
        <is>
          <t>991004472249702656</t>
        </is>
      </c>
      <c r="AX188" t="inlineStr">
        <is>
          <t>991004472249702656</t>
        </is>
      </c>
      <c r="AY188" t="inlineStr">
        <is>
          <t>2269212180002656</t>
        </is>
      </c>
      <c r="AZ188" t="inlineStr">
        <is>
          <t>BOOK</t>
        </is>
      </c>
      <c r="BB188" t="inlineStr">
        <is>
          <t>9780208017109</t>
        </is>
      </c>
      <c r="BC188" t="inlineStr">
        <is>
          <t>32285001807774</t>
        </is>
      </c>
      <c r="BD188" t="inlineStr">
        <is>
          <t>893706457</t>
        </is>
      </c>
    </row>
    <row r="189">
      <c r="A189" t="inlineStr">
        <is>
          <t>No</t>
        </is>
      </c>
      <c r="B189" t="inlineStr">
        <is>
          <t>PS1892.D4 S75</t>
        </is>
      </c>
      <c r="C189" t="inlineStr">
        <is>
          <t>0                      PS 1892000D  4                  S  75</t>
        </is>
      </c>
      <c r="D189" t="inlineStr">
        <is>
          <t>Hawthorne's Faust : a study of the Devil archetype.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Stein, William Bysshe, 1915-</t>
        </is>
      </c>
      <c r="L189" t="inlineStr">
        <is>
          <t>[Hamden, Conn.] : Archon Books, 1968 [c1953]</t>
        </is>
      </c>
      <c r="M189" t="inlineStr">
        <is>
          <t>1968</t>
        </is>
      </c>
      <c r="O189" t="inlineStr">
        <is>
          <t>eng</t>
        </is>
      </c>
      <c r="P189" t="inlineStr">
        <is>
          <t>ctu</t>
        </is>
      </c>
      <c r="R189" t="inlineStr">
        <is>
          <t xml:space="preserve">PS </t>
        </is>
      </c>
      <c r="S189" t="n">
        <v>7</v>
      </c>
      <c r="T189" t="n">
        <v>7</v>
      </c>
      <c r="U189" t="inlineStr">
        <is>
          <t>2001-04-05</t>
        </is>
      </c>
      <c r="V189" t="inlineStr">
        <is>
          <t>2001-04-05</t>
        </is>
      </c>
      <c r="W189" t="inlineStr">
        <is>
          <t>1992-12-22</t>
        </is>
      </c>
      <c r="X189" t="inlineStr">
        <is>
          <t>1992-12-22</t>
        </is>
      </c>
      <c r="Y189" t="n">
        <v>399</v>
      </c>
      <c r="Z189" t="n">
        <v>329</v>
      </c>
      <c r="AA189" t="n">
        <v>650</v>
      </c>
      <c r="AB189" t="n">
        <v>2</v>
      </c>
      <c r="AC189" t="n">
        <v>8</v>
      </c>
      <c r="AD189" t="n">
        <v>5</v>
      </c>
      <c r="AE189" t="n">
        <v>34</v>
      </c>
      <c r="AF189" t="n">
        <v>2</v>
      </c>
      <c r="AG189" t="n">
        <v>12</v>
      </c>
      <c r="AH189" t="n">
        <v>1</v>
      </c>
      <c r="AI189" t="n">
        <v>6</v>
      </c>
      <c r="AJ189" t="n">
        <v>3</v>
      </c>
      <c r="AK189" t="n">
        <v>17</v>
      </c>
      <c r="AL189" t="n">
        <v>1</v>
      </c>
      <c r="AM189" t="n">
        <v>7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HYPERLINK("http://catalog.hathitrust.org/Record/000436011","HathiTrust Record")</f>
        <v/>
      </c>
      <c r="AS189">
        <f>HYPERLINK("https://creighton-primo.hosted.exlibrisgroup.com/primo-explore/search?tab=default_tab&amp;search_scope=EVERYTHING&amp;vid=01CRU&amp;lang=en_US&amp;offset=0&amp;query=any,contains,991002802969702656","Catalog Record")</f>
        <v/>
      </c>
      <c r="AT189">
        <f>HYPERLINK("http://www.worldcat.org/oclc/448371","WorldCat Record")</f>
        <v/>
      </c>
      <c r="AU189" t="inlineStr">
        <is>
          <t>1587783:eng</t>
        </is>
      </c>
      <c r="AV189" t="inlineStr">
        <is>
          <t>448371</t>
        </is>
      </c>
      <c r="AW189" t="inlineStr">
        <is>
          <t>991002802969702656</t>
        </is>
      </c>
      <c r="AX189" t="inlineStr">
        <is>
          <t>991002802969702656</t>
        </is>
      </c>
      <c r="AY189" t="inlineStr">
        <is>
          <t>2266599030002656</t>
        </is>
      </c>
      <c r="AZ189" t="inlineStr">
        <is>
          <t>BOOK</t>
        </is>
      </c>
      <c r="BC189" t="inlineStr">
        <is>
          <t>32285001471373</t>
        </is>
      </c>
      <c r="BD189" t="inlineStr">
        <is>
          <t>893710696</t>
        </is>
      </c>
    </row>
    <row r="190">
      <c r="A190" t="inlineStr">
        <is>
          <t>No</t>
        </is>
      </c>
      <c r="B190" t="inlineStr">
        <is>
          <t>PS1892.S9 E27 1996</t>
        </is>
      </c>
      <c r="C190" t="inlineStr">
        <is>
          <t>0                      PS 1892000S  9                  E  27          1996</t>
        </is>
      </c>
      <c r="D190" t="inlineStr">
        <is>
          <t>The making of the Hawthorne subject / Alison Easton.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Easton, Alison, 1943-</t>
        </is>
      </c>
      <c r="L190" t="inlineStr">
        <is>
          <t>Columbia : University of Missouri Press, c1996.</t>
        </is>
      </c>
      <c r="M190" t="inlineStr">
        <is>
          <t>1996</t>
        </is>
      </c>
      <c r="O190" t="inlineStr">
        <is>
          <t>eng</t>
        </is>
      </c>
      <c r="P190" t="inlineStr">
        <is>
          <t>mou</t>
        </is>
      </c>
      <c r="R190" t="inlineStr">
        <is>
          <t xml:space="preserve">PS </t>
        </is>
      </c>
      <c r="S190" t="n">
        <v>2</v>
      </c>
      <c r="T190" t="n">
        <v>2</v>
      </c>
      <c r="U190" t="inlineStr">
        <is>
          <t>2001-03-16</t>
        </is>
      </c>
      <c r="V190" t="inlineStr">
        <is>
          <t>2001-03-16</t>
        </is>
      </c>
      <c r="W190" t="inlineStr">
        <is>
          <t>1996-12-12</t>
        </is>
      </c>
      <c r="X190" t="inlineStr">
        <is>
          <t>1996-12-12</t>
        </is>
      </c>
      <c r="Y190" t="n">
        <v>367</v>
      </c>
      <c r="Z190" t="n">
        <v>304</v>
      </c>
      <c r="AA190" t="n">
        <v>311</v>
      </c>
      <c r="AB190" t="n">
        <v>4</v>
      </c>
      <c r="AC190" t="n">
        <v>4</v>
      </c>
      <c r="AD190" t="n">
        <v>19</v>
      </c>
      <c r="AE190" t="n">
        <v>19</v>
      </c>
      <c r="AF190" t="n">
        <v>5</v>
      </c>
      <c r="AG190" t="n">
        <v>5</v>
      </c>
      <c r="AH190" t="n">
        <v>5</v>
      </c>
      <c r="AI190" t="n">
        <v>5</v>
      </c>
      <c r="AJ190" t="n">
        <v>12</v>
      </c>
      <c r="AK190" t="n">
        <v>12</v>
      </c>
      <c r="AL190" t="n">
        <v>3</v>
      </c>
      <c r="AM190" t="n">
        <v>3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HYPERLINK("http://catalog.hathitrust.org/Record/003045516","HathiTrust Record")</f>
        <v/>
      </c>
      <c r="AS190">
        <f>HYPERLINK("https://creighton-primo.hosted.exlibrisgroup.com/primo-explore/search?tab=default_tab&amp;search_scope=EVERYTHING&amp;vid=01CRU&amp;lang=en_US&amp;offset=0&amp;query=any,contains,991002546309702656","Catalog Record")</f>
        <v/>
      </c>
      <c r="AT190">
        <f>HYPERLINK("http://www.worldcat.org/oclc/33079354","WorldCat Record")</f>
        <v/>
      </c>
      <c r="AU190" t="inlineStr">
        <is>
          <t>37885557:eng</t>
        </is>
      </c>
      <c r="AV190" t="inlineStr">
        <is>
          <t>33079354</t>
        </is>
      </c>
      <c r="AW190" t="inlineStr">
        <is>
          <t>991002546309702656</t>
        </is>
      </c>
      <c r="AX190" t="inlineStr">
        <is>
          <t>991002546309702656</t>
        </is>
      </c>
      <c r="AY190" t="inlineStr">
        <is>
          <t>2272134020002656</t>
        </is>
      </c>
      <c r="AZ190" t="inlineStr">
        <is>
          <t>BOOK</t>
        </is>
      </c>
      <c r="BB190" t="inlineStr">
        <is>
          <t>9780826210401</t>
        </is>
      </c>
      <c r="BC190" t="inlineStr">
        <is>
          <t>32285002392859</t>
        </is>
      </c>
      <c r="BD190" t="inlineStr">
        <is>
          <t>893233094</t>
        </is>
      </c>
    </row>
    <row r="191">
      <c r="A191" t="inlineStr">
        <is>
          <t>No</t>
        </is>
      </c>
      <c r="B191" t="inlineStr">
        <is>
          <t>PS1903 .G3</t>
        </is>
      </c>
      <c r="C191" t="inlineStr">
        <is>
          <t>0                      PS 1903000G  3</t>
        </is>
      </c>
      <c r="D191" t="inlineStr">
        <is>
          <t>John Hay / by Robert L. Gale.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Gale, Robert L., 1919-</t>
        </is>
      </c>
      <c r="L191" t="inlineStr">
        <is>
          <t>Boston : Twayne Publishers, c1978.</t>
        </is>
      </c>
      <c r="M191" t="inlineStr">
        <is>
          <t>1978</t>
        </is>
      </c>
      <c r="O191" t="inlineStr">
        <is>
          <t>eng</t>
        </is>
      </c>
      <c r="P191" t="inlineStr">
        <is>
          <t>mau</t>
        </is>
      </c>
      <c r="Q191" t="inlineStr">
        <is>
          <t>Twayne's United States authors series ; TUSAS 296</t>
        </is>
      </c>
      <c r="R191" t="inlineStr">
        <is>
          <t xml:space="preserve">PS </t>
        </is>
      </c>
      <c r="S191" t="n">
        <v>5</v>
      </c>
      <c r="T191" t="n">
        <v>5</v>
      </c>
      <c r="U191" t="inlineStr">
        <is>
          <t>1995-03-13</t>
        </is>
      </c>
      <c r="V191" t="inlineStr">
        <is>
          <t>1995-03-13</t>
        </is>
      </c>
      <c r="W191" t="inlineStr">
        <is>
          <t>1994-10-12</t>
        </is>
      </c>
      <c r="X191" t="inlineStr">
        <is>
          <t>1994-10-12</t>
        </is>
      </c>
      <c r="Y191" t="n">
        <v>608</v>
      </c>
      <c r="Z191" t="n">
        <v>544</v>
      </c>
      <c r="AA191" t="n">
        <v>546</v>
      </c>
      <c r="AB191" t="n">
        <v>4</v>
      </c>
      <c r="AC191" t="n">
        <v>4</v>
      </c>
      <c r="AD191" t="n">
        <v>25</v>
      </c>
      <c r="AE191" t="n">
        <v>25</v>
      </c>
      <c r="AF191" t="n">
        <v>9</v>
      </c>
      <c r="AG191" t="n">
        <v>9</v>
      </c>
      <c r="AH191" t="n">
        <v>4</v>
      </c>
      <c r="AI191" t="n">
        <v>4</v>
      </c>
      <c r="AJ191" t="n">
        <v>16</v>
      </c>
      <c r="AK191" t="n">
        <v>16</v>
      </c>
      <c r="AL191" t="n">
        <v>3</v>
      </c>
      <c r="AM191" t="n">
        <v>3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HYPERLINK("http://catalog.hathitrust.org/Record/000089416","HathiTrust Record")</f>
        <v/>
      </c>
      <c r="AS191">
        <f>HYPERLINK("https://creighton-primo.hosted.exlibrisgroup.com/primo-explore/search?tab=default_tab&amp;search_scope=EVERYTHING&amp;vid=01CRU&amp;lang=en_US&amp;offset=0&amp;query=any,contains,991004458729702656","Catalog Record")</f>
        <v/>
      </c>
      <c r="AT191">
        <f>HYPERLINK("http://www.worldcat.org/oclc/3541027","WorldCat Record")</f>
        <v/>
      </c>
      <c r="AU191" t="inlineStr">
        <is>
          <t>9565856260:eng</t>
        </is>
      </c>
      <c r="AV191" t="inlineStr">
        <is>
          <t>3541027</t>
        </is>
      </c>
      <c r="AW191" t="inlineStr">
        <is>
          <t>991004458729702656</t>
        </is>
      </c>
      <c r="AX191" t="inlineStr">
        <is>
          <t>991004458729702656</t>
        </is>
      </c>
      <c r="AY191" t="inlineStr">
        <is>
          <t>2266039710002656</t>
        </is>
      </c>
      <c r="AZ191" t="inlineStr">
        <is>
          <t>BOOK</t>
        </is>
      </c>
      <c r="BB191" t="inlineStr">
        <is>
          <t>9780805771992</t>
        </is>
      </c>
      <c r="BC191" t="inlineStr">
        <is>
          <t>32285001960896</t>
        </is>
      </c>
      <c r="BD191" t="inlineStr">
        <is>
          <t>893423824</t>
        </is>
      </c>
    </row>
    <row r="192">
      <c r="A192" t="inlineStr">
        <is>
          <t>No</t>
        </is>
      </c>
      <c r="B192" t="inlineStr">
        <is>
          <t>PS1923 .B8</t>
        </is>
      </c>
      <c r="C192" t="inlineStr">
        <is>
          <t>0                      PS 1923000B  8</t>
        </is>
      </c>
      <c r="D192" t="inlineStr">
        <is>
          <t>Robert Herrick / by Louis J. Budd.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Budd, Louis J.</t>
        </is>
      </c>
      <c r="L192" t="inlineStr">
        <is>
          <t>New York : Twayne, [1971]</t>
        </is>
      </c>
      <c r="M192" t="inlineStr">
        <is>
          <t>1971</t>
        </is>
      </c>
      <c r="O192" t="inlineStr">
        <is>
          <t>eng</t>
        </is>
      </c>
      <c r="P192" t="inlineStr">
        <is>
          <t>nyu</t>
        </is>
      </c>
      <c r="Q192" t="inlineStr">
        <is>
          <t>Twayne's United States authors series, 178</t>
        </is>
      </c>
      <c r="R192" t="inlineStr">
        <is>
          <t xml:space="preserve">PS </t>
        </is>
      </c>
      <c r="S192" t="n">
        <v>3</v>
      </c>
      <c r="T192" t="n">
        <v>3</v>
      </c>
      <c r="U192" t="inlineStr">
        <is>
          <t>1997-12-12</t>
        </is>
      </c>
      <c r="V192" t="inlineStr">
        <is>
          <t>1997-12-12</t>
        </is>
      </c>
      <c r="W192" t="inlineStr">
        <is>
          <t>1994-10-12</t>
        </is>
      </c>
      <c r="X192" t="inlineStr">
        <is>
          <t>1994-10-12</t>
        </is>
      </c>
      <c r="Y192" t="n">
        <v>725</v>
      </c>
      <c r="Z192" t="n">
        <v>656</v>
      </c>
      <c r="AA192" t="n">
        <v>663</v>
      </c>
      <c r="AB192" t="n">
        <v>6</v>
      </c>
      <c r="AC192" t="n">
        <v>6</v>
      </c>
      <c r="AD192" t="n">
        <v>34</v>
      </c>
      <c r="AE192" t="n">
        <v>34</v>
      </c>
      <c r="AF192" t="n">
        <v>12</v>
      </c>
      <c r="AG192" t="n">
        <v>12</v>
      </c>
      <c r="AH192" t="n">
        <v>8</v>
      </c>
      <c r="AI192" t="n">
        <v>8</v>
      </c>
      <c r="AJ192" t="n">
        <v>17</v>
      </c>
      <c r="AK192" t="n">
        <v>17</v>
      </c>
      <c r="AL192" t="n">
        <v>5</v>
      </c>
      <c r="AM192" t="n">
        <v>5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HYPERLINK("http://catalog.hathitrust.org/Record/000438298","HathiTrust Record")</f>
        <v/>
      </c>
      <c r="AS192">
        <f>HYPERLINK("https://creighton-primo.hosted.exlibrisgroup.com/primo-explore/search?tab=default_tab&amp;search_scope=EVERYTHING&amp;vid=01CRU&amp;lang=en_US&amp;offset=0&amp;query=any,contains,991000918419702656","Catalog Record")</f>
        <v/>
      </c>
      <c r="AT192">
        <f>HYPERLINK("http://www.worldcat.org/oclc/160817","WorldCat Record")</f>
        <v/>
      </c>
      <c r="AU192" t="inlineStr">
        <is>
          <t>2564889418:eng</t>
        </is>
      </c>
      <c r="AV192" t="inlineStr">
        <is>
          <t>160817</t>
        </is>
      </c>
      <c r="AW192" t="inlineStr">
        <is>
          <t>991000918419702656</t>
        </is>
      </c>
      <c r="AX192" t="inlineStr">
        <is>
          <t>991000918419702656</t>
        </is>
      </c>
      <c r="AY192" t="inlineStr">
        <is>
          <t>2267406100002656</t>
        </is>
      </c>
      <c r="AZ192" t="inlineStr">
        <is>
          <t>BOOK</t>
        </is>
      </c>
      <c r="BC192" t="inlineStr">
        <is>
          <t>32285001960888</t>
        </is>
      </c>
      <c r="BD192" t="inlineStr">
        <is>
          <t>893708837</t>
        </is>
      </c>
    </row>
    <row r="193">
      <c r="A193" t="inlineStr">
        <is>
          <t>No</t>
        </is>
      </c>
      <c r="B193" t="inlineStr">
        <is>
          <t>PS1928 .E2</t>
        </is>
      </c>
      <c r="C193" t="inlineStr">
        <is>
          <t>0                      PS 1928000E  2</t>
        </is>
      </c>
      <c r="D193" t="inlineStr">
        <is>
          <t>Strange enthusiasm; a life of Thomas Wentworth Higginson, by Tilden G. Edelstein.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Edelstein, Tilden G., 1931-</t>
        </is>
      </c>
      <c r="L193" t="inlineStr">
        <is>
          <t>New Haven, Yale University, 1968.</t>
        </is>
      </c>
      <c r="M193" t="inlineStr">
        <is>
          <t>1968</t>
        </is>
      </c>
      <c r="O193" t="inlineStr">
        <is>
          <t>eng</t>
        </is>
      </c>
      <c r="P193" t="inlineStr">
        <is>
          <t>ctu</t>
        </is>
      </c>
      <c r="R193" t="inlineStr">
        <is>
          <t xml:space="preserve">PS </t>
        </is>
      </c>
      <c r="S193" t="n">
        <v>1</v>
      </c>
      <c r="T193" t="n">
        <v>1</v>
      </c>
      <c r="U193" t="inlineStr">
        <is>
          <t>2004-11-30</t>
        </is>
      </c>
      <c r="V193" t="inlineStr">
        <is>
          <t>2004-11-30</t>
        </is>
      </c>
      <c r="W193" t="inlineStr">
        <is>
          <t>1997-05-15</t>
        </is>
      </c>
      <c r="X193" t="inlineStr">
        <is>
          <t>1997-05-15</t>
        </is>
      </c>
      <c r="Y193" t="n">
        <v>797</v>
      </c>
      <c r="Z193" t="n">
        <v>725</v>
      </c>
      <c r="AA193" t="n">
        <v>743</v>
      </c>
      <c r="AB193" t="n">
        <v>5</v>
      </c>
      <c r="AC193" t="n">
        <v>6</v>
      </c>
      <c r="AD193" t="n">
        <v>29</v>
      </c>
      <c r="AE193" t="n">
        <v>30</v>
      </c>
      <c r="AF193" t="n">
        <v>9</v>
      </c>
      <c r="AG193" t="n">
        <v>9</v>
      </c>
      <c r="AH193" t="n">
        <v>7</v>
      </c>
      <c r="AI193" t="n">
        <v>7</v>
      </c>
      <c r="AJ193" t="n">
        <v>14</v>
      </c>
      <c r="AK193" t="n">
        <v>14</v>
      </c>
      <c r="AL193" t="n">
        <v>4</v>
      </c>
      <c r="AM193" t="n">
        <v>5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HYPERLINK("https://creighton-primo.hosted.exlibrisgroup.com/primo-explore/search?tab=default_tab&amp;search_scope=EVERYTHING&amp;vid=01CRU&amp;lang=en_US&amp;offset=0&amp;query=any,contains,991001951289702656","Catalog Record")</f>
        <v/>
      </c>
      <c r="AT193">
        <f>HYPERLINK("http://www.worldcat.org/oclc/252376","WorldCat Record")</f>
        <v/>
      </c>
      <c r="AU193" t="inlineStr">
        <is>
          <t>1343201:eng</t>
        </is>
      </c>
      <c r="AV193" t="inlineStr">
        <is>
          <t>252376</t>
        </is>
      </c>
      <c r="AW193" t="inlineStr">
        <is>
          <t>991001951289702656</t>
        </is>
      </c>
      <c r="AX193" t="inlineStr">
        <is>
          <t>991001951289702656</t>
        </is>
      </c>
      <c r="AY193" t="inlineStr">
        <is>
          <t>2270268040002656</t>
        </is>
      </c>
      <c r="AZ193" t="inlineStr">
        <is>
          <t>BOOK</t>
        </is>
      </c>
      <c r="BC193" t="inlineStr">
        <is>
          <t>32285002710993</t>
        </is>
      </c>
      <c r="BD193" t="inlineStr">
        <is>
          <t>893346931</t>
        </is>
      </c>
    </row>
    <row r="194">
      <c r="A194" t="inlineStr">
        <is>
          <t>No</t>
        </is>
      </c>
      <c r="B194" t="inlineStr">
        <is>
          <t>PS1928 .T88</t>
        </is>
      </c>
      <c r="C194" t="inlineStr">
        <is>
          <t>0                      PS 1928000T  88</t>
        </is>
      </c>
      <c r="D194" t="inlineStr">
        <is>
          <t>Thomas Wentworth Higginson / by James Tuttleton. --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Tuttleton, James W.</t>
        </is>
      </c>
      <c r="L194" t="inlineStr">
        <is>
          <t>Boston : Twayne Publishers, 1978.</t>
        </is>
      </c>
      <c r="M194" t="inlineStr">
        <is>
          <t>1978</t>
        </is>
      </c>
      <c r="O194" t="inlineStr">
        <is>
          <t>eng</t>
        </is>
      </c>
      <c r="P194" t="inlineStr">
        <is>
          <t>mau</t>
        </is>
      </c>
      <c r="Q194" t="inlineStr">
        <is>
          <t>Twayne's United States authors series ; 313</t>
        </is>
      </c>
      <c r="R194" t="inlineStr">
        <is>
          <t xml:space="preserve">PS </t>
        </is>
      </c>
      <c r="S194" t="n">
        <v>1</v>
      </c>
      <c r="T194" t="n">
        <v>1</v>
      </c>
      <c r="U194" t="inlineStr">
        <is>
          <t>2004-11-30</t>
        </is>
      </c>
      <c r="V194" t="inlineStr">
        <is>
          <t>2004-11-30</t>
        </is>
      </c>
      <c r="W194" t="inlineStr">
        <is>
          <t>1990-10-29</t>
        </is>
      </c>
      <c r="X194" t="inlineStr">
        <is>
          <t>1990-10-29</t>
        </is>
      </c>
      <c r="Y194" t="n">
        <v>705</v>
      </c>
      <c r="Z194" t="n">
        <v>632</v>
      </c>
      <c r="AA194" t="n">
        <v>639</v>
      </c>
      <c r="AB194" t="n">
        <v>4</v>
      </c>
      <c r="AC194" t="n">
        <v>4</v>
      </c>
      <c r="AD194" t="n">
        <v>27</v>
      </c>
      <c r="AE194" t="n">
        <v>27</v>
      </c>
      <c r="AF194" t="n">
        <v>10</v>
      </c>
      <c r="AG194" t="n">
        <v>10</v>
      </c>
      <c r="AH194" t="n">
        <v>7</v>
      </c>
      <c r="AI194" t="n">
        <v>7</v>
      </c>
      <c r="AJ194" t="n">
        <v>15</v>
      </c>
      <c r="AK194" t="n">
        <v>15</v>
      </c>
      <c r="AL194" t="n">
        <v>2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HYPERLINK("http://catalog.hathitrust.org/Record/000132231","HathiTrust Record")</f>
        <v/>
      </c>
      <c r="AS194">
        <f>HYPERLINK("https://creighton-primo.hosted.exlibrisgroup.com/primo-explore/search?tab=default_tab&amp;search_scope=EVERYTHING&amp;vid=01CRU&amp;lang=en_US&amp;offset=0&amp;query=any,contains,991004504209702656","Catalog Record")</f>
        <v/>
      </c>
      <c r="AT194">
        <f>HYPERLINK("http://www.worldcat.org/oclc/3730389","WorldCat Record")</f>
        <v/>
      </c>
      <c r="AU194" t="inlineStr">
        <is>
          <t>12429281:eng</t>
        </is>
      </c>
      <c r="AV194" t="inlineStr">
        <is>
          <t>3730389</t>
        </is>
      </c>
      <c r="AW194" t="inlineStr">
        <is>
          <t>991004504209702656</t>
        </is>
      </c>
      <c r="AX194" t="inlineStr">
        <is>
          <t>991004504209702656</t>
        </is>
      </c>
      <c r="AY194" t="inlineStr">
        <is>
          <t>2268822100002656</t>
        </is>
      </c>
      <c r="AZ194" t="inlineStr">
        <is>
          <t>BOOK</t>
        </is>
      </c>
      <c r="BB194" t="inlineStr">
        <is>
          <t>9780805772364</t>
        </is>
      </c>
      <c r="BC194" t="inlineStr">
        <is>
          <t>32285000363720</t>
        </is>
      </c>
      <c r="BD194" t="inlineStr">
        <is>
          <t>893500660</t>
        </is>
      </c>
    </row>
    <row r="195">
      <c r="A195" t="inlineStr">
        <is>
          <t>No</t>
        </is>
      </c>
      <c r="B195" t="inlineStr">
        <is>
          <t>PS1980 .C87</t>
        </is>
      </c>
      <c r="C195" t="inlineStr">
        <is>
          <t>0                      PS 1980000C  87</t>
        </is>
      </c>
      <c r="D195" t="inlineStr">
        <is>
          <t>A bibliography of Oliver Wendell Holmes; edited by Eleanor M. Tilton for the Bibliographical Society of America.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Currier, Thomas Franklin, 1873-1946.</t>
        </is>
      </c>
      <c r="L195" t="inlineStr">
        <is>
          <t>New York, New York University Press, 1953.</t>
        </is>
      </c>
      <c r="M195" t="inlineStr">
        <is>
          <t>1953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PS </t>
        </is>
      </c>
      <c r="S195" t="n">
        <v>1</v>
      </c>
      <c r="T195" t="n">
        <v>1</v>
      </c>
      <c r="U195" t="inlineStr">
        <is>
          <t>2002-07-10</t>
        </is>
      </c>
      <c r="V195" t="inlineStr">
        <is>
          <t>2002-07-10</t>
        </is>
      </c>
      <c r="W195" t="inlineStr">
        <is>
          <t>1997-05-15</t>
        </is>
      </c>
      <c r="X195" t="inlineStr">
        <is>
          <t>1997-05-15</t>
        </is>
      </c>
      <c r="Y195" t="n">
        <v>418</v>
      </c>
      <c r="Z195" t="n">
        <v>365</v>
      </c>
      <c r="AA195" t="n">
        <v>446</v>
      </c>
      <c r="AB195" t="n">
        <v>3</v>
      </c>
      <c r="AC195" t="n">
        <v>3</v>
      </c>
      <c r="AD195" t="n">
        <v>19</v>
      </c>
      <c r="AE195" t="n">
        <v>24</v>
      </c>
      <c r="AF195" t="n">
        <v>7</v>
      </c>
      <c r="AG195" t="n">
        <v>10</v>
      </c>
      <c r="AH195" t="n">
        <v>4</v>
      </c>
      <c r="AI195" t="n">
        <v>6</v>
      </c>
      <c r="AJ195" t="n">
        <v>9</v>
      </c>
      <c r="AK195" t="n">
        <v>12</v>
      </c>
      <c r="AL195" t="n">
        <v>2</v>
      </c>
      <c r="AM195" t="n">
        <v>2</v>
      </c>
      <c r="AN195" t="n">
        <v>1</v>
      </c>
      <c r="AO195" t="n">
        <v>1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HYPERLINK("http://catalog.hathitrust.org/Record/000478129","HathiTrust Record")</f>
        <v/>
      </c>
      <c r="AS195">
        <f>HYPERLINK("https://creighton-primo.hosted.exlibrisgroup.com/primo-explore/search?tab=default_tab&amp;search_scope=EVERYTHING&amp;vid=01CRU&amp;lang=en_US&amp;offset=0&amp;query=any,contains,991001170109702656","Catalog Record")</f>
        <v/>
      </c>
      <c r="AT195">
        <f>HYPERLINK("http://www.worldcat.org/oclc/188186","WorldCat Record")</f>
        <v/>
      </c>
      <c r="AU195" t="inlineStr">
        <is>
          <t>1268692:eng</t>
        </is>
      </c>
      <c r="AV195" t="inlineStr">
        <is>
          <t>188186</t>
        </is>
      </c>
      <c r="AW195" t="inlineStr">
        <is>
          <t>991001170109702656</t>
        </is>
      </c>
      <c r="AX195" t="inlineStr">
        <is>
          <t>991001170109702656</t>
        </is>
      </c>
      <c r="AY195" t="inlineStr">
        <is>
          <t>2267713620002656</t>
        </is>
      </c>
      <c r="AZ195" t="inlineStr">
        <is>
          <t>BOOK</t>
        </is>
      </c>
      <c r="BC195" t="inlineStr">
        <is>
          <t>32285002711108</t>
        </is>
      </c>
      <c r="BD195" t="inlineStr">
        <is>
          <t>893346305</t>
        </is>
      </c>
    </row>
    <row r="196">
      <c r="A196" t="inlineStr">
        <is>
          <t>No</t>
        </is>
      </c>
      <c r="B196" t="inlineStr">
        <is>
          <t>PS1999.H25 Z87 1984</t>
        </is>
      </c>
      <c r="C196" t="inlineStr">
        <is>
          <t>0                      PS 1999000H  25                 Z  87          1984</t>
        </is>
      </c>
      <c r="D196" t="inlineStr">
        <is>
          <t>Johnson J. Hooper / by Paul Somers, Jr.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Somers, Paul.</t>
        </is>
      </c>
      <c r="L196" t="inlineStr">
        <is>
          <t>Boston : Twayne Publishers, c1984.</t>
        </is>
      </c>
      <c r="M196" t="inlineStr">
        <is>
          <t>1984</t>
        </is>
      </c>
      <c r="O196" t="inlineStr">
        <is>
          <t>eng</t>
        </is>
      </c>
      <c r="P196" t="inlineStr">
        <is>
          <t>mau</t>
        </is>
      </c>
      <c r="Q196" t="inlineStr">
        <is>
          <t>Twayne's United States authors series ; TUSAS 454</t>
        </is>
      </c>
      <c r="R196" t="inlineStr">
        <is>
          <t xml:space="preserve">PS </t>
        </is>
      </c>
      <c r="S196" t="n">
        <v>1</v>
      </c>
      <c r="T196" t="n">
        <v>1</v>
      </c>
      <c r="U196" t="inlineStr">
        <is>
          <t>1998-09-19</t>
        </is>
      </c>
      <c r="V196" t="inlineStr">
        <is>
          <t>1998-09-19</t>
        </is>
      </c>
      <c r="W196" t="inlineStr">
        <is>
          <t>1990-10-29</t>
        </is>
      </c>
      <c r="X196" t="inlineStr">
        <is>
          <t>1990-10-29</t>
        </is>
      </c>
      <c r="Y196" t="n">
        <v>452</v>
      </c>
      <c r="Z196" t="n">
        <v>398</v>
      </c>
      <c r="AA196" t="n">
        <v>406</v>
      </c>
      <c r="AB196" t="n">
        <v>5</v>
      </c>
      <c r="AC196" t="n">
        <v>5</v>
      </c>
      <c r="AD196" t="n">
        <v>22</v>
      </c>
      <c r="AE196" t="n">
        <v>22</v>
      </c>
      <c r="AF196" t="n">
        <v>7</v>
      </c>
      <c r="AG196" t="n">
        <v>7</v>
      </c>
      <c r="AH196" t="n">
        <v>4</v>
      </c>
      <c r="AI196" t="n">
        <v>4</v>
      </c>
      <c r="AJ196" t="n">
        <v>14</v>
      </c>
      <c r="AK196" t="n">
        <v>14</v>
      </c>
      <c r="AL196" t="n">
        <v>4</v>
      </c>
      <c r="AM196" t="n">
        <v>4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HYPERLINK("http://catalog.hathitrust.org/Record/000332934","HathiTrust Record")</f>
        <v/>
      </c>
      <c r="AS196">
        <f>HYPERLINK("https://creighton-primo.hosted.exlibrisgroup.com/primo-explore/search?tab=default_tab&amp;search_scope=EVERYTHING&amp;vid=01CRU&amp;lang=en_US&amp;offset=0&amp;query=any,contains,991000440379702656","Catalog Record")</f>
        <v/>
      </c>
      <c r="AT196">
        <f>HYPERLINK("http://www.worldcat.org/oclc/10823713","WorldCat Record")</f>
        <v/>
      </c>
      <c r="AU196" t="inlineStr">
        <is>
          <t>3267070:eng</t>
        </is>
      </c>
      <c r="AV196" t="inlineStr">
        <is>
          <t>10823713</t>
        </is>
      </c>
      <c r="AW196" t="inlineStr">
        <is>
          <t>991000440379702656</t>
        </is>
      </c>
      <c r="AX196" t="inlineStr">
        <is>
          <t>991000440379702656</t>
        </is>
      </c>
      <c r="AY196" t="inlineStr">
        <is>
          <t>2262577450002656</t>
        </is>
      </c>
      <c r="AZ196" t="inlineStr">
        <is>
          <t>BOOK</t>
        </is>
      </c>
      <c r="BB196" t="inlineStr">
        <is>
          <t>9780805773941</t>
        </is>
      </c>
      <c r="BC196" t="inlineStr">
        <is>
          <t>32285000363753</t>
        </is>
      </c>
      <c r="BD196" t="inlineStr">
        <is>
          <t>893431941</t>
        </is>
      </c>
    </row>
    <row r="197">
      <c r="A197" t="inlineStr">
        <is>
          <t>No</t>
        </is>
      </c>
      <c r="B197" t="inlineStr">
        <is>
          <t>PS201 .P4 1965</t>
        </is>
      </c>
      <c r="C197" t="inlineStr">
        <is>
          <t>0                      PS 0201000P  4           1965</t>
        </is>
      </c>
      <c r="D197" t="inlineStr">
        <is>
          <t>Howells, James, Bryant and other essays.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Phelps, William Lyon, 1865-1943.</t>
        </is>
      </c>
      <c r="L197" t="inlineStr">
        <is>
          <t>Port Washington, N. Y., Kennikat Press [1965, c1924]</t>
        </is>
      </c>
      <c r="M197" t="inlineStr">
        <is>
          <t>1965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PS </t>
        </is>
      </c>
      <c r="S197" t="n">
        <v>1</v>
      </c>
      <c r="T197" t="n">
        <v>1</v>
      </c>
      <c r="U197" t="inlineStr">
        <is>
          <t>2003-06-25</t>
        </is>
      </c>
      <c r="V197" t="inlineStr">
        <is>
          <t>2003-06-25</t>
        </is>
      </c>
      <c r="W197" t="inlineStr">
        <is>
          <t>1997-05-02</t>
        </is>
      </c>
      <c r="X197" t="inlineStr">
        <is>
          <t>1997-05-02</t>
        </is>
      </c>
      <c r="Y197" t="n">
        <v>375</v>
      </c>
      <c r="Z197" t="n">
        <v>349</v>
      </c>
      <c r="AA197" t="n">
        <v>647</v>
      </c>
      <c r="AB197" t="n">
        <v>3</v>
      </c>
      <c r="AC197" t="n">
        <v>5</v>
      </c>
      <c r="AD197" t="n">
        <v>15</v>
      </c>
      <c r="AE197" t="n">
        <v>30</v>
      </c>
      <c r="AF197" t="n">
        <v>4</v>
      </c>
      <c r="AG197" t="n">
        <v>10</v>
      </c>
      <c r="AH197" t="n">
        <v>2</v>
      </c>
      <c r="AI197" t="n">
        <v>5</v>
      </c>
      <c r="AJ197" t="n">
        <v>9</v>
      </c>
      <c r="AK197" t="n">
        <v>17</v>
      </c>
      <c r="AL197" t="n">
        <v>2</v>
      </c>
      <c r="AM197" t="n">
        <v>4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HYPERLINK("https://creighton-primo.hosted.exlibrisgroup.com/primo-explore/search?tab=default_tab&amp;search_scope=EVERYTHING&amp;vid=01CRU&amp;lang=en_US&amp;offset=0&amp;query=any,contains,991004033069702656","Catalog Record")</f>
        <v/>
      </c>
      <c r="AT197">
        <f>HYPERLINK("http://www.worldcat.org/oclc/2162092","WorldCat Record")</f>
        <v/>
      </c>
      <c r="AU197" t="inlineStr">
        <is>
          <t>1764318:eng</t>
        </is>
      </c>
      <c r="AV197" t="inlineStr">
        <is>
          <t>2162092</t>
        </is>
      </c>
      <c r="AW197" t="inlineStr">
        <is>
          <t>991004033069702656</t>
        </is>
      </c>
      <c r="AX197" t="inlineStr">
        <is>
          <t>991004033069702656</t>
        </is>
      </c>
      <c r="AY197" t="inlineStr">
        <is>
          <t>2266068950002656</t>
        </is>
      </c>
      <c r="AZ197" t="inlineStr">
        <is>
          <t>BOOK</t>
        </is>
      </c>
      <c r="BC197" t="inlineStr">
        <is>
          <t>32285002635224</t>
        </is>
      </c>
      <c r="BD197" t="inlineStr">
        <is>
          <t>893349531</t>
        </is>
      </c>
    </row>
    <row r="198">
      <c r="A198" t="inlineStr">
        <is>
          <t>No</t>
        </is>
      </c>
      <c r="B198" t="inlineStr">
        <is>
          <t>PS201 .S8</t>
        </is>
      </c>
      <c r="C198" t="inlineStr">
        <is>
          <t>0                      PS 0201000S  8</t>
        </is>
      </c>
      <c r="D198" t="inlineStr">
        <is>
          <t>Eight American authors : a review of research and criticism / by Jay B. Hubbell [and others]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Yes</t>
        </is>
      </c>
      <c r="J198" t="inlineStr">
        <is>
          <t>0</t>
        </is>
      </c>
      <c r="K198" t="inlineStr">
        <is>
          <t>Stovall, Floyd, 1896-1991, editor.</t>
        </is>
      </c>
      <c r="L198" t="inlineStr">
        <is>
          <t>New York : Modern Language Association of America, 1956.</t>
        </is>
      </c>
      <c r="M198" t="inlineStr">
        <is>
          <t>1956</t>
        </is>
      </c>
      <c r="O198" t="inlineStr">
        <is>
          <t>eng</t>
        </is>
      </c>
      <c r="P198" t="inlineStr">
        <is>
          <t>nyu</t>
        </is>
      </c>
      <c r="Q198" t="inlineStr">
        <is>
          <t>Revolving fund series ; no. 19</t>
        </is>
      </c>
      <c r="R198" t="inlineStr">
        <is>
          <t xml:space="preserve">PS </t>
        </is>
      </c>
      <c r="S198" t="n">
        <v>2</v>
      </c>
      <c r="T198" t="n">
        <v>2</v>
      </c>
      <c r="U198" t="inlineStr">
        <is>
          <t>1998-04-19</t>
        </is>
      </c>
      <c r="V198" t="inlineStr">
        <is>
          <t>1998-04-19</t>
        </is>
      </c>
      <c r="W198" t="inlineStr">
        <is>
          <t>1992-04-13</t>
        </is>
      </c>
      <c r="X198" t="inlineStr">
        <is>
          <t>1992-04-13</t>
        </is>
      </c>
      <c r="Y198" t="n">
        <v>608</v>
      </c>
      <c r="Z198" t="n">
        <v>520</v>
      </c>
      <c r="AA198" t="n">
        <v>1294</v>
      </c>
      <c r="AB198" t="n">
        <v>4</v>
      </c>
      <c r="AC198" t="n">
        <v>7</v>
      </c>
      <c r="AD198" t="n">
        <v>27</v>
      </c>
      <c r="AE198" t="n">
        <v>49</v>
      </c>
      <c r="AF198" t="n">
        <v>12</v>
      </c>
      <c r="AG198" t="n">
        <v>23</v>
      </c>
      <c r="AH198" t="n">
        <v>6</v>
      </c>
      <c r="AI198" t="n">
        <v>9</v>
      </c>
      <c r="AJ198" t="n">
        <v>16</v>
      </c>
      <c r="AK198" t="n">
        <v>24</v>
      </c>
      <c r="AL198" t="n">
        <v>2</v>
      </c>
      <c r="AM198" t="n">
        <v>5</v>
      </c>
      <c r="AN198" t="n">
        <v>0</v>
      </c>
      <c r="AO198" t="n">
        <v>0</v>
      </c>
      <c r="AP198" t="inlineStr">
        <is>
          <t>Yes</t>
        </is>
      </c>
      <c r="AQ198" t="inlineStr">
        <is>
          <t>No</t>
        </is>
      </c>
      <c r="AR198">
        <f>HYPERLINK("http://catalog.hathitrust.org/Record/001026432","HathiTrust Record")</f>
        <v/>
      </c>
      <c r="AS198">
        <f>HYPERLINK("https://creighton-primo.hosted.exlibrisgroup.com/primo-explore/search?tab=default_tab&amp;search_scope=EVERYTHING&amp;vid=01CRU&amp;lang=en_US&amp;offset=0&amp;query=any,contains,991003153139702656","Catalog Record")</f>
        <v/>
      </c>
      <c r="AT198">
        <f>HYPERLINK("http://www.worldcat.org/oclc/692272","WorldCat Record")</f>
        <v/>
      </c>
      <c r="AU198" t="inlineStr">
        <is>
          <t>871242283:eng</t>
        </is>
      </c>
      <c r="AV198" t="inlineStr">
        <is>
          <t>692272</t>
        </is>
      </c>
      <c r="AW198" t="inlineStr">
        <is>
          <t>991003153139702656</t>
        </is>
      </c>
      <c r="AX198" t="inlineStr">
        <is>
          <t>991003153139702656</t>
        </is>
      </c>
      <c r="AY198" t="inlineStr">
        <is>
          <t>2268385470002656</t>
        </is>
      </c>
      <c r="AZ198" t="inlineStr">
        <is>
          <t>BOOK</t>
        </is>
      </c>
      <c r="BC198" t="inlineStr">
        <is>
          <t>32285001059202</t>
        </is>
      </c>
      <c r="BD198" t="inlineStr">
        <is>
          <t>893227739</t>
        </is>
      </c>
    </row>
    <row r="199">
      <c r="A199" t="inlineStr">
        <is>
          <t>No</t>
        </is>
      </c>
      <c r="B199" t="inlineStr">
        <is>
          <t>PS201 .T28 1989</t>
        </is>
      </c>
      <c r="C199" t="inlineStr">
        <is>
          <t>0                      PS 0201000T  28          1989</t>
        </is>
      </c>
      <c r="D199" t="inlineStr">
        <is>
          <t>Scenes of nature, signs of men / Tony Tanner.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Tanner, Tony.</t>
        </is>
      </c>
      <c r="L199" t="inlineStr">
        <is>
          <t>Cambridge ; New York : Cambridge University Press, 1989, c1987.</t>
        </is>
      </c>
      <c r="M199" t="inlineStr">
        <is>
          <t>1989</t>
        </is>
      </c>
      <c r="N199" t="inlineStr">
        <is>
          <t>1st paperback ed.</t>
        </is>
      </c>
      <c r="O199" t="inlineStr">
        <is>
          <t>eng</t>
        </is>
      </c>
      <c r="P199" t="inlineStr">
        <is>
          <t>enk</t>
        </is>
      </c>
      <c r="Q199" t="inlineStr">
        <is>
          <t>Cambridge studies in American literature and culture</t>
        </is>
      </c>
      <c r="R199" t="inlineStr">
        <is>
          <t xml:space="preserve">PS </t>
        </is>
      </c>
      <c r="S199" t="n">
        <v>1</v>
      </c>
      <c r="T199" t="n">
        <v>1</v>
      </c>
      <c r="U199" t="inlineStr">
        <is>
          <t>2003-09-23</t>
        </is>
      </c>
      <c r="V199" t="inlineStr">
        <is>
          <t>2003-09-23</t>
        </is>
      </c>
      <c r="W199" t="inlineStr">
        <is>
          <t>2003-09-23</t>
        </is>
      </c>
      <c r="X199" t="inlineStr">
        <is>
          <t>2003-09-23</t>
        </is>
      </c>
      <c r="Y199" t="n">
        <v>51</v>
      </c>
      <c r="Z199" t="n">
        <v>34</v>
      </c>
      <c r="AA199" t="n">
        <v>545</v>
      </c>
      <c r="AB199" t="n">
        <v>1</v>
      </c>
      <c r="AC199" t="n">
        <v>6</v>
      </c>
      <c r="AD199" t="n">
        <v>4</v>
      </c>
      <c r="AE199" t="n">
        <v>29</v>
      </c>
      <c r="AF199" t="n">
        <v>3</v>
      </c>
      <c r="AG199" t="n">
        <v>12</v>
      </c>
      <c r="AH199" t="n">
        <v>1</v>
      </c>
      <c r="AI199" t="n">
        <v>7</v>
      </c>
      <c r="AJ199" t="n">
        <v>1</v>
      </c>
      <c r="AK199" t="n">
        <v>13</v>
      </c>
      <c r="AL199" t="n">
        <v>0</v>
      </c>
      <c r="AM199" t="n">
        <v>5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HYPERLINK("https://creighton-primo.hosted.exlibrisgroup.com/primo-explore/search?tab=default_tab&amp;search_scope=EVERYTHING&amp;vid=01CRU&amp;lang=en_US&amp;offset=0&amp;query=any,contains,991004130049702656","Catalog Record")</f>
        <v/>
      </c>
      <c r="AT199">
        <f>HYPERLINK("http://www.worldcat.org/oclc/22098721","WorldCat Record")</f>
        <v/>
      </c>
      <c r="AU199" t="inlineStr">
        <is>
          <t>10199610:eng</t>
        </is>
      </c>
      <c r="AV199" t="inlineStr">
        <is>
          <t>22098721</t>
        </is>
      </c>
      <c r="AW199" t="inlineStr">
        <is>
          <t>991004130049702656</t>
        </is>
      </c>
      <c r="AX199" t="inlineStr">
        <is>
          <t>991004130049702656</t>
        </is>
      </c>
      <c r="AY199" t="inlineStr">
        <is>
          <t>2256517370002656</t>
        </is>
      </c>
      <c r="AZ199" t="inlineStr">
        <is>
          <t>BOOK</t>
        </is>
      </c>
      <c r="BB199" t="inlineStr">
        <is>
          <t>9780521311557</t>
        </is>
      </c>
      <c r="BC199" t="inlineStr">
        <is>
          <t>32285004784293</t>
        </is>
      </c>
      <c r="BD199" t="inlineStr">
        <is>
          <t>893627994</t>
        </is>
      </c>
    </row>
    <row r="200">
      <c r="A200" t="inlineStr">
        <is>
          <t>No</t>
        </is>
      </c>
      <c r="B200" t="inlineStr">
        <is>
          <t>PS2022 .C6 1950</t>
        </is>
      </c>
      <c r="C200" t="inlineStr">
        <is>
          <t>0                      PS 2022000C  6           1950</t>
        </is>
      </c>
      <c r="D200" t="inlineStr">
        <is>
          <t>Selected writings of William Dean Howells / edited, with an introd., by Henry Steele Commager.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Howells, William Dean, 1837-1920.</t>
        </is>
      </c>
      <c r="L200" t="inlineStr">
        <is>
          <t>New York : Random House, [1950]</t>
        </is>
      </c>
      <c r="M200" t="inlineStr">
        <is>
          <t>1950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PS </t>
        </is>
      </c>
      <c r="S200" t="n">
        <v>1</v>
      </c>
      <c r="T200" t="n">
        <v>1</v>
      </c>
      <c r="U200" t="inlineStr">
        <is>
          <t>2004-02-03</t>
        </is>
      </c>
      <c r="V200" t="inlineStr">
        <is>
          <t>2004-02-03</t>
        </is>
      </c>
      <c r="W200" t="inlineStr">
        <is>
          <t>1990-11-13</t>
        </is>
      </c>
      <c r="X200" t="inlineStr">
        <is>
          <t>1990-11-13</t>
        </is>
      </c>
      <c r="Y200" t="n">
        <v>649</v>
      </c>
      <c r="Z200" t="n">
        <v>576</v>
      </c>
      <c r="AA200" t="n">
        <v>583</v>
      </c>
      <c r="AB200" t="n">
        <v>6</v>
      </c>
      <c r="AC200" t="n">
        <v>6</v>
      </c>
      <c r="AD200" t="n">
        <v>21</v>
      </c>
      <c r="AE200" t="n">
        <v>21</v>
      </c>
      <c r="AF200" t="n">
        <v>7</v>
      </c>
      <c r="AG200" t="n">
        <v>7</v>
      </c>
      <c r="AH200" t="n">
        <v>4</v>
      </c>
      <c r="AI200" t="n">
        <v>4</v>
      </c>
      <c r="AJ200" t="n">
        <v>8</v>
      </c>
      <c r="AK200" t="n">
        <v>8</v>
      </c>
      <c r="AL200" t="n">
        <v>5</v>
      </c>
      <c r="AM200" t="n">
        <v>5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R200">
        <f>HYPERLINK("http://catalog.hathitrust.org/Record/000478974","HathiTrust Record")</f>
        <v/>
      </c>
      <c r="AS200">
        <f>HYPERLINK("https://creighton-primo.hosted.exlibrisgroup.com/primo-explore/search?tab=default_tab&amp;search_scope=EVERYTHING&amp;vid=01CRU&amp;lang=en_US&amp;offset=0&amp;query=any,contains,991002163769702656","Catalog Record")</f>
        <v/>
      </c>
      <c r="AT200">
        <f>HYPERLINK("http://www.worldcat.org/oclc/274507","WorldCat Record")</f>
        <v/>
      </c>
      <c r="AU200" t="inlineStr">
        <is>
          <t>3857356207:eng</t>
        </is>
      </c>
      <c r="AV200" t="inlineStr">
        <is>
          <t>274507</t>
        </is>
      </c>
      <c r="AW200" t="inlineStr">
        <is>
          <t>991002163769702656</t>
        </is>
      </c>
      <c r="AX200" t="inlineStr">
        <is>
          <t>991002163769702656</t>
        </is>
      </c>
      <c r="AY200" t="inlineStr">
        <is>
          <t>2260823080002656</t>
        </is>
      </c>
      <c r="AZ200" t="inlineStr">
        <is>
          <t>BOOK</t>
        </is>
      </c>
      <c r="BC200" t="inlineStr">
        <is>
          <t>32285000314699</t>
        </is>
      </c>
      <c r="BD200" t="inlineStr">
        <is>
          <t>893421000</t>
        </is>
      </c>
    </row>
    <row r="201">
      <c r="A201" t="inlineStr">
        <is>
          <t>No</t>
        </is>
      </c>
      <c r="B201" t="inlineStr">
        <is>
          <t>PS2028 .W3 1973</t>
        </is>
      </c>
      <c r="C201" t="inlineStr">
        <is>
          <t>0                      PS 2028000W  3           1973</t>
        </is>
      </c>
      <c r="D201" t="inlineStr">
        <is>
          <t>W. D. Howells as critic / edited by Edwin H. Cady.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Howells, William Dean, 1837-1920.</t>
        </is>
      </c>
      <c r="L201" t="inlineStr">
        <is>
          <t>London ; Boston : Routledge &amp; Kegan Paul, 1973.</t>
        </is>
      </c>
      <c r="M201" t="inlineStr">
        <is>
          <t>1973</t>
        </is>
      </c>
      <c r="O201" t="inlineStr">
        <is>
          <t>eng</t>
        </is>
      </c>
      <c r="P201" t="inlineStr">
        <is>
          <t>enk</t>
        </is>
      </c>
      <c r="Q201" t="inlineStr">
        <is>
          <t>The Routledge critics series</t>
        </is>
      </c>
      <c r="R201" t="inlineStr">
        <is>
          <t xml:space="preserve">PS </t>
        </is>
      </c>
      <c r="S201" t="n">
        <v>15</v>
      </c>
      <c r="T201" t="n">
        <v>15</v>
      </c>
      <c r="U201" t="inlineStr">
        <is>
          <t>2000-02-09</t>
        </is>
      </c>
      <c r="V201" t="inlineStr">
        <is>
          <t>2000-02-09</t>
        </is>
      </c>
      <c r="W201" t="inlineStr">
        <is>
          <t>1992-10-13</t>
        </is>
      </c>
      <c r="X201" t="inlineStr">
        <is>
          <t>1992-10-13</t>
        </is>
      </c>
      <c r="Y201" t="n">
        <v>625</v>
      </c>
      <c r="Z201" t="n">
        <v>498</v>
      </c>
      <c r="AA201" t="n">
        <v>505</v>
      </c>
      <c r="AB201" t="n">
        <v>2</v>
      </c>
      <c r="AC201" t="n">
        <v>2</v>
      </c>
      <c r="AD201" t="n">
        <v>26</v>
      </c>
      <c r="AE201" t="n">
        <v>26</v>
      </c>
      <c r="AF201" t="n">
        <v>14</v>
      </c>
      <c r="AG201" t="n">
        <v>14</v>
      </c>
      <c r="AH201" t="n">
        <v>6</v>
      </c>
      <c r="AI201" t="n">
        <v>6</v>
      </c>
      <c r="AJ201" t="n">
        <v>14</v>
      </c>
      <c r="AK201" t="n">
        <v>14</v>
      </c>
      <c r="AL201" t="n">
        <v>1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HYPERLINK("http://catalog.hathitrust.org/Record/000013052","HathiTrust Record")</f>
        <v/>
      </c>
      <c r="AS201">
        <f>HYPERLINK("https://creighton-primo.hosted.exlibrisgroup.com/primo-explore/search?tab=default_tab&amp;search_scope=EVERYTHING&amp;vid=01CRU&amp;lang=en_US&amp;offset=0&amp;query=any,contains,991003320469702656","Catalog Record")</f>
        <v/>
      </c>
      <c r="AT201">
        <f>HYPERLINK("http://www.worldcat.org/oclc/848014","WorldCat Record")</f>
        <v/>
      </c>
      <c r="AU201" t="inlineStr">
        <is>
          <t>1812663:eng</t>
        </is>
      </c>
      <c r="AV201" t="inlineStr">
        <is>
          <t>848014</t>
        </is>
      </c>
      <c r="AW201" t="inlineStr">
        <is>
          <t>991003320469702656</t>
        </is>
      </c>
      <c r="AX201" t="inlineStr">
        <is>
          <t>991003320469702656</t>
        </is>
      </c>
      <c r="AY201" t="inlineStr">
        <is>
          <t>2271826090002656</t>
        </is>
      </c>
      <c r="AZ201" t="inlineStr">
        <is>
          <t>BOOK</t>
        </is>
      </c>
      <c r="BB201" t="inlineStr">
        <is>
          <t>9780710076762</t>
        </is>
      </c>
      <c r="BC201" t="inlineStr">
        <is>
          <t>32285001346369</t>
        </is>
      </c>
      <c r="BD201" t="inlineStr">
        <is>
          <t>893416267</t>
        </is>
      </c>
    </row>
    <row r="202">
      <c r="A202" t="inlineStr">
        <is>
          <t>No</t>
        </is>
      </c>
      <c r="B202" t="inlineStr">
        <is>
          <t>PS2029.H6 S8 1969</t>
        </is>
      </c>
      <c r="C202" t="inlineStr">
        <is>
          <t>0                      PS 2029000H  6                  S  8           1969</t>
        </is>
      </c>
      <c r="D202" t="inlineStr">
        <is>
          <t>Suburban sketches. With illus. by Augustus Hoppin.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Howells, William Dean, 1837-1920.</t>
        </is>
      </c>
      <c r="L202" t="inlineStr">
        <is>
          <t>Freeport, N.Y., Books for Libraries Press [1969]</t>
        </is>
      </c>
      <c r="M202" t="inlineStr">
        <is>
          <t>1969</t>
        </is>
      </c>
      <c r="O202" t="inlineStr">
        <is>
          <t>eng</t>
        </is>
      </c>
      <c r="P202" t="inlineStr">
        <is>
          <t>nyu</t>
        </is>
      </c>
      <c r="Q202" t="inlineStr">
        <is>
          <t>Short story index reprint series</t>
        </is>
      </c>
      <c r="R202" t="inlineStr">
        <is>
          <t xml:space="preserve">PS </t>
        </is>
      </c>
      <c r="S202" t="n">
        <v>1</v>
      </c>
      <c r="T202" t="n">
        <v>1</v>
      </c>
      <c r="U202" t="inlineStr">
        <is>
          <t>2002-10-15</t>
        </is>
      </c>
      <c r="V202" t="inlineStr">
        <is>
          <t>2002-10-15</t>
        </is>
      </c>
      <c r="W202" t="inlineStr">
        <is>
          <t>1997-05-15</t>
        </is>
      </c>
      <c r="X202" t="inlineStr">
        <is>
          <t>1997-05-15</t>
        </is>
      </c>
      <c r="Y202" t="n">
        <v>214</v>
      </c>
      <c r="Z202" t="n">
        <v>206</v>
      </c>
      <c r="AA202" t="n">
        <v>633</v>
      </c>
      <c r="AB202" t="n">
        <v>2</v>
      </c>
      <c r="AC202" t="n">
        <v>7</v>
      </c>
      <c r="AD202" t="n">
        <v>9</v>
      </c>
      <c r="AE202" t="n">
        <v>26</v>
      </c>
      <c r="AF202" t="n">
        <v>4</v>
      </c>
      <c r="AG202" t="n">
        <v>8</v>
      </c>
      <c r="AH202" t="n">
        <v>1</v>
      </c>
      <c r="AI202" t="n">
        <v>4</v>
      </c>
      <c r="AJ202" t="n">
        <v>6</v>
      </c>
      <c r="AK202" t="n">
        <v>12</v>
      </c>
      <c r="AL202" t="n">
        <v>1</v>
      </c>
      <c r="AM202" t="n">
        <v>6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HYPERLINK("http://catalog.hathitrust.org/Record/007881084","HathiTrust Record")</f>
        <v/>
      </c>
      <c r="AS202">
        <f>HYPERLINK("https://creighton-primo.hosted.exlibrisgroup.com/primo-explore/search?tab=default_tab&amp;search_scope=EVERYTHING&amp;vid=01CRU&amp;lang=en_US&amp;offset=0&amp;query=any,contains,991000031039702656","Catalog Record")</f>
        <v/>
      </c>
      <c r="AT202">
        <f>HYPERLINK("http://www.worldcat.org/oclc/19391","WorldCat Record")</f>
        <v/>
      </c>
      <c r="AU202" t="inlineStr">
        <is>
          <t>498530:eng</t>
        </is>
      </c>
      <c r="AV202" t="inlineStr">
        <is>
          <t>19391</t>
        </is>
      </c>
      <c r="AW202" t="inlineStr">
        <is>
          <t>991000031039702656</t>
        </is>
      </c>
      <c r="AX202" t="inlineStr">
        <is>
          <t>991000031039702656</t>
        </is>
      </c>
      <c r="AY202" t="inlineStr">
        <is>
          <t>2271955820002656</t>
        </is>
      </c>
      <c r="AZ202" t="inlineStr">
        <is>
          <t>BOOK</t>
        </is>
      </c>
      <c r="BB202" t="inlineStr">
        <is>
          <t>9780836930504</t>
        </is>
      </c>
      <c r="BC202" t="inlineStr">
        <is>
          <t>32285002711405</t>
        </is>
      </c>
      <c r="BD202" t="inlineStr">
        <is>
          <t>893802427</t>
        </is>
      </c>
    </row>
    <row r="203">
      <c r="A203" t="inlineStr">
        <is>
          <t>No</t>
        </is>
      </c>
      <c r="B203" t="inlineStr">
        <is>
          <t>PS203 .C57 1972</t>
        </is>
      </c>
      <c r="C203" t="inlineStr">
        <is>
          <t>0                      PS 0203000C  57          1972</t>
        </is>
      </c>
      <c r="D203" t="inlineStr">
        <is>
          <t>The uses of observation. A study of correspondential vision in the writings of Emerson, Thoreau and Whitman.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Collins, Christopher.</t>
        </is>
      </c>
      <c r="L203" t="inlineStr">
        <is>
          <t>The Hague, Mouton, 1971. [1972].</t>
        </is>
      </c>
      <c r="M203" t="inlineStr">
        <is>
          <t>1972</t>
        </is>
      </c>
      <c r="O203" t="inlineStr">
        <is>
          <t>eng</t>
        </is>
      </c>
      <c r="P203" t="inlineStr">
        <is>
          <t xml:space="preserve">ne </t>
        </is>
      </c>
      <c r="Q203" t="inlineStr">
        <is>
          <t>Studies in American literature ; v. 12</t>
        </is>
      </c>
      <c r="R203" t="inlineStr">
        <is>
          <t xml:space="preserve">PS </t>
        </is>
      </c>
      <c r="S203" t="n">
        <v>2</v>
      </c>
      <c r="T203" t="n">
        <v>2</v>
      </c>
      <c r="U203" t="inlineStr">
        <is>
          <t>2004-10-27</t>
        </is>
      </c>
      <c r="V203" t="inlineStr">
        <is>
          <t>2004-10-27</t>
        </is>
      </c>
      <c r="W203" t="inlineStr">
        <is>
          <t>1997-05-02</t>
        </is>
      </c>
      <c r="X203" t="inlineStr">
        <is>
          <t>1997-05-02</t>
        </is>
      </c>
      <c r="Y203" t="n">
        <v>259</v>
      </c>
      <c r="Z203" t="n">
        <v>217</v>
      </c>
      <c r="AA203" t="n">
        <v>240</v>
      </c>
      <c r="AB203" t="n">
        <v>4</v>
      </c>
      <c r="AC203" t="n">
        <v>4</v>
      </c>
      <c r="AD203" t="n">
        <v>14</v>
      </c>
      <c r="AE203" t="n">
        <v>14</v>
      </c>
      <c r="AF203" t="n">
        <v>0</v>
      </c>
      <c r="AG203" t="n">
        <v>0</v>
      </c>
      <c r="AH203" t="n">
        <v>4</v>
      </c>
      <c r="AI203" t="n">
        <v>4</v>
      </c>
      <c r="AJ203" t="n">
        <v>9</v>
      </c>
      <c r="AK203" t="n">
        <v>9</v>
      </c>
      <c r="AL203" t="n">
        <v>3</v>
      </c>
      <c r="AM203" t="n">
        <v>3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HYPERLINK("http://catalog.hathitrust.org/Record/000388470","HathiTrust Record")</f>
        <v/>
      </c>
      <c r="AS203">
        <f>HYPERLINK("https://creighton-primo.hosted.exlibrisgroup.com/primo-explore/search?tab=default_tab&amp;search_scope=EVERYTHING&amp;vid=01CRU&amp;lang=en_US&amp;offset=0&amp;query=any,contains,991002433489702656","Catalog Record")</f>
        <v/>
      </c>
      <c r="AT203">
        <f>HYPERLINK("http://www.worldcat.org/oclc/348018","WorldCat Record")</f>
        <v/>
      </c>
      <c r="AU203" t="inlineStr">
        <is>
          <t>1502311:eng</t>
        </is>
      </c>
      <c r="AV203" t="inlineStr">
        <is>
          <t>348018</t>
        </is>
      </c>
      <c r="AW203" t="inlineStr">
        <is>
          <t>991002433489702656</t>
        </is>
      </c>
      <c r="AX203" t="inlineStr">
        <is>
          <t>991002433489702656</t>
        </is>
      </c>
      <c r="AY203" t="inlineStr">
        <is>
          <t>2271120180002656</t>
        </is>
      </c>
      <c r="AZ203" t="inlineStr">
        <is>
          <t>BOOK</t>
        </is>
      </c>
      <c r="BC203" t="inlineStr">
        <is>
          <t>32285002635299</t>
        </is>
      </c>
      <c r="BD203" t="inlineStr">
        <is>
          <t>893716446</t>
        </is>
      </c>
    </row>
    <row r="204">
      <c r="A204" t="inlineStr">
        <is>
          <t>No</t>
        </is>
      </c>
      <c r="B204" t="inlineStr">
        <is>
          <t>PS2033 .F5</t>
        </is>
      </c>
      <c r="C204" t="inlineStr">
        <is>
          <t>0                      PS 2033000F  5</t>
        </is>
      </c>
      <c r="D204" t="inlineStr">
        <is>
          <t>William Dean Howells; a study, by Oscar W. Firkins.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Firkins, Oscar W., 1864-1932.</t>
        </is>
      </c>
      <c r="L204" t="inlineStr">
        <is>
          <t>Cambridge, Harvard university press, 1924.</t>
        </is>
      </c>
      <c r="M204" t="inlineStr">
        <is>
          <t>1924</t>
        </is>
      </c>
      <c r="O204" t="inlineStr">
        <is>
          <t>eng</t>
        </is>
      </c>
      <c r="P204" t="inlineStr">
        <is>
          <t>mau</t>
        </is>
      </c>
      <c r="R204" t="inlineStr">
        <is>
          <t xml:space="preserve">PS </t>
        </is>
      </c>
      <c r="S204" t="n">
        <v>3</v>
      </c>
      <c r="T204" t="n">
        <v>3</v>
      </c>
      <c r="U204" t="inlineStr">
        <is>
          <t>2002-06-04</t>
        </is>
      </c>
      <c r="V204" t="inlineStr">
        <is>
          <t>2002-06-04</t>
        </is>
      </c>
      <c r="W204" t="inlineStr">
        <is>
          <t>1997-05-15</t>
        </is>
      </c>
      <c r="X204" t="inlineStr">
        <is>
          <t>1997-05-15</t>
        </is>
      </c>
      <c r="Y204" t="n">
        <v>341</v>
      </c>
      <c r="Z204" t="n">
        <v>317</v>
      </c>
      <c r="AA204" t="n">
        <v>773</v>
      </c>
      <c r="AB204" t="n">
        <v>4</v>
      </c>
      <c r="AC204" t="n">
        <v>7</v>
      </c>
      <c r="AD204" t="n">
        <v>14</v>
      </c>
      <c r="AE204" t="n">
        <v>37</v>
      </c>
      <c r="AF204" t="n">
        <v>4</v>
      </c>
      <c r="AG204" t="n">
        <v>12</v>
      </c>
      <c r="AH204" t="n">
        <v>3</v>
      </c>
      <c r="AI204" t="n">
        <v>8</v>
      </c>
      <c r="AJ204" t="n">
        <v>9</v>
      </c>
      <c r="AK204" t="n">
        <v>21</v>
      </c>
      <c r="AL204" t="n">
        <v>3</v>
      </c>
      <c r="AM204" t="n">
        <v>6</v>
      </c>
      <c r="AN204" t="n">
        <v>0</v>
      </c>
      <c r="AO204" t="n">
        <v>0</v>
      </c>
      <c r="AP204" t="inlineStr">
        <is>
          <t>Yes</t>
        </is>
      </c>
      <c r="AQ204" t="inlineStr">
        <is>
          <t>No</t>
        </is>
      </c>
      <c r="AR204">
        <f>HYPERLINK("http://catalog.hathitrust.org/Record/000479101","HathiTrust Record")</f>
        <v/>
      </c>
      <c r="AS204">
        <f>HYPERLINK("https://creighton-primo.hosted.exlibrisgroup.com/primo-explore/search?tab=default_tab&amp;search_scope=EVERYTHING&amp;vid=01CRU&amp;lang=en_US&amp;offset=0&amp;query=any,contains,991004116439702656","Catalog Record")</f>
        <v/>
      </c>
      <c r="AT204">
        <f>HYPERLINK("http://www.worldcat.org/oclc/2414702","WorldCat Record")</f>
        <v/>
      </c>
      <c r="AU204" t="inlineStr">
        <is>
          <t>1408105:eng</t>
        </is>
      </c>
      <c r="AV204" t="inlineStr">
        <is>
          <t>2414702</t>
        </is>
      </c>
      <c r="AW204" t="inlineStr">
        <is>
          <t>991004116439702656</t>
        </is>
      </c>
      <c r="AX204" t="inlineStr">
        <is>
          <t>991004116439702656</t>
        </is>
      </c>
      <c r="AY204" t="inlineStr">
        <is>
          <t>2268137760002656</t>
        </is>
      </c>
      <c r="AZ204" t="inlineStr">
        <is>
          <t>BOOK</t>
        </is>
      </c>
      <c r="BC204" t="inlineStr">
        <is>
          <t>32285002711538</t>
        </is>
      </c>
      <c r="BD204" t="inlineStr">
        <is>
          <t>893706012</t>
        </is>
      </c>
    </row>
    <row r="205">
      <c r="A205" t="inlineStr">
        <is>
          <t>No</t>
        </is>
      </c>
      <c r="B205" t="inlineStr">
        <is>
          <t>PS2033 .K5</t>
        </is>
      </c>
      <c r="C205" t="inlineStr">
        <is>
          <t>0                      PS 2033000K  5</t>
        </is>
      </c>
      <c r="D205" t="inlineStr">
        <is>
          <t>William Dean Howells / by Clara M. Kirk and Rudolf Kirk.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Kirk, Clara Marburg, 1898-1976.</t>
        </is>
      </c>
      <c r="L205" t="inlineStr">
        <is>
          <t>New York : Twayne Publishers, [1962]</t>
        </is>
      </c>
      <c r="M205" t="inlineStr">
        <is>
          <t>1962</t>
        </is>
      </c>
      <c r="O205" t="inlineStr">
        <is>
          <t>eng</t>
        </is>
      </c>
      <c r="P205" t="inlineStr">
        <is>
          <t>nyu</t>
        </is>
      </c>
      <c r="Q205" t="inlineStr">
        <is>
          <t>Twayne's United States authors series, 16</t>
        </is>
      </c>
      <c r="R205" t="inlineStr">
        <is>
          <t xml:space="preserve">PS </t>
        </is>
      </c>
      <c r="S205" t="n">
        <v>2</v>
      </c>
      <c r="T205" t="n">
        <v>2</v>
      </c>
      <c r="U205" t="inlineStr">
        <is>
          <t>2002-07-09</t>
        </is>
      </c>
      <c r="V205" t="inlineStr">
        <is>
          <t>2002-07-09</t>
        </is>
      </c>
      <c r="W205" t="inlineStr">
        <is>
          <t>1993-03-03</t>
        </is>
      </c>
      <c r="X205" t="inlineStr">
        <is>
          <t>1993-03-03</t>
        </is>
      </c>
      <c r="Y205" t="n">
        <v>1399</v>
      </c>
      <c r="Z205" t="n">
        <v>1272</v>
      </c>
      <c r="AA205" t="n">
        <v>1353</v>
      </c>
      <c r="AB205" t="n">
        <v>12</v>
      </c>
      <c r="AC205" t="n">
        <v>14</v>
      </c>
      <c r="AD205" t="n">
        <v>45</v>
      </c>
      <c r="AE205" t="n">
        <v>50</v>
      </c>
      <c r="AF205" t="n">
        <v>19</v>
      </c>
      <c r="AG205" t="n">
        <v>21</v>
      </c>
      <c r="AH205" t="n">
        <v>9</v>
      </c>
      <c r="AI205" t="n">
        <v>9</v>
      </c>
      <c r="AJ205" t="n">
        <v>19</v>
      </c>
      <c r="AK205" t="n">
        <v>21</v>
      </c>
      <c r="AL205" t="n">
        <v>9</v>
      </c>
      <c r="AM205" t="n">
        <v>11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HYPERLINK("http://catalog.hathitrust.org/Record/000479126","HathiTrust Record")</f>
        <v/>
      </c>
      <c r="AS205">
        <f>HYPERLINK("https://creighton-primo.hosted.exlibrisgroup.com/primo-explore/search?tab=default_tab&amp;search_scope=EVERYTHING&amp;vid=01CRU&amp;lang=en_US&amp;offset=0&amp;query=any,contains,991001206579702656","Catalog Record")</f>
        <v/>
      </c>
      <c r="AT205">
        <f>HYPERLINK("http://www.worldcat.org/oclc/192233","WorldCat Record")</f>
        <v/>
      </c>
      <c r="AU205" t="inlineStr">
        <is>
          <t>3768383223:eng</t>
        </is>
      </c>
      <c r="AV205" t="inlineStr">
        <is>
          <t>192233</t>
        </is>
      </c>
      <c r="AW205" t="inlineStr">
        <is>
          <t>991001206579702656</t>
        </is>
      </c>
      <c r="AX205" t="inlineStr">
        <is>
          <t>991001206579702656</t>
        </is>
      </c>
      <c r="AY205" t="inlineStr">
        <is>
          <t>2258578430002656</t>
        </is>
      </c>
      <c r="AZ205" t="inlineStr">
        <is>
          <t>BOOK</t>
        </is>
      </c>
      <c r="BC205" t="inlineStr">
        <is>
          <t>32285001542041</t>
        </is>
      </c>
      <c r="BD205" t="inlineStr">
        <is>
          <t>893327954</t>
        </is>
      </c>
    </row>
    <row r="206">
      <c r="A206" t="inlineStr">
        <is>
          <t>No</t>
        </is>
      </c>
      <c r="B206" t="inlineStr">
        <is>
          <t>PS2033 .W3</t>
        </is>
      </c>
      <c r="C206" t="inlineStr">
        <is>
          <t>0                      PS 2033000W  3</t>
        </is>
      </c>
      <c r="D206" t="inlineStr">
        <is>
          <t>William Dean Howells; the friendly eye [by] Edward Wagenknecht.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Wagenknecht, Edward, 1900-2004.</t>
        </is>
      </c>
      <c r="L206" t="inlineStr">
        <is>
          <t>New York, Oxford University Press, 1969.</t>
        </is>
      </c>
      <c r="M206" t="inlineStr">
        <is>
          <t>1969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PS </t>
        </is>
      </c>
      <c r="S206" t="n">
        <v>1</v>
      </c>
      <c r="T206" t="n">
        <v>1</v>
      </c>
      <c r="U206" t="inlineStr">
        <is>
          <t>2002-09-22</t>
        </is>
      </c>
      <c r="V206" t="inlineStr">
        <is>
          <t>2002-09-22</t>
        </is>
      </c>
      <c r="W206" t="inlineStr">
        <is>
          <t>1997-05-15</t>
        </is>
      </c>
      <c r="X206" t="inlineStr">
        <is>
          <t>1997-05-15</t>
        </is>
      </c>
      <c r="Y206" t="n">
        <v>1158</v>
      </c>
      <c r="Z206" t="n">
        <v>1046</v>
      </c>
      <c r="AA206" t="n">
        <v>1054</v>
      </c>
      <c r="AB206" t="n">
        <v>10</v>
      </c>
      <c r="AC206" t="n">
        <v>10</v>
      </c>
      <c r="AD206" t="n">
        <v>48</v>
      </c>
      <c r="AE206" t="n">
        <v>48</v>
      </c>
      <c r="AF206" t="n">
        <v>19</v>
      </c>
      <c r="AG206" t="n">
        <v>19</v>
      </c>
      <c r="AH206" t="n">
        <v>8</v>
      </c>
      <c r="AI206" t="n">
        <v>8</v>
      </c>
      <c r="AJ206" t="n">
        <v>22</v>
      </c>
      <c r="AK206" t="n">
        <v>22</v>
      </c>
      <c r="AL206" t="n">
        <v>9</v>
      </c>
      <c r="AM206" t="n">
        <v>9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HYPERLINK("http://catalog.hathitrust.org/Record/000479186","HathiTrust Record")</f>
        <v/>
      </c>
      <c r="AS206">
        <f>HYPERLINK("https://creighton-primo.hosted.exlibrisgroup.com/primo-explore/search?tab=default_tab&amp;search_scope=EVERYTHING&amp;vid=01CRU&amp;lang=en_US&amp;offset=0&amp;query=any,contains,991000059959702656","Catalog Record")</f>
        <v/>
      </c>
      <c r="AT206">
        <f>HYPERLINK("http://www.worldcat.org/oclc/24384","WorldCat Record")</f>
        <v/>
      </c>
      <c r="AU206" t="inlineStr">
        <is>
          <t>149379719:eng</t>
        </is>
      </c>
      <c r="AV206" t="inlineStr">
        <is>
          <t>24384</t>
        </is>
      </c>
      <c r="AW206" t="inlineStr">
        <is>
          <t>991000059959702656</t>
        </is>
      </c>
      <c r="AX206" t="inlineStr">
        <is>
          <t>991000059959702656</t>
        </is>
      </c>
      <c r="AY206" t="inlineStr">
        <is>
          <t>2266813290002656</t>
        </is>
      </c>
      <c r="AZ206" t="inlineStr">
        <is>
          <t>BOOK</t>
        </is>
      </c>
      <c r="BC206" t="inlineStr">
        <is>
          <t>32285002711546</t>
        </is>
      </c>
      <c r="BD206" t="inlineStr">
        <is>
          <t>893683125</t>
        </is>
      </c>
    </row>
    <row r="207">
      <c r="A207" t="inlineStr">
        <is>
          <t>No</t>
        </is>
      </c>
      <c r="B207" t="inlineStr">
        <is>
          <t>PS2034 .E2</t>
        </is>
      </c>
      <c r="C207" t="inlineStr">
        <is>
          <t>0                      PS 2034000E  2</t>
        </is>
      </c>
      <c r="D207" t="inlineStr">
        <is>
          <t>Howells : a century of criticism.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Eble, Kenneth E. (Kenneth Eugene) editor.</t>
        </is>
      </c>
      <c r="L207" t="inlineStr">
        <is>
          <t>Dallas : Southern Methodist University Press, [1962]</t>
        </is>
      </c>
      <c r="M207" t="inlineStr">
        <is>
          <t>1962</t>
        </is>
      </c>
      <c r="O207" t="inlineStr">
        <is>
          <t>eng</t>
        </is>
      </c>
      <c r="P207" t="inlineStr">
        <is>
          <t>txu</t>
        </is>
      </c>
      <c r="R207" t="inlineStr">
        <is>
          <t xml:space="preserve">PS </t>
        </is>
      </c>
      <c r="S207" t="n">
        <v>5</v>
      </c>
      <c r="T207" t="n">
        <v>5</v>
      </c>
      <c r="U207" t="inlineStr">
        <is>
          <t>1999-01-18</t>
        </is>
      </c>
      <c r="V207" t="inlineStr">
        <is>
          <t>1999-01-18</t>
        </is>
      </c>
      <c r="W207" t="inlineStr">
        <is>
          <t>1992-10-13</t>
        </is>
      </c>
      <c r="X207" t="inlineStr">
        <is>
          <t>1992-10-13</t>
        </is>
      </c>
      <c r="Y207" t="n">
        <v>983</v>
      </c>
      <c r="Z207" t="n">
        <v>885</v>
      </c>
      <c r="AA207" t="n">
        <v>894</v>
      </c>
      <c r="AB207" t="n">
        <v>10</v>
      </c>
      <c r="AC207" t="n">
        <v>10</v>
      </c>
      <c r="AD207" t="n">
        <v>37</v>
      </c>
      <c r="AE207" t="n">
        <v>38</v>
      </c>
      <c r="AF207" t="n">
        <v>15</v>
      </c>
      <c r="AG207" t="n">
        <v>16</v>
      </c>
      <c r="AH207" t="n">
        <v>5</v>
      </c>
      <c r="AI207" t="n">
        <v>5</v>
      </c>
      <c r="AJ207" t="n">
        <v>17</v>
      </c>
      <c r="AK207" t="n">
        <v>17</v>
      </c>
      <c r="AL207" t="n">
        <v>9</v>
      </c>
      <c r="AM207" t="n">
        <v>9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R207">
        <f>HYPERLINK("http://catalog.hathitrust.org/Record/000479087","HathiTrust Record")</f>
        <v/>
      </c>
      <c r="AS207">
        <f>HYPERLINK("https://creighton-primo.hosted.exlibrisgroup.com/primo-explore/search?tab=default_tab&amp;search_scope=EVERYTHING&amp;vid=01CRU&amp;lang=en_US&amp;offset=0&amp;query=any,contains,991001206889702656","Catalog Record")</f>
        <v/>
      </c>
      <c r="AT207">
        <f>HYPERLINK("http://www.worldcat.org/oclc/192309","WorldCat Record")</f>
        <v/>
      </c>
      <c r="AU207" t="inlineStr">
        <is>
          <t>820252980:eng</t>
        </is>
      </c>
      <c r="AV207" t="inlineStr">
        <is>
          <t>192309</t>
        </is>
      </c>
      <c r="AW207" t="inlineStr">
        <is>
          <t>991001206889702656</t>
        </is>
      </c>
      <c r="AX207" t="inlineStr">
        <is>
          <t>991001206889702656</t>
        </is>
      </c>
      <c r="AY207" t="inlineStr">
        <is>
          <t>2256453110002656</t>
        </is>
      </c>
      <c r="AZ207" t="inlineStr">
        <is>
          <t>BOOK</t>
        </is>
      </c>
      <c r="BC207" t="inlineStr">
        <is>
          <t>32285001346351</t>
        </is>
      </c>
      <c r="BD207" t="inlineStr">
        <is>
          <t>893321734</t>
        </is>
      </c>
    </row>
    <row r="208">
      <c r="A208" t="inlineStr">
        <is>
          <t>No</t>
        </is>
      </c>
      <c r="B208" t="inlineStr">
        <is>
          <t>PS2037.S48 P74 1983</t>
        </is>
      </c>
      <c r="C208" t="inlineStr">
        <is>
          <t>0                      PS 2037000S  48                 P  74          1983</t>
        </is>
      </c>
      <c r="D208" t="inlineStr">
        <is>
          <t>The circle of Eros : sexuality in the work of William Dean Howells / Elizabeth Stevens Prioleau.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Prioleau, Betsy, 1942-</t>
        </is>
      </c>
      <c r="L208" t="inlineStr">
        <is>
          <t>Durham, N.C. : Duke University Press, 1983.</t>
        </is>
      </c>
      <c r="M208" t="inlineStr">
        <is>
          <t>1983</t>
        </is>
      </c>
      <c r="O208" t="inlineStr">
        <is>
          <t>eng</t>
        </is>
      </c>
      <c r="P208" t="inlineStr">
        <is>
          <t>ncu</t>
        </is>
      </c>
      <c r="R208" t="inlineStr">
        <is>
          <t xml:space="preserve">PS </t>
        </is>
      </c>
      <c r="S208" t="n">
        <v>5</v>
      </c>
      <c r="T208" t="n">
        <v>5</v>
      </c>
      <c r="U208" t="inlineStr">
        <is>
          <t>2004-11-29</t>
        </is>
      </c>
      <c r="V208" t="inlineStr">
        <is>
          <t>2004-11-29</t>
        </is>
      </c>
      <c r="W208" t="inlineStr">
        <is>
          <t>1990-06-15</t>
        </is>
      </c>
      <c r="X208" t="inlineStr">
        <is>
          <t>1990-06-15</t>
        </is>
      </c>
      <c r="Y208" t="n">
        <v>421</v>
      </c>
      <c r="Z208" t="n">
        <v>361</v>
      </c>
      <c r="AA208" t="n">
        <v>368</v>
      </c>
      <c r="AB208" t="n">
        <v>3</v>
      </c>
      <c r="AC208" t="n">
        <v>3</v>
      </c>
      <c r="AD208" t="n">
        <v>16</v>
      </c>
      <c r="AE208" t="n">
        <v>16</v>
      </c>
      <c r="AF208" t="n">
        <v>4</v>
      </c>
      <c r="AG208" t="n">
        <v>4</v>
      </c>
      <c r="AH208" t="n">
        <v>7</v>
      </c>
      <c r="AI208" t="n">
        <v>7</v>
      </c>
      <c r="AJ208" t="n">
        <v>8</v>
      </c>
      <c r="AK208" t="n">
        <v>8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HYPERLINK("http://catalog.hathitrust.org/Record/000238402","HathiTrust Record")</f>
        <v/>
      </c>
      <c r="AS208">
        <f>HYPERLINK("https://creighton-primo.hosted.exlibrisgroup.com/primo-explore/search?tab=default_tab&amp;search_scope=EVERYTHING&amp;vid=01CRU&amp;lang=en_US&amp;offset=0&amp;query=any,contains,991000066869702656","Catalog Record")</f>
        <v/>
      </c>
      <c r="AT208">
        <f>HYPERLINK("http://www.worldcat.org/oclc/8764030","WorldCat Record")</f>
        <v/>
      </c>
      <c r="AU208" t="inlineStr">
        <is>
          <t>486269:eng</t>
        </is>
      </c>
      <c r="AV208" t="inlineStr">
        <is>
          <t>8764030</t>
        </is>
      </c>
      <c r="AW208" t="inlineStr">
        <is>
          <t>991000066869702656</t>
        </is>
      </c>
      <c r="AX208" t="inlineStr">
        <is>
          <t>991000066869702656</t>
        </is>
      </c>
      <c r="AY208" t="inlineStr">
        <is>
          <t>2265197440002656</t>
        </is>
      </c>
      <c r="AZ208" t="inlineStr">
        <is>
          <t>BOOK</t>
        </is>
      </c>
      <c r="BB208" t="inlineStr">
        <is>
          <t>9780822304920</t>
        </is>
      </c>
      <c r="BC208" t="inlineStr">
        <is>
          <t>32285000197680</t>
        </is>
      </c>
      <c r="BD208" t="inlineStr">
        <is>
          <t>893865050</t>
        </is>
      </c>
    </row>
    <row r="209">
      <c r="A209" t="inlineStr">
        <is>
          <t>No</t>
        </is>
      </c>
      <c r="B209" t="inlineStr">
        <is>
          <t>PS2068.A37 J4 1969</t>
        </is>
      </c>
      <c r="C209" t="inlineStr">
        <is>
          <t>0                      PS 2068000A  37                 J  4           1969</t>
        </is>
      </c>
      <c r="D209" t="inlineStr">
        <is>
          <t>Rip Van Winkle as played by Joseph Jefferson.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Jefferson, Joseph, 1829-1905.</t>
        </is>
      </c>
      <c r="L209" t="inlineStr">
        <is>
          <t>New York, AMS Press [1969]</t>
        </is>
      </c>
      <c r="M209" t="inlineStr">
        <is>
          <t>1969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PS </t>
        </is>
      </c>
      <c r="S209" t="n">
        <v>3</v>
      </c>
      <c r="T209" t="n">
        <v>3</v>
      </c>
      <c r="U209" t="inlineStr">
        <is>
          <t>1998-12-01</t>
        </is>
      </c>
      <c r="V209" t="inlineStr">
        <is>
          <t>1998-12-01</t>
        </is>
      </c>
      <c r="W209" t="inlineStr">
        <is>
          <t>1997-05-16</t>
        </is>
      </c>
      <c r="X209" t="inlineStr">
        <is>
          <t>1997-05-16</t>
        </is>
      </c>
      <c r="Y209" t="n">
        <v>122</v>
      </c>
      <c r="Z209" t="n">
        <v>114</v>
      </c>
      <c r="AA209" t="n">
        <v>266</v>
      </c>
      <c r="AB209" t="n">
        <v>2</v>
      </c>
      <c r="AC209" t="n">
        <v>3</v>
      </c>
      <c r="AD209" t="n">
        <v>5</v>
      </c>
      <c r="AE209" t="n">
        <v>9</v>
      </c>
      <c r="AF209" t="n">
        <v>2</v>
      </c>
      <c r="AG209" t="n">
        <v>3</v>
      </c>
      <c r="AH209" t="n">
        <v>0</v>
      </c>
      <c r="AI209" t="n">
        <v>2</v>
      </c>
      <c r="AJ209" t="n">
        <v>2</v>
      </c>
      <c r="AK209" t="n">
        <v>2</v>
      </c>
      <c r="AL209" t="n">
        <v>1</v>
      </c>
      <c r="AM209" t="n">
        <v>2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HYPERLINK("http://catalog.hathitrust.org/Record/007592346","HathiTrust Record")</f>
        <v/>
      </c>
      <c r="AS209">
        <f>HYPERLINK("https://creighton-primo.hosted.exlibrisgroup.com/primo-explore/search?tab=default_tab&amp;search_scope=EVERYTHING&amp;vid=01CRU&amp;lang=en_US&amp;offset=0&amp;query=any,contains,991000147239702656","Catalog Record")</f>
        <v/>
      </c>
      <c r="AT209">
        <f>HYPERLINK("http://www.worldcat.org/oclc/59182","WorldCat Record")</f>
        <v/>
      </c>
      <c r="AU209" t="inlineStr">
        <is>
          <t>1862614191:eng</t>
        </is>
      </c>
      <c r="AV209" t="inlineStr">
        <is>
          <t>59182</t>
        </is>
      </c>
      <c r="AW209" t="inlineStr">
        <is>
          <t>991000147239702656</t>
        </is>
      </c>
      <c r="AX209" t="inlineStr">
        <is>
          <t>991000147239702656</t>
        </is>
      </c>
      <c r="AY209" t="inlineStr">
        <is>
          <t>2260544240002656</t>
        </is>
      </c>
      <c r="AZ209" t="inlineStr">
        <is>
          <t>BOOK</t>
        </is>
      </c>
      <c r="BC209" t="inlineStr">
        <is>
          <t>32285002711868</t>
        </is>
      </c>
      <c r="BD209" t="inlineStr">
        <is>
          <t>893243032</t>
        </is>
      </c>
    </row>
    <row r="210">
      <c r="A210" t="inlineStr">
        <is>
          <t>No</t>
        </is>
      </c>
      <c r="B210" t="inlineStr">
        <is>
          <t>PS2081 .A3 1969</t>
        </is>
      </c>
      <c r="C210" t="inlineStr">
        <is>
          <t>0                      PS 2081000A  3           1969</t>
        </is>
      </c>
      <c r="D210" t="inlineStr">
        <is>
          <t>Washington Irving and the House of Murray; Geoffrey Crayon charms the British, 1817-1856. Ben Harris McClary, editor.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Irving, Washington, 1783-1859.</t>
        </is>
      </c>
      <c r="L210" t="inlineStr">
        <is>
          <t>Knoxville, University of Tennessee Press [1969]</t>
        </is>
      </c>
      <c r="M210" t="inlineStr">
        <is>
          <t>1969</t>
        </is>
      </c>
      <c r="N210" t="inlineStr">
        <is>
          <t>[1st ed.]</t>
        </is>
      </c>
      <c r="O210" t="inlineStr">
        <is>
          <t>eng</t>
        </is>
      </c>
      <c r="P210" t="inlineStr">
        <is>
          <t>tnu</t>
        </is>
      </c>
      <c r="R210" t="inlineStr">
        <is>
          <t xml:space="preserve">PS </t>
        </is>
      </c>
      <c r="S210" t="n">
        <v>4</v>
      </c>
      <c r="T210" t="n">
        <v>4</v>
      </c>
      <c r="U210" t="inlineStr">
        <is>
          <t>1999-03-28</t>
        </is>
      </c>
      <c r="V210" t="inlineStr">
        <is>
          <t>1999-03-28</t>
        </is>
      </c>
      <c r="W210" t="inlineStr">
        <is>
          <t>1997-05-16</t>
        </is>
      </c>
      <c r="X210" t="inlineStr">
        <is>
          <t>1997-05-16</t>
        </is>
      </c>
      <c r="Y210" t="n">
        <v>473</v>
      </c>
      <c r="Z210" t="n">
        <v>421</v>
      </c>
      <c r="AA210" t="n">
        <v>429</v>
      </c>
      <c r="AB210" t="n">
        <v>3</v>
      </c>
      <c r="AC210" t="n">
        <v>3</v>
      </c>
      <c r="AD210" t="n">
        <v>23</v>
      </c>
      <c r="AE210" t="n">
        <v>23</v>
      </c>
      <c r="AF210" t="n">
        <v>7</v>
      </c>
      <c r="AG210" t="n">
        <v>7</v>
      </c>
      <c r="AH210" t="n">
        <v>6</v>
      </c>
      <c r="AI210" t="n">
        <v>6</v>
      </c>
      <c r="AJ210" t="n">
        <v>14</v>
      </c>
      <c r="AK210" t="n">
        <v>14</v>
      </c>
      <c r="AL210" t="n">
        <v>2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HYPERLINK("http://catalog.hathitrust.org/Record/000482007","HathiTrust Record")</f>
        <v/>
      </c>
      <c r="AS210">
        <f>HYPERLINK("https://creighton-primo.hosted.exlibrisgroup.com/primo-explore/search?tab=default_tab&amp;search_scope=EVERYTHING&amp;vid=01CRU&amp;lang=en_US&amp;offset=0&amp;query=any,contains,991000107189702656","Catalog Record")</f>
        <v/>
      </c>
      <c r="AT210">
        <f>HYPERLINK("http://www.worldcat.org/oclc/46863","WorldCat Record")</f>
        <v/>
      </c>
      <c r="AU210" t="inlineStr">
        <is>
          <t>1216342:eng</t>
        </is>
      </c>
      <c r="AV210" t="inlineStr">
        <is>
          <t>46863</t>
        </is>
      </c>
      <c r="AW210" t="inlineStr">
        <is>
          <t>991000107189702656</t>
        </is>
      </c>
      <c r="AX210" t="inlineStr">
        <is>
          <t>991000107189702656</t>
        </is>
      </c>
      <c r="AY210" t="inlineStr">
        <is>
          <t>2262018320002656</t>
        </is>
      </c>
      <c r="AZ210" t="inlineStr">
        <is>
          <t>BOOK</t>
        </is>
      </c>
      <c r="BB210" t="inlineStr">
        <is>
          <t>9780870490941</t>
        </is>
      </c>
      <c r="BC210" t="inlineStr">
        <is>
          <t>32285002711918</t>
        </is>
      </c>
      <c r="BD210" t="inlineStr">
        <is>
          <t>893527803</t>
        </is>
      </c>
    </row>
    <row r="211">
      <c r="A211" t="inlineStr">
        <is>
          <t>No</t>
        </is>
      </c>
      <c r="B211" t="inlineStr">
        <is>
          <t>PS211 .P4 1982</t>
        </is>
      </c>
      <c r="C211" t="inlineStr">
        <is>
          <t>0                      PS 0211000P  4           1982</t>
        </is>
      </c>
      <c r="D211" t="inlineStr">
        <is>
          <t>British influence on the birth of American Literature / Linden Peach.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Peach, Linden, 1951-</t>
        </is>
      </c>
      <c r="L211" t="inlineStr">
        <is>
          <t>New York : St. Martin's Press, 1982.</t>
        </is>
      </c>
      <c r="M211" t="inlineStr">
        <is>
          <t>1982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PS </t>
        </is>
      </c>
      <c r="S211" t="n">
        <v>4</v>
      </c>
      <c r="T211" t="n">
        <v>4</v>
      </c>
      <c r="U211" t="inlineStr">
        <is>
          <t>1999-03-30</t>
        </is>
      </c>
      <c r="V211" t="inlineStr">
        <is>
          <t>1999-03-30</t>
        </is>
      </c>
      <c r="W211" t="inlineStr">
        <is>
          <t>1992-08-21</t>
        </is>
      </c>
      <c r="X211" t="inlineStr">
        <is>
          <t>1992-08-21</t>
        </is>
      </c>
      <c r="Y211" t="n">
        <v>444</v>
      </c>
      <c r="Z211" t="n">
        <v>409</v>
      </c>
      <c r="AA211" t="n">
        <v>596</v>
      </c>
      <c r="AB211" t="n">
        <v>6</v>
      </c>
      <c r="AC211" t="n">
        <v>7</v>
      </c>
      <c r="AD211" t="n">
        <v>28</v>
      </c>
      <c r="AE211" t="n">
        <v>34</v>
      </c>
      <c r="AF211" t="n">
        <v>10</v>
      </c>
      <c r="AG211" t="n">
        <v>14</v>
      </c>
      <c r="AH211" t="n">
        <v>7</v>
      </c>
      <c r="AI211" t="n">
        <v>8</v>
      </c>
      <c r="AJ211" t="n">
        <v>12</v>
      </c>
      <c r="AK211" t="n">
        <v>15</v>
      </c>
      <c r="AL211" t="n">
        <v>5</v>
      </c>
      <c r="AM211" t="n">
        <v>6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HYPERLINK("https://creighton-primo.hosted.exlibrisgroup.com/primo-explore/search?tab=default_tab&amp;search_scope=EVERYTHING&amp;vid=01CRU&amp;lang=en_US&amp;offset=0&amp;query=any,contains,991005179749702656","Catalog Record")</f>
        <v/>
      </c>
      <c r="AT211">
        <f>HYPERLINK("http://www.worldcat.org/oclc/7944817","WorldCat Record")</f>
        <v/>
      </c>
      <c r="AU211" t="inlineStr">
        <is>
          <t>441776:eng</t>
        </is>
      </c>
      <c r="AV211" t="inlineStr">
        <is>
          <t>7944817</t>
        </is>
      </c>
      <c r="AW211" t="inlineStr">
        <is>
          <t>991005179749702656</t>
        </is>
      </c>
      <c r="AX211" t="inlineStr">
        <is>
          <t>991005179749702656</t>
        </is>
      </c>
      <c r="AY211" t="inlineStr">
        <is>
          <t>2271738670002656</t>
        </is>
      </c>
      <c r="AZ211" t="inlineStr">
        <is>
          <t>BOOK</t>
        </is>
      </c>
      <c r="BB211" t="inlineStr">
        <is>
          <t>9780312103095</t>
        </is>
      </c>
      <c r="BC211" t="inlineStr">
        <is>
          <t>32285001249696</t>
        </is>
      </c>
      <c r="BD211" t="inlineStr">
        <is>
          <t>893877074</t>
        </is>
      </c>
    </row>
    <row r="212">
      <c r="A212" t="inlineStr">
        <is>
          <t>No</t>
        </is>
      </c>
      <c r="B212" t="inlineStr">
        <is>
          <t>PS214 .K6 1968</t>
        </is>
      </c>
      <c r="C212" t="inlineStr">
        <is>
          <t>0                      PS 0214000K  6           1968</t>
        </is>
      </c>
      <c r="D212" t="inlineStr">
        <is>
          <t>The critical period in American literature, by Grant C. Knight.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Knight, Grant C., 1893-1956.</t>
        </is>
      </c>
      <c r="L212" t="inlineStr">
        <is>
          <t>Cos Cob, Conn., J.E. Edwards, 1968 [c1951]</t>
        </is>
      </c>
      <c r="M212" t="inlineStr">
        <is>
          <t>1968</t>
        </is>
      </c>
      <c r="O212" t="inlineStr">
        <is>
          <t>eng</t>
        </is>
      </c>
      <c r="P212" t="inlineStr">
        <is>
          <t>ctu</t>
        </is>
      </c>
      <c r="R212" t="inlineStr">
        <is>
          <t xml:space="preserve">PS </t>
        </is>
      </c>
      <c r="S212" t="n">
        <v>2</v>
      </c>
      <c r="T212" t="n">
        <v>2</v>
      </c>
      <c r="U212" t="inlineStr">
        <is>
          <t>1998-03-01</t>
        </is>
      </c>
      <c r="V212" t="inlineStr">
        <is>
          <t>1998-03-01</t>
        </is>
      </c>
      <c r="W212" t="inlineStr">
        <is>
          <t>1997-05-02</t>
        </is>
      </c>
      <c r="X212" t="inlineStr">
        <is>
          <t>1997-05-02</t>
        </is>
      </c>
      <c r="Y212" t="n">
        <v>126</v>
      </c>
      <c r="Z212" t="n">
        <v>114</v>
      </c>
      <c r="AA212" t="n">
        <v>574</v>
      </c>
      <c r="AB212" t="n">
        <v>1</v>
      </c>
      <c r="AC212" t="n">
        <v>5</v>
      </c>
      <c r="AD212" t="n">
        <v>5</v>
      </c>
      <c r="AE212" t="n">
        <v>30</v>
      </c>
      <c r="AF212" t="n">
        <v>3</v>
      </c>
      <c r="AG212" t="n">
        <v>13</v>
      </c>
      <c r="AH212" t="n">
        <v>0</v>
      </c>
      <c r="AI212" t="n">
        <v>5</v>
      </c>
      <c r="AJ212" t="n">
        <v>2</v>
      </c>
      <c r="AK212" t="n">
        <v>16</v>
      </c>
      <c r="AL212" t="n">
        <v>0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HYPERLINK("http://catalog.hathitrust.org/Record/007885929","HathiTrust Record")</f>
        <v/>
      </c>
      <c r="AS212">
        <f>HYPERLINK("https://creighton-primo.hosted.exlibrisgroup.com/primo-explore/search?tab=default_tab&amp;search_scope=EVERYTHING&amp;vid=01CRU&amp;lang=en_US&amp;offset=0&amp;query=any,contains,991002765249702656","Catalog Record")</f>
        <v/>
      </c>
      <c r="AT212">
        <f>HYPERLINK("http://www.worldcat.org/oclc/432828","WorldCat Record")</f>
        <v/>
      </c>
      <c r="AU212" t="inlineStr">
        <is>
          <t>1543074:eng</t>
        </is>
      </c>
      <c r="AV212" t="inlineStr">
        <is>
          <t>432828</t>
        </is>
      </c>
      <c r="AW212" t="inlineStr">
        <is>
          <t>991002765249702656</t>
        </is>
      </c>
      <c r="AX212" t="inlineStr">
        <is>
          <t>991002765249702656</t>
        </is>
      </c>
      <c r="AY212" t="inlineStr">
        <is>
          <t>2272598790002656</t>
        </is>
      </c>
      <c r="AZ212" t="inlineStr">
        <is>
          <t>BOOK</t>
        </is>
      </c>
      <c r="BC212" t="inlineStr">
        <is>
          <t>32285002635372</t>
        </is>
      </c>
      <c r="BD212" t="inlineStr">
        <is>
          <t>893245605</t>
        </is>
      </c>
    </row>
    <row r="213">
      <c r="A213" t="inlineStr">
        <is>
          <t>No</t>
        </is>
      </c>
      <c r="B213" t="inlineStr">
        <is>
          <t>PS214 .M35</t>
        </is>
      </c>
      <c r="C213" t="inlineStr">
        <is>
          <t>0                      PS 0214000M  35</t>
        </is>
      </c>
      <c r="D213" t="inlineStr">
        <is>
          <t>Harvests of change : American literature, 1865-1914.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Martin, Jay, 1935-</t>
        </is>
      </c>
      <c r="L213" t="inlineStr">
        <is>
          <t>Englewood Cliffs, N.J. : Prentice-Hall, [1967]</t>
        </is>
      </c>
      <c r="M213" t="inlineStr">
        <is>
          <t>1967</t>
        </is>
      </c>
      <c r="O213" t="inlineStr">
        <is>
          <t>eng</t>
        </is>
      </c>
      <c r="P213" t="inlineStr">
        <is>
          <t>nju</t>
        </is>
      </c>
      <c r="R213" t="inlineStr">
        <is>
          <t xml:space="preserve">PS </t>
        </is>
      </c>
      <c r="S213" t="n">
        <v>4</v>
      </c>
      <c r="T213" t="n">
        <v>4</v>
      </c>
      <c r="U213" t="inlineStr">
        <is>
          <t>2002-04-14</t>
        </is>
      </c>
      <c r="V213" t="inlineStr">
        <is>
          <t>2002-04-14</t>
        </is>
      </c>
      <c r="W213" t="inlineStr">
        <is>
          <t>1994-10-17</t>
        </is>
      </c>
      <c r="X213" t="inlineStr">
        <is>
          <t>1994-10-17</t>
        </is>
      </c>
      <c r="Y213" t="n">
        <v>1334</v>
      </c>
      <c r="Z213" t="n">
        <v>1192</v>
      </c>
      <c r="AA213" t="n">
        <v>1222</v>
      </c>
      <c r="AB213" t="n">
        <v>10</v>
      </c>
      <c r="AC213" t="n">
        <v>10</v>
      </c>
      <c r="AD213" t="n">
        <v>43</v>
      </c>
      <c r="AE213" t="n">
        <v>43</v>
      </c>
      <c r="AF213" t="n">
        <v>18</v>
      </c>
      <c r="AG213" t="n">
        <v>18</v>
      </c>
      <c r="AH213" t="n">
        <v>7</v>
      </c>
      <c r="AI213" t="n">
        <v>7</v>
      </c>
      <c r="AJ213" t="n">
        <v>23</v>
      </c>
      <c r="AK213" t="n">
        <v>23</v>
      </c>
      <c r="AL213" t="n">
        <v>7</v>
      </c>
      <c r="AM213" t="n">
        <v>7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HYPERLINK("http://catalog.hathitrust.org/Record/001112993","HathiTrust Record")</f>
        <v/>
      </c>
      <c r="AS213">
        <f>HYPERLINK("https://creighton-primo.hosted.exlibrisgroup.com/primo-explore/search?tab=default_tab&amp;search_scope=EVERYTHING&amp;vid=01CRU&amp;lang=en_US&amp;offset=0&amp;query=any,contains,991004152579702656","Catalog Record")</f>
        <v/>
      </c>
      <c r="AT213">
        <f>HYPERLINK("http://www.worldcat.org/oclc/2529145","WorldCat Record")</f>
        <v/>
      </c>
      <c r="AU213" t="inlineStr">
        <is>
          <t>433567055:eng</t>
        </is>
      </c>
      <c r="AV213" t="inlineStr">
        <is>
          <t>2529145</t>
        </is>
      </c>
      <c r="AW213" t="inlineStr">
        <is>
          <t>991004152579702656</t>
        </is>
      </c>
      <c r="AX213" t="inlineStr">
        <is>
          <t>991004152579702656</t>
        </is>
      </c>
      <c r="AY213" t="inlineStr">
        <is>
          <t>2256112280002656</t>
        </is>
      </c>
      <c r="AZ213" t="inlineStr">
        <is>
          <t>BOOK</t>
        </is>
      </c>
      <c r="BC213" t="inlineStr">
        <is>
          <t>32285001961985</t>
        </is>
      </c>
      <c r="BD213" t="inlineStr">
        <is>
          <t>893411177</t>
        </is>
      </c>
    </row>
    <row r="214">
      <c r="A214" t="inlineStr">
        <is>
          <t>No</t>
        </is>
      </c>
      <c r="B214" t="inlineStr">
        <is>
          <t>PS217.C57 S56</t>
        </is>
      </c>
      <c r="C214" t="inlineStr">
        <is>
          <t>0                      PS 0217000C  57                 S  56</t>
        </is>
      </c>
      <c r="D214" t="inlineStr">
        <is>
          <t>The image of the American city in popular literature, 1820-1870 / Adrienne Siegel.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Siegel, Adrienne.</t>
        </is>
      </c>
      <c r="L214" t="inlineStr">
        <is>
          <t>Port Washington, NY : Kennikat Press, 1981.</t>
        </is>
      </c>
      <c r="M214" t="inlineStr">
        <is>
          <t>1981</t>
        </is>
      </c>
      <c r="O214" t="inlineStr">
        <is>
          <t>eng</t>
        </is>
      </c>
      <c r="P214" t="inlineStr">
        <is>
          <t>nyu</t>
        </is>
      </c>
      <c r="Q214" t="inlineStr">
        <is>
          <t>Interdisciplinary urban series</t>
        </is>
      </c>
      <c r="R214" t="inlineStr">
        <is>
          <t xml:space="preserve">PS </t>
        </is>
      </c>
      <c r="S214" t="n">
        <v>3</v>
      </c>
      <c r="T214" t="n">
        <v>3</v>
      </c>
      <c r="U214" t="inlineStr">
        <is>
          <t>1998-10-13</t>
        </is>
      </c>
      <c r="V214" t="inlineStr">
        <is>
          <t>1998-10-13</t>
        </is>
      </c>
      <c r="W214" t="inlineStr">
        <is>
          <t>1992-08-21</t>
        </is>
      </c>
      <c r="X214" t="inlineStr">
        <is>
          <t>1992-08-21</t>
        </is>
      </c>
      <c r="Y214" t="n">
        <v>528</v>
      </c>
      <c r="Z214" t="n">
        <v>444</v>
      </c>
      <c r="AA214" t="n">
        <v>464</v>
      </c>
      <c r="AB214" t="n">
        <v>4</v>
      </c>
      <c r="AC214" t="n">
        <v>4</v>
      </c>
      <c r="AD214" t="n">
        <v>25</v>
      </c>
      <c r="AE214" t="n">
        <v>27</v>
      </c>
      <c r="AF214" t="n">
        <v>8</v>
      </c>
      <c r="AG214" t="n">
        <v>10</v>
      </c>
      <c r="AH214" t="n">
        <v>5</v>
      </c>
      <c r="AI214" t="n">
        <v>5</v>
      </c>
      <c r="AJ214" t="n">
        <v>16</v>
      </c>
      <c r="AK214" t="n">
        <v>16</v>
      </c>
      <c r="AL214" t="n">
        <v>3</v>
      </c>
      <c r="AM214" t="n">
        <v>3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HYPERLINK("http://catalog.hathitrust.org/Record/000144068","HathiTrust Record")</f>
        <v/>
      </c>
      <c r="AS214">
        <f>HYPERLINK("https://creighton-primo.hosted.exlibrisgroup.com/primo-explore/search?tab=default_tab&amp;search_scope=EVERYTHING&amp;vid=01CRU&amp;lang=en_US&amp;offset=0&amp;query=any,contains,991005002759702656","Catalog Record")</f>
        <v/>
      </c>
      <c r="AT214">
        <f>HYPERLINK("http://www.worldcat.org/oclc/6554811","WorldCat Record")</f>
        <v/>
      </c>
      <c r="AU214" t="inlineStr">
        <is>
          <t>459157:eng</t>
        </is>
      </c>
      <c r="AV214" t="inlineStr">
        <is>
          <t>6554811</t>
        </is>
      </c>
      <c r="AW214" t="inlineStr">
        <is>
          <t>991005002759702656</t>
        </is>
      </c>
      <c r="AX214" t="inlineStr">
        <is>
          <t>991005002759702656</t>
        </is>
      </c>
      <c r="AY214" t="inlineStr">
        <is>
          <t>2255433830002656</t>
        </is>
      </c>
      <c r="AZ214" t="inlineStr">
        <is>
          <t>BOOK</t>
        </is>
      </c>
      <c r="BB214" t="inlineStr">
        <is>
          <t>9780804692717</t>
        </is>
      </c>
      <c r="BC214" t="inlineStr">
        <is>
          <t>32285001249712</t>
        </is>
      </c>
      <c r="BD214" t="inlineStr">
        <is>
          <t>893260420</t>
        </is>
      </c>
    </row>
    <row r="215">
      <c r="A215" t="inlineStr">
        <is>
          <t>No</t>
        </is>
      </c>
      <c r="B215" t="inlineStr">
        <is>
          <t>PS217.M93 R5</t>
        </is>
      </c>
      <c r="C215" t="inlineStr">
        <is>
          <t>0                      PS 0217000M  93                 R  5</t>
        </is>
      </c>
      <c r="D215" t="inlineStr">
        <is>
          <t>Myth and literature in the American renaissance / Robert D. Richardson, Jr.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Richardson, Robert D., 1934-</t>
        </is>
      </c>
      <c r="L215" t="inlineStr">
        <is>
          <t>Bloomington : Indiana University Press, c1978.</t>
        </is>
      </c>
      <c r="M215" t="inlineStr">
        <is>
          <t>1978</t>
        </is>
      </c>
      <c r="O215" t="inlineStr">
        <is>
          <t>eng</t>
        </is>
      </c>
      <c r="P215" t="inlineStr">
        <is>
          <t>inu</t>
        </is>
      </c>
      <c r="R215" t="inlineStr">
        <is>
          <t xml:space="preserve">PS </t>
        </is>
      </c>
      <c r="S215" t="n">
        <v>1</v>
      </c>
      <c r="T215" t="n">
        <v>1</v>
      </c>
      <c r="U215" t="inlineStr">
        <is>
          <t>2004-10-15</t>
        </is>
      </c>
      <c r="V215" t="inlineStr">
        <is>
          <t>2004-10-15</t>
        </is>
      </c>
      <c r="W215" t="inlineStr">
        <is>
          <t>1992-08-21</t>
        </is>
      </c>
      <c r="X215" t="inlineStr">
        <is>
          <t>1992-08-21</t>
        </is>
      </c>
      <c r="Y215" t="n">
        <v>859</v>
      </c>
      <c r="Z215" t="n">
        <v>755</v>
      </c>
      <c r="AA215" t="n">
        <v>786</v>
      </c>
      <c r="AB215" t="n">
        <v>6</v>
      </c>
      <c r="AC215" t="n">
        <v>6</v>
      </c>
      <c r="AD215" t="n">
        <v>33</v>
      </c>
      <c r="AE215" t="n">
        <v>34</v>
      </c>
      <c r="AF215" t="n">
        <v>11</v>
      </c>
      <c r="AG215" t="n">
        <v>12</v>
      </c>
      <c r="AH215" t="n">
        <v>8</v>
      </c>
      <c r="AI215" t="n">
        <v>8</v>
      </c>
      <c r="AJ215" t="n">
        <v>15</v>
      </c>
      <c r="AK215" t="n">
        <v>16</v>
      </c>
      <c r="AL215" t="n">
        <v>5</v>
      </c>
      <c r="AM215" t="n">
        <v>5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HYPERLINK("http://catalog.hathitrust.org/Record/000089679","HathiTrust Record")</f>
        <v/>
      </c>
      <c r="AS215">
        <f>HYPERLINK("https://creighton-primo.hosted.exlibrisgroup.com/primo-explore/search?tab=default_tab&amp;search_scope=EVERYTHING&amp;vid=01CRU&amp;lang=en_US&amp;offset=0&amp;query=any,contains,991004460659702656","Catalog Record")</f>
        <v/>
      </c>
      <c r="AT215">
        <f>HYPERLINK("http://www.worldcat.org/oclc/3543144","WorldCat Record")</f>
        <v/>
      </c>
      <c r="AU215" t="inlineStr">
        <is>
          <t>421718:eng</t>
        </is>
      </c>
      <c r="AV215" t="inlineStr">
        <is>
          <t>3543144</t>
        </is>
      </c>
      <c r="AW215" t="inlineStr">
        <is>
          <t>991004460659702656</t>
        </is>
      </c>
      <c r="AX215" t="inlineStr">
        <is>
          <t>991004460659702656</t>
        </is>
      </c>
      <c r="AY215" t="inlineStr">
        <is>
          <t>2264965690002656</t>
        </is>
      </c>
      <c r="AZ215" t="inlineStr">
        <is>
          <t>BOOK</t>
        </is>
      </c>
      <c r="BB215" t="inlineStr">
        <is>
          <t>9780253339652</t>
        </is>
      </c>
      <c r="BC215" t="inlineStr">
        <is>
          <t>32285001249738</t>
        </is>
      </c>
      <c r="BD215" t="inlineStr">
        <is>
          <t>893628173</t>
        </is>
      </c>
    </row>
    <row r="216">
      <c r="A216" t="inlineStr">
        <is>
          <t>No</t>
        </is>
      </c>
      <c r="B216" t="inlineStr">
        <is>
          <t>PS217.P64 G8 1992</t>
        </is>
      </c>
      <c r="C216" t="inlineStr">
        <is>
          <t>0                      PS 0217000P  64                 G  8           1992</t>
        </is>
      </c>
      <c r="D216" t="inlineStr">
        <is>
          <t>Representative words : politics, literature, and the American language, 1776-1865 / Thomas Gustafson.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Gustafson, Thomas, 1953-</t>
        </is>
      </c>
      <c r="L216" t="inlineStr">
        <is>
          <t>Cambridge [England] ; New York, NY, USA : Cambridge University Press, 1992.</t>
        </is>
      </c>
      <c r="M216" t="inlineStr">
        <is>
          <t>1992</t>
        </is>
      </c>
      <c r="O216" t="inlineStr">
        <is>
          <t>eng</t>
        </is>
      </c>
      <c r="P216" t="inlineStr">
        <is>
          <t>enk</t>
        </is>
      </c>
      <c r="Q216" t="inlineStr">
        <is>
          <t>Cambridge studies in American literature and culture</t>
        </is>
      </c>
      <c r="R216" t="inlineStr">
        <is>
          <t xml:space="preserve">PS </t>
        </is>
      </c>
      <c r="S216" t="n">
        <v>3</v>
      </c>
      <c r="T216" t="n">
        <v>3</v>
      </c>
      <c r="U216" t="inlineStr">
        <is>
          <t>1996-08-27</t>
        </is>
      </c>
      <c r="V216" t="inlineStr">
        <is>
          <t>1996-08-27</t>
        </is>
      </c>
      <c r="W216" t="inlineStr">
        <is>
          <t>1994-04-05</t>
        </is>
      </c>
      <c r="X216" t="inlineStr">
        <is>
          <t>1994-04-05</t>
        </is>
      </c>
      <c r="Y216" t="n">
        <v>497</v>
      </c>
      <c r="Z216" t="n">
        <v>402</v>
      </c>
      <c r="AA216" t="n">
        <v>416</v>
      </c>
      <c r="AB216" t="n">
        <v>5</v>
      </c>
      <c r="AC216" t="n">
        <v>5</v>
      </c>
      <c r="AD216" t="n">
        <v>25</v>
      </c>
      <c r="AE216" t="n">
        <v>25</v>
      </c>
      <c r="AF216" t="n">
        <v>7</v>
      </c>
      <c r="AG216" t="n">
        <v>7</v>
      </c>
      <c r="AH216" t="n">
        <v>7</v>
      </c>
      <c r="AI216" t="n">
        <v>7</v>
      </c>
      <c r="AJ216" t="n">
        <v>9</v>
      </c>
      <c r="AK216" t="n">
        <v>9</v>
      </c>
      <c r="AL216" t="n">
        <v>4</v>
      </c>
      <c r="AM216" t="n">
        <v>4</v>
      </c>
      <c r="AN216" t="n">
        <v>2</v>
      </c>
      <c r="AO216" t="n">
        <v>2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HYPERLINK("https://creighton-primo.hosted.exlibrisgroup.com/primo-explore/search?tab=default_tab&amp;search_scope=EVERYTHING&amp;vid=01CRU&amp;lang=en_US&amp;offset=0&amp;query=any,contains,991001954329702656","Catalog Record")</f>
        <v/>
      </c>
      <c r="AT216">
        <f>HYPERLINK("http://www.worldcat.org/oclc/24700626","WorldCat Record")</f>
        <v/>
      </c>
      <c r="AU216" t="inlineStr">
        <is>
          <t>836722873:eng</t>
        </is>
      </c>
      <c r="AV216" t="inlineStr">
        <is>
          <t>24700626</t>
        </is>
      </c>
      <c r="AW216" t="inlineStr">
        <is>
          <t>991001954329702656</t>
        </is>
      </c>
      <c r="AX216" t="inlineStr">
        <is>
          <t>991001954329702656</t>
        </is>
      </c>
      <c r="AY216" t="inlineStr">
        <is>
          <t>2270627590002656</t>
        </is>
      </c>
      <c r="AZ216" t="inlineStr">
        <is>
          <t>BOOK</t>
        </is>
      </c>
      <c r="BB216" t="inlineStr">
        <is>
          <t>9780521395120</t>
        </is>
      </c>
      <c r="BC216" t="inlineStr">
        <is>
          <t>32285001858819</t>
        </is>
      </c>
      <c r="BD216" t="inlineStr">
        <is>
          <t>893510108</t>
        </is>
      </c>
    </row>
    <row r="217">
      <c r="A217" t="inlineStr">
        <is>
          <t>No</t>
        </is>
      </c>
      <c r="B217" t="inlineStr">
        <is>
          <t>PS2178 .K57</t>
        </is>
      </c>
      <c r="C217" t="inlineStr">
        <is>
          <t>0                      PS 2178000K  57</t>
        </is>
      </c>
      <c r="D217" t="inlineStr">
        <is>
          <t>Grace King / David Kirby.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Kirby, David, 1944-</t>
        </is>
      </c>
      <c r="L217" t="inlineStr">
        <is>
          <t>Boston : Twayne, 1980.</t>
        </is>
      </c>
      <c r="M217" t="inlineStr">
        <is>
          <t>1980</t>
        </is>
      </c>
      <c r="O217" t="inlineStr">
        <is>
          <t>eng</t>
        </is>
      </c>
      <c r="P217" t="inlineStr">
        <is>
          <t>mau</t>
        </is>
      </c>
      <c r="Q217" t="inlineStr">
        <is>
          <t>Twayne's United States authors series ; TUSAS 357</t>
        </is>
      </c>
      <c r="R217" t="inlineStr">
        <is>
          <t xml:space="preserve">PS </t>
        </is>
      </c>
      <c r="S217" t="n">
        <v>3</v>
      </c>
      <c r="T217" t="n">
        <v>3</v>
      </c>
      <c r="U217" t="inlineStr">
        <is>
          <t>2000-04-12</t>
        </is>
      </c>
      <c r="V217" t="inlineStr">
        <is>
          <t>2000-04-12</t>
        </is>
      </c>
      <c r="W217" t="inlineStr">
        <is>
          <t>1990-10-30</t>
        </is>
      </c>
      <c r="X217" t="inlineStr">
        <is>
          <t>1990-10-30</t>
        </is>
      </c>
      <c r="Y217" t="n">
        <v>566</v>
      </c>
      <c r="Z217" t="n">
        <v>506</v>
      </c>
      <c r="AA217" t="n">
        <v>513</v>
      </c>
      <c r="AB217" t="n">
        <v>5</v>
      </c>
      <c r="AC217" t="n">
        <v>5</v>
      </c>
      <c r="AD217" t="n">
        <v>25</v>
      </c>
      <c r="AE217" t="n">
        <v>25</v>
      </c>
      <c r="AF217" t="n">
        <v>8</v>
      </c>
      <c r="AG217" t="n">
        <v>8</v>
      </c>
      <c r="AH217" t="n">
        <v>4</v>
      </c>
      <c r="AI217" t="n">
        <v>4</v>
      </c>
      <c r="AJ217" t="n">
        <v>15</v>
      </c>
      <c r="AK217" t="n">
        <v>15</v>
      </c>
      <c r="AL217" t="n">
        <v>4</v>
      </c>
      <c r="AM217" t="n">
        <v>4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HYPERLINK("http://catalog.hathitrust.org/Record/000020194","HathiTrust Record")</f>
        <v/>
      </c>
      <c r="AS217">
        <f>HYPERLINK("https://creighton-primo.hosted.exlibrisgroup.com/primo-explore/search?tab=default_tab&amp;search_scope=EVERYTHING&amp;vid=01CRU&amp;lang=en_US&amp;offset=0&amp;query=any,contains,991004801309702656","Catalog Record")</f>
        <v/>
      </c>
      <c r="AT217">
        <f>HYPERLINK("http://www.worldcat.org/oclc/5219165","WorldCat Record")</f>
        <v/>
      </c>
      <c r="AU217" t="inlineStr">
        <is>
          <t>16405987:eng</t>
        </is>
      </c>
      <c r="AV217" t="inlineStr">
        <is>
          <t>5219165</t>
        </is>
      </c>
      <c r="AW217" t="inlineStr">
        <is>
          <t>991004801309702656</t>
        </is>
      </c>
      <c r="AX217" t="inlineStr">
        <is>
          <t>991004801309702656</t>
        </is>
      </c>
      <c r="AY217" t="inlineStr">
        <is>
          <t>2268344100002656</t>
        </is>
      </c>
      <c r="AZ217" t="inlineStr">
        <is>
          <t>BOOK</t>
        </is>
      </c>
      <c r="BB217" t="inlineStr">
        <is>
          <t>9780805772142</t>
        </is>
      </c>
      <c r="BC217" t="inlineStr">
        <is>
          <t>32285000364447</t>
        </is>
      </c>
      <c r="BD217" t="inlineStr">
        <is>
          <t>893418037</t>
        </is>
      </c>
    </row>
    <row r="218">
      <c r="A218" t="inlineStr">
        <is>
          <t>No</t>
        </is>
      </c>
      <c r="B218" t="inlineStr">
        <is>
          <t>PS221 .B6</t>
        </is>
      </c>
      <c r="C218" t="inlineStr">
        <is>
          <t>0                      PS 0221000B  6</t>
        </is>
      </c>
      <c r="D218" t="inlineStr">
        <is>
          <t>Some contemporary Americans : the personal equation in literature / by Percy H. Boynton.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Boynton, Percy Holmes, 1875-1946.</t>
        </is>
      </c>
      <c r="L218" t="inlineStr">
        <is>
          <t>Chicago : University of Chicago Press, [c1924]</t>
        </is>
      </c>
      <c r="M218" t="inlineStr">
        <is>
          <t>1924</t>
        </is>
      </c>
      <c r="O218" t="inlineStr">
        <is>
          <t>eng</t>
        </is>
      </c>
      <c r="P218" t="inlineStr">
        <is>
          <t xml:space="preserve">xx </t>
        </is>
      </c>
      <c r="R218" t="inlineStr">
        <is>
          <t xml:space="preserve">PS </t>
        </is>
      </c>
      <c r="S218" t="n">
        <v>5</v>
      </c>
      <c r="T218" t="n">
        <v>5</v>
      </c>
      <c r="U218" t="inlineStr">
        <is>
          <t>1994-09-11</t>
        </is>
      </c>
      <c r="V218" t="inlineStr">
        <is>
          <t>1994-09-11</t>
        </is>
      </c>
      <c r="W218" t="inlineStr">
        <is>
          <t>1991-12-11</t>
        </is>
      </c>
      <c r="X218" t="inlineStr">
        <is>
          <t>1991-12-11</t>
        </is>
      </c>
      <c r="Y218" t="n">
        <v>235</v>
      </c>
      <c r="Z218" t="n">
        <v>232</v>
      </c>
      <c r="AA218" t="n">
        <v>733</v>
      </c>
      <c r="AB218" t="n">
        <v>2</v>
      </c>
      <c r="AC218" t="n">
        <v>6</v>
      </c>
      <c r="AD218" t="n">
        <v>16</v>
      </c>
      <c r="AE218" t="n">
        <v>34</v>
      </c>
      <c r="AF218" t="n">
        <v>7</v>
      </c>
      <c r="AG218" t="n">
        <v>13</v>
      </c>
      <c r="AH218" t="n">
        <v>3</v>
      </c>
      <c r="AI218" t="n">
        <v>8</v>
      </c>
      <c r="AJ218" t="n">
        <v>8</v>
      </c>
      <c r="AK218" t="n">
        <v>17</v>
      </c>
      <c r="AL218" t="n">
        <v>1</v>
      </c>
      <c r="AM218" t="n">
        <v>5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HYPERLINK("https://creighton-primo.hosted.exlibrisgroup.com/primo-explore/search?tab=default_tab&amp;search_scope=EVERYTHING&amp;vid=01CRU&amp;lang=en_US&amp;offset=0&amp;query=any,contains,991003494679702656","Catalog Record")</f>
        <v/>
      </c>
      <c r="AT218">
        <f>HYPERLINK("http://www.worldcat.org/oclc/1045648","WorldCat Record")</f>
        <v/>
      </c>
      <c r="AU218" t="inlineStr">
        <is>
          <t>1323644:eng</t>
        </is>
      </c>
      <c r="AV218" t="inlineStr">
        <is>
          <t>1045648</t>
        </is>
      </c>
      <c r="AW218" t="inlineStr">
        <is>
          <t>991003494679702656</t>
        </is>
      </c>
      <c r="AX218" t="inlineStr">
        <is>
          <t>991003494679702656</t>
        </is>
      </c>
      <c r="AY218" t="inlineStr">
        <is>
          <t>2266448610002656</t>
        </is>
      </c>
      <c r="AZ218" t="inlineStr">
        <is>
          <t>BOOK</t>
        </is>
      </c>
      <c r="BC218" t="inlineStr">
        <is>
          <t>32285000875046</t>
        </is>
      </c>
      <c r="BD218" t="inlineStr">
        <is>
          <t>893342612</t>
        </is>
      </c>
    </row>
    <row r="219">
      <c r="A219" t="inlineStr">
        <is>
          <t>No</t>
        </is>
      </c>
      <c r="B219" t="inlineStr">
        <is>
          <t>PS221 .F66</t>
        </is>
      </c>
      <c r="C219" t="inlineStr">
        <is>
          <t>0                      PS 0221000F  66</t>
        </is>
      </c>
      <c r="D219" t="inlineStr">
        <is>
          <t>The fifties : fiction, poetry, drama / edited by Warren French.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French, Warren G., 1922-2009, compiler.</t>
        </is>
      </c>
      <c r="L219" t="inlineStr">
        <is>
          <t>Deland, Fla. : Everett/Edwards, [c1970]</t>
        </is>
      </c>
      <c r="M219" t="inlineStr">
        <is>
          <t>1970</t>
        </is>
      </c>
      <c r="O219" t="inlineStr">
        <is>
          <t>eng</t>
        </is>
      </c>
      <c r="P219" t="inlineStr">
        <is>
          <t>flu</t>
        </is>
      </c>
      <c r="R219" t="inlineStr">
        <is>
          <t xml:space="preserve">PS </t>
        </is>
      </c>
      <c r="S219" t="n">
        <v>1</v>
      </c>
      <c r="T219" t="n">
        <v>1</v>
      </c>
      <c r="U219" t="inlineStr">
        <is>
          <t>1995-02-22</t>
        </is>
      </c>
      <c r="V219" t="inlineStr">
        <is>
          <t>1995-02-22</t>
        </is>
      </c>
      <c r="W219" t="inlineStr">
        <is>
          <t>1992-03-31</t>
        </is>
      </c>
      <c r="X219" t="inlineStr">
        <is>
          <t>1992-03-31</t>
        </is>
      </c>
      <c r="Y219" t="n">
        <v>1004</v>
      </c>
      <c r="Z219" t="n">
        <v>932</v>
      </c>
      <c r="AA219" t="n">
        <v>943</v>
      </c>
      <c r="AB219" t="n">
        <v>9</v>
      </c>
      <c r="AC219" t="n">
        <v>9</v>
      </c>
      <c r="AD219" t="n">
        <v>35</v>
      </c>
      <c r="AE219" t="n">
        <v>35</v>
      </c>
      <c r="AF219" t="n">
        <v>14</v>
      </c>
      <c r="AG219" t="n">
        <v>14</v>
      </c>
      <c r="AH219" t="n">
        <v>5</v>
      </c>
      <c r="AI219" t="n">
        <v>5</v>
      </c>
      <c r="AJ219" t="n">
        <v>16</v>
      </c>
      <c r="AK219" t="n">
        <v>16</v>
      </c>
      <c r="AL219" t="n">
        <v>7</v>
      </c>
      <c r="AM219" t="n">
        <v>7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HYPERLINK("http://catalog.hathitrust.org/Record/001420753","HathiTrust Record")</f>
        <v/>
      </c>
      <c r="AS219">
        <f>HYPERLINK("https://creighton-primo.hosted.exlibrisgroup.com/primo-explore/search?tab=default_tab&amp;search_scope=EVERYTHING&amp;vid=01CRU&amp;lang=en_US&amp;offset=0&amp;query=any,contains,991000799029702656","Catalog Record")</f>
        <v/>
      </c>
      <c r="AT219">
        <f>HYPERLINK("http://www.worldcat.org/oclc/138219","WorldCat Record")</f>
        <v/>
      </c>
      <c r="AU219" t="inlineStr">
        <is>
          <t>3855462832:eng</t>
        </is>
      </c>
      <c r="AV219" t="inlineStr">
        <is>
          <t>138219</t>
        </is>
      </c>
      <c r="AW219" t="inlineStr">
        <is>
          <t>991000799029702656</t>
        </is>
      </c>
      <c r="AX219" t="inlineStr">
        <is>
          <t>991000799029702656</t>
        </is>
      </c>
      <c r="AY219" t="inlineStr">
        <is>
          <t>2258290960002656</t>
        </is>
      </c>
      <c r="AZ219" t="inlineStr">
        <is>
          <t>BOOK</t>
        </is>
      </c>
      <c r="BC219" t="inlineStr">
        <is>
          <t>32285001030179</t>
        </is>
      </c>
      <c r="BD219" t="inlineStr">
        <is>
          <t>893589747</t>
        </is>
      </c>
    </row>
    <row r="220">
      <c r="A220" t="inlineStr">
        <is>
          <t>No</t>
        </is>
      </c>
      <c r="B220" t="inlineStr">
        <is>
          <t>PS221 .H357</t>
        </is>
      </c>
      <c r="C220" t="inlineStr">
        <is>
          <t>0                      PS 0221000H  357</t>
        </is>
      </c>
      <c r="D220" t="inlineStr">
        <is>
          <t>Harvard guide to contemporary American writing / edited by Daniel Hoffman.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L220" t="inlineStr">
        <is>
          <t>Cambridge, Mass. : Belknap Press of Harvard University Press, 1979.</t>
        </is>
      </c>
      <c r="M220" t="inlineStr">
        <is>
          <t>1979</t>
        </is>
      </c>
      <c r="O220" t="inlineStr">
        <is>
          <t>eng</t>
        </is>
      </c>
      <c r="P220" t="inlineStr">
        <is>
          <t>mau</t>
        </is>
      </c>
      <c r="R220" t="inlineStr">
        <is>
          <t xml:space="preserve">PS </t>
        </is>
      </c>
      <c r="S220" t="n">
        <v>3</v>
      </c>
      <c r="T220" t="n">
        <v>3</v>
      </c>
      <c r="U220" t="inlineStr">
        <is>
          <t>1997-04-17</t>
        </is>
      </c>
      <c r="V220" t="inlineStr">
        <is>
          <t>1997-04-17</t>
        </is>
      </c>
      <c r="W220" t="inlineStr">
        <is>
          <t>1992-08-21</t>
        </is>
      </c>
      <c r="X220" t="inlineStr">
        <is>
          <t>1992-08-21</t>
        </is>
      </c>
      <c r="Y220" t="n">
        <v>1957</v>
      </c>
      <c r="Z220" t="n">
        <v>1675</v>
      </c>
      <c r="AA220" t="n">
        <v>1684</v>
      </c>
      <c r="AB220" t="n">
        <v>13</v>
      </c>
      <c r="AC220" t="n">
        <v>13</v>
      </c>
      <c r="AD220" t="n">
        <v>51</v>
      </c>
      <c r="AE220" t="n">
        <v>51</v>
      </c>
      <c r="AF220" t="n">
        <v>21</v>
      </c>
      <c r="AG220" t="n">
        <v>21</v>
      </c>
      <c r="AH220" t="n">
        <v>8</v>
      </c>
      <c r="AI220" t="n">
        <v>8</v>
      </c>
      <c r="AJ220" t="n">
        <v>24</v>
      </c>
      <c r="AK220" t="n">
        <v>24</v>
      </c>
      <c r="AL220" t="n">
        <v>10</v>
      </c>
      <c r="AM220" t="n">
        <v>10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HYPERLINK("https://creighton-primo.hosted.exlibrisgroup.com/primo-explore/search?tab=default_tab&amp;search_scope=EVERYTHING&amp;vid=01CRU&amp;lang=en_US&amp;offset=0&amp;query=any,contains,991004712699702656","Catalog Record")</f>
        <v/>
      </c>
      <c r="AT220">
        <f>HYPERLINK("http://www.worldcat.org/oclc/4774781","WorldCat Record")</f>
        <v/>
      </c>
      <c r="AU220" t="inlineStr">
        <is>
          <t>54279856:eng</t>
        </is>
      </c>
      <c r="AV220" t="inlineStr">
        <is>
          <t>4774781</t>
        </is>
      </c>
      <c r="AW220" t="inlineStr">
        <is>
          <t>991004712699702656</t>
        </is>
      </c>
      <c r="AX220" t="inlineStr">
        <is>
          <t>991004712699702656</t>
        </is>
      </c>
      <c r="AY220" t="inlineStr">
        <is>
          <t>2256705490002656</t>
        </is>
      </c>
      <c r="AZ220" t="inlineStr">
        <is>
          <t>BOOK</t>
        </is>
      </c>
      <c r="BB220" t="inlineStr">
        <is>
          <t>9780674375352</t>
        </is>
      </c>
      <c r="BC220" t="inlineStr">
        <is>
          <t>32285001249845</t>
        </is>
      </c>
      <c r="BD220" t="inlineStr">
        <is>
          <t>893628329</t>
        </is>
      </c>
    </row>
    <row r="221">
      <c r="A221" t="inlineStr">
        <is>
          <t>No</t>
        </is>
      </c>
      <c r="B221" t="inlineStr">
        <is>
          <t>PS221 .M56</t>
        </is>
      </c>
      <c r="C221" t="inlineStr">
        <is>
          <t>0                      PS 0221000M  56</t>
        </is>
      </c>
      <c r="D221" t="inlineStr">
        <is>
          <t>American writers in rebellion, from Mark Twain to Dreiser, by H. Wayne Morgan.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Morgan, H. Wayne (Howard Wayne)</t>
        </is>
      </c>
      <c r="L221" t="inlineStr">
        <is>
          <t>New York, Hill and Wang [1965]</t>
        </is>
      </c>
      <c r="M221" t="inlineStr">
        <is>
          <t>1965</t>
        </is>
      </c>
      <c r="N221" t="inlineStr">
        <is>
          <t>[1st ed.]</t>
        </is>
      </c>
      <c r="O221" t="inlineStr">
        <is>
          <t>eng</t>
        </is>
      </c>
      <c r="P221" t="inlineStr">
        <is>
          <t>nyu</t>
        </is>
      </c>
      <c r="Q221" t="inlineStr">
        <is>
          <t>American century series ; AC77</t>
        </is>
      </c>
      <c r="R221" t="inlineStr">
        <is>
          <t xml:space="preserve">PS </t>
        </is>
      </c>
      <c r="S221" t="n">
        <v>7</v>
      </c>
      <c r="T221" t="n">
        <v>7</v>
      </c>
      <c r="U221" t="inlineStr">
        <is>
          <t>2004-11-29</t>
        </is>
      </c>
      <c r="V221" t="inlineStr">
        <is>
          <t>2004-11-29</t>
        </is>
      </c>
      <c r="W221" t="inlineStr">
        <is>
          <t>1997-05-02</t>
        </is>
      </c>
      <c r="X221" t="inlineStr">
        <is>
          <t>1997-05-02</t>
        </is>
      </c>
      <c r="Y221" t="n">
        <v>1085</v>
      </c>
      <c r="Z221" t="n">
        <v>1012</v>
      </c>
      <c r="AA221" t="n">
        <v>1018</v>
      </c>
      <c r="AB221" t="n">
        <v>7</v>
      </c>
      <c r="AC221" t="n">
        <v>7</v>
      </c>
      <c r="AD221" t="n">
        <v>33</v>
      </c>
      <c r="AE221" t="n">
        <v>33</v>
      </c>
      <c r="AF221" t="n">
        <v>12</v>
      </c>
      <c r="AG221" t="n">
        <v>12</v>
      </c>
      <c r="AH221" t="n">
        <v>6</v>
      </c>
      <c r="AI221" t="n">
        <v>6</v>
      </c>
      <c r="AJ221" t="n">
        <v>15</v>
      </c>
      <c r="AK221" t="n">
        <v>15</v>
      </c>
      <c r="AL221" t="n">
        <v>6</v>
      </c>
      <c r="AM221" t="n">
        <v>6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HYPERLINK("http://catalog.hathitrust.org/Record/001112994","HathiTrust Record")</f>
        <v/>
      </c>
      <c r="AS221">
        <f>HYPERLINK("https://creighton-primo.hosted.exlibrisgroup.com/primo-explore/search?tab=default_tab&amp;search_scope=EVERYTHING&amp;vid=01CRU&amp;lang=en_US&amp;offset=0&amp;query=any,contains,991001207109702656","Catalog Record")</f>
        <v/>
      </c>
      <c r="AT221">
        <f>HYPERLINK("http://www.worldcat.org/oclc/192359","WorldCat Record")</f>
        <v/>
      </c>
      <c r="AU221" t="inlineStr">
        <is>
          <t>1353891:eng</t>
        </is>
      </c>
      <c r="AV221" t="inlineStr">
        <is>
          <t>192359</t>
        </is>
      </c>
      <c r="AW221" t="inlineStr">
        <is>
          <t>991001207109702656</t>
        </is>
      </c>
      <c r="AX221" t="inlineStr">
        <is>
          <t>991001207109702656</t>
        </is>
      </c>
      <c r="AY221" t="inlineStr">
        <is>
          <t>2256491350002656</t>
        </is>
      </c>
      <c r="AZ221" t="inlineStr">
        <is>
          <t>BOOK</t>
        </is>
      </c>
      <c r="BC221" t="inlineStr">
        <is>
          <t>32285002635687</t>
        </is>
      </c>
      <c r="BD221" t="inlineStr">
        <is>
          <t>893334154</t>
        </is>
      </c>
    </row>
    <row r="222">
      <c r="A222" t="inlineStr">
        <is>
          <t>No</t>
        </is>
      </c>
      <c r="B222" t="inlineStr">
        <is>
          <t>PS221 .S33</t>
        </is>
      </c>
      <c r="C222" t="inlineStr">
        <is>
          <t>0                      PS 0221000S  33</t>
        </is>
      </c>
      <c r="D222" t="inlineStr">
        <is>
          <t>Three American moralists: Mailer, Bellow, Trilling [by] Nathan A. Scott, Jr.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Scott, Nathan A.</t>
        </is>
      </c>
      <c r="L222" t="inlineStr">
        <is>
          <t>Notre Dame, University of Notre Dame Press [1973]</t>
        </is>
      </c>
      <c r="M222" t="inlineStr">
        <is>
          <t>1973</t>
        </is>
      </c>
      <c r="O222" t="inlineStr">
        <is>
          <t>eng</t>
        </is>
      </c>
      <c r="P222" t="inlineStr">
        <is>
          <t>inu</t>
        </is>
      </c>
      <c r="R222" t="inlineStr">
        <is>
          <t xml:space="preserve">PS </t>
        </is>
      </c>
      <c r="S222" t="n">
        <v>3</v>
      </c>
      <c r="T222" t="n">
        <v>3</v>
      </c>
      <c r="U222" t="inlineStr">
        <is>
          <t>2005-09-12</t>
        </is>
      </c>
      <c r="V222" t="inlineStr">
        <is>
          <t>2005-09-12</t>
        </is>
      </c>
      <c r="W222" t="inlineStr">
        <is>
          <t>1997-05-02</t>
        </is>
      </c>
      <c r="X222" t="inlineStr">
        <is>
          <t>1997-05-02</t>
        </is>
      </c>
      <c r="Y222" t="n">
        <v>990</v>
      </c>
      <c r="Z222" t="n">
        <v>830</v>
      </c>
      <c r="AA222" t="n">
        <v>836</v>
      </c>
      <c r="AB222" t="n">
        <v>6</v>
      </c>
      <c r="AC222" t="n">
        <v>6</v>
      </c>
      <c r="AD222" t="n">
        <v>41</v>
      </c>
      <c r="AE222" t="n">
        <v>41</v>
      </c>
      <c r="AF222" t="n">
        <v>17</v>
      </c>
      <c r="AG222" t="n">
        <v>17</v>
      </c>
      <c r="AH222" t="n">
        <v>9</v>
      </c>
      <c r="AI222" t="n">
        <v>9</v>
      </c>
      <c r="AJ222" t="n">
        <v>20</v>
      </c>
      <c r="AK222" t="n">
        <v>20</v>
      </c>
      <c r="AL222" t="n">
        <v>5</v>
      </c>
      <c r="AM222" t="n">
        <v>5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HYPERLINK("http://catalog.hathitrust.org/Record/001440811","HathiTrust Record")</f>
        <v/>
      </c>
      <c r="AS222">
        <f>HYPERLINK("https://creighton-primo.hosted.exlibrisgroup.com/primo-explore/search?tab=default_tab&amp;search_scope=EVERYTHING&amp;vid=01CRU&amp;lang=en_US&amp;offset=0&amp;query=any,contains,991003163159702656","Catalog Record")</f>
        <v/>
      </c>
      <c r="AT222">
        <f>HYPERLINK("http://www.worldcat.org/oclc/701590","WorldCat Record")</f>
        <v/>
      </c>
      <c r="AU222" t="inlineStr">
        <is>
          <t>1602634:eng</t>
        </is>
      </c>
      <c r="AV222" t="inlineStr">
        <is>
          <t>701590</t>
        </is>
      </c>
      <c r="AW222" t="inlineStr">
        <is>
          <t>991003163159702656</t>
        </is>
      </c>
      <c r="AX222" t="inlineStr">
        <is>
          <t>991003163159702656</t>
        </is>
      </c>
      <c r="AY222" t="inlineStr">
        <is>
          <t>2255056160002656</t>
        </is>
      </c>
      <c r="AZ222" t="inlineStr">
        <is>
          <t>BOOK</t>
        </is>
      </c>
      <c r="BB222" t="inlineStr">
        <is>
          <t>9780268005047</t>
        </is>
      </c>
      <c r="BC222" t="inlineStr">
        <is>
          <t>32285002635737</t>
        </is>
      </c>
      <c r="BD222" t="inlineStr">
        <is>
          <t>893246071</t>
        </is>
      </c>
    </row>
    <row r="223">
      <c r="A223" t="inlineStr">
        <is>
          <t>No</t>
        </is>
      </c>
      <c r="B223" t="inlineStr">
        <is>
          <t>PS221 .S65 1945-75</t>
        </is>
      </c>
      <c r="C223" t="inlineStr">
        <is>
          <t>0                      PS 0221000S  65          1945                                        -75</t>
        </is>
      </c>
      <c r="D223" t="inlineStr">
        <is>
          <t>American &amp; British literature, 1945-1975 : an annotated bibliography of contemporary scholarship / John Somer and Barbara Eck Cooper.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Somer, John L.</t>
        </is>
      </c>
      <c r="L223" t="inlineStr">
        <is>
          <t>Lawrence : Regents Press of Kansas, c1980.</t>
        </is>
      </c>
      <c r="M223" t="inlineStr">
        <is>
          <t>1980</t>
        </is>
      </c>
      <c r="O223" t="inlineStr">
        <is>
          <t>eng</t>
        </is>
      </c>
      <c r="P223" t="inlineStr">
        <is>
          <t>ksu</t>
        </is>
      </c>
      <c r="R223" t="inlineStr">
        <is>
          <t xml:space="preserve">PS </t>
        </is>
      </c>
      <c r="S223" t="n">
        <v>1</v>
      </c>
      <c r="T223" t="n">
        <v>1</v>
      </c>
      <c r="U223" t="inlineStr">
        <is>
          <t>1997-03-23</t>
        </is>
      </c>
      <c r="V223" t="inlineStr">
        <is>
          <t>1997-03-23</t>
        </is>
      </c>
      <c r="W223" t="inlineStr">
        <is>
          <t>1992-08-21</t>
        </is>
      </c>
      <c r="X223" t="inlineStr">
        <is>
          <t>1992-08-21</t>
        </is>
      </c>
      <c r="Y223" t="n">
        <v>508</v>
      </c>
      <c r="Z223" t="n">
        <v>436</v>
      </c>
      <c r="AA223" t="n">
        <v>436</v>
      </c>
      <c r="AB223" t="n">
        <v>4</v>
      </c>
      <c r="AC223" t="n">
        <v>4</v>
      </c>
      <c r="AD223" t="n">
        <v>28</v>
      </c>
      <c r="AE223" t="n">
        <v>28</v>
      </c>
      <c r="AF223" t="n">
        <v>10</v>
      </c>
      <c r="AG223" t="n">
        <v>10</v>
      </c>
      <c r="AH223" t="n">
        <v>6</v>
      </c>
      <c r="AI223" t="n">
        <v>6</v>
      </c>
      <c r="AJ223" t="n">
        <v>15</v>
      </c>
      <c r="AK223" t="n">
        <v>15</v>
      </c>
      <c r="AL223" t="n">
        <v>3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HYPERLINK("https://creighton-primo.hosted.exlibrisgroup.com/primo-explore/search?tab=default_tab&amp;search_scope=EVERYTHING&amp;vid=01CRU&amp;lang=en_US&amp;offset=0&amp;query=any,contains,991004816919702656","Catalog Record")</f>
        <v/>
      </c>
      <c r="AT223">
        <f>HYPERLINK("http://www.worldcat.org/oclc/5310740","WorldCat Record")</f>
        <v/>
      </c>
      <c r="AU223" t="inlineStr">
        <is>
          <t>1090247236:eng</t>
        </is>
      </c>
      <c r="AV223" t="inlineStr">
        <is>
          <t>5310740</t>
        </is>
      </c>
      <c r="AW223" t="inlineStr">
        <is>
          <t>991004816919702656</t>
        </is>
      </c>
      <c r="AX223" t="inlineStr">
        <is>
          <t>991004816919702656</t>
        </is>
      </c>
      <c r="AY223" t="inlineStr">
        <is>
          <t>2264496870002656</t>
        </is>
      </c>
      <c r="AZ223" t="inlineStr">
        <is>
          <t>BOOK</t>
        </is>
      </c>
      <c r="BB223" t="inlineStr">
        <is>
          <t>9780700601950</t>
        </is>
      </c>
      <c r="BC223" t="inlineStr">
        <is>
          <t>32285001249852</t>
        </is>
      </c>
      <c r="BD223" t="inlineStr">
        <is>
          <t>893235951</t>
        </is>
      </c>
    </row>
    <row r="224">
      <c r="A224" t="inlineStr">
        <is>
          <t>No</t>
        </is>
      </c>
      <c r="B224" t="inlineStr">
        <is>
          <t>PS221 .W5</t>
        </is>
      </c>
      <c r="C224" t="inlineStr">
        <is>
          <t>0                      PS 0221000W  5</t>
        </is>
      </c>
      <c r="D224" t="inlineStr">
        <is>
          <t>Spokesmen: modern writers and American life, by T. K. Whipple.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Whipple, T. K. (Thomas King), 1890-1939.</t>
        </is>
      </c>
      <c r="L224" t="inlineStr">
        <is>
          <t>New York, London, D. Appleton and company, 1928.</t>
        </is>
      </c>
      <c r="M224" t="inlineStr">
        <is>
          <t>1928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PS </t>
        </is>
      </c>
      <c r="S224" t="n">
        <v>3</v>
      </c>
      <c r="T224" t="n">
        <v>3</v>
      </c>
      <c r="U224" t="inlineStr">
        <is>
          <t>1999-02-26</t>
        </is>
      </c>
      <c r="V224" t="inlineStr">
        <is>
          <t>1999-02-26</t>
        </is>
      </c>
      <c r="W224" t="inlineStr">
        <is>
          <t>1997-05-02</t>
        </is>
      </c>
      <c r="X224" t="inlineStr">
        <is>
          <t>1997-05-02</t>
        </is>
      </c>
      <c r="Y224" t="n">
        <v>337</v>
      </c>
      <c r="Z224" t="n">
        <v>313</v>
      </c>
      <c r="AA224" t="n">
        <v>387</v>
      </c>
      <c r="AB224" t="n">
        <v>3</v>
      </c>
      <c r="AC224" t="n">
        <v>3</v>
      </c>
      <c r="AD224" t="n">
        <v>13</v>
      </c>
      <c r="AE224" t="n">
        <v>16</v>
      </c>
      <c r="AF224" t="n">
        <v>2</v>
      </c>
      <c r="AG224" t="n">
        <v>3</v>
      </c>
      <c r="AH224" t="n">
        <v>3</v>
      </c>
      <c r="AI224" t="n">
        <v>4</v>
      </c>
      <c r="AJ224" t="n">
        <v>10</v>
      </c>
      <c r="AK224" t="n">
        <v>12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R224">
        <f>HYPERLINK("http://catalog.hathitrust.org/Record/001026528","HathiTrust Record")</f>
        <v/>
      </c>
      <c r="AS224">
        <f>HYPERLINK("https://creighton-primo.hosted.exlibrisgroup.com/primo-explore/search?tab=default_tab&amp;search_scope=EVERYTHING&amp;vid=01CRU&amp;lang=en_US&amp;offset=0&amp;query=any,contains,991003958389702656","Catalog Record")</f>
        <v/>
      </c>
      <c r="AT224">
        <f>HYPERLINK("http://www.worldcat.org/oclc/1973448","WorldCat Record")</f>
        <v/>
      </c>
      <c r="AU224" t="inlineStr">
        <is>
          <t>1175361:eng</t>
        </is>
      </c>
      <c r="AV224" t="inlineStr">
        <is>
          <t>1973448</t>
        </is>
      </c>
      <c r="AW224" t="inlineStr">
        <is>
          <t>991003958389702656</t>
        </is>
      </c>
      <c r="AX224" t="inlineStr">
        <is>
          <t>991003958389702656</t>
        </is>
      </c>
      <c r="AY224" t="inlineStr">
        <is>
          <t>2265890750002656</t>
        </is>
      </c>
      <c r="AZ224" t="inlineStr">
        <is>
          <t>BOOK</t>
        </is>
      </c>
      <c r="BC224" t="inlineStr">
        <is>
          <t>32285002635802</t>
        </is>
      </c>
      <c r="BD224" t="inlineStr">
        <is>
          <t>893259130</t>
        </is>
      </c>
    </row>
    <row r="225">
      <c r="A225" t="inlineStr">
        <is>
          <t>No</t>
        </is>
      </c>
      <c r="B225" t="inlineStr">
        <is>
          <t>PS225 .K54</t>
        </is>
      </c>
      <c r="C225" t="inlineStr">
        <is>
          <t>0                      PS 0225000K  54</t>
        </is>
      </c>
      <c r="D225" t="inlineStr">
        <is>
          <t>The American 1960s ; imaginative acts in a decade of change / Jerome Klinkowitz.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Klinkowitz, Jerome.</t>
        </is>
      </c>
      <c r="L225" t="inlineStr">
        <is>
          <t>Ames : Iowa State University Press, 1980.</t>
        </is>
      </c>
      <c r="M225" t="inlineStr">
        <is>
          <t>1980</t>
        </is>
      </c>
      <c r="N225" t="inlineStr">
        <is>
          <t>1st ed.</t>
        </is>
      </c>
      <c r="O225" t="inlineStr">
        <is>
          <t>eng</t>
        </is>
      </c>
      <c r="P225" t="inlineStr">
        <is>
          <t>iau</t>
        </is>
      </c>
      <c r="R225" t="inlineStr">
        <is>
          <t xml:space="preserve">PS </t>
        </is>
      </c>
      <c r="S225" t="n">
        <v>2</v>
      </c>
      <c r="T225" t="n">
        <v>2</v>
      </c>
      <c r="U225" t="inlineStr">
        <is>
          <t>1996-11-04</t>
        </is>
      </c>
      <c r="V225" t="inlineStr">
        <is>
          <t>1996-11-04</t>
        </is>
      </c>
      <c r="W225" t="inlineStr">
        <is>
          <t>1992-08-21</t>
        </is>
      </c>
      <c r="X225" t="inlineStr">
        <is>
          <t>1992-08-21</t>
        </is>
      </c>
      <c r="Y225" t="n">
        <v>689</v>
      </c>
      <c r="Z225" t="n">
        <v>604</v>
      </c>
      <c r="AA225" t="n">
        <v>615</v>
      </c>
      <c r="AB225" t="n">
        <v>5</v>
      </c>
      <c r="AC225" t="n">
        <v>5</v>
      </c>
      <c r="AD225" t="n">
        <v>21</v>
      </c>
      <c r="AE225" t="n">
        <v>22</v>
      </c>
      <c r="AF225" t="n">
        <v>8</v>
      </c>
      <c r="AG225" t="n">
        <v>8</v>
      </c>
      <c r="AH225" t="n">
        <v>7</v>
      </c>
      <c r="AI225" t="n">
        <v>7</v>
      </c>
      <c r="AJ225" t="n">
        <v>6</v>
      </c>
      <c r="AK225" t="n">
        <v>7</v>
      </c>
      <c r="AL225" t="n">
        <v>4</v>
      </c>
      <c r="AM225" t="n">
        <v>4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HYPERLINK("http://catalog.hathitrust.org/Record/000739710","HathiTrust Record")</f>
        <v/>
      </c>
      <c r="AS225">
        <f>HYPERLINK("https://creighton-primo.hosted.exlibrisgroup.com/primo-explore/search?tab=default_tab&amp;search_scope=EVERYTHING&amp;vid=01CRU&amp;lang=en_US&amp;offset=0&amp;query=any,contains,991004926829702656","Catalog Record")</f>
        <v/>
      </c>
      <c r="AT225">
        <f>HYPERLINK("http://www.worldcat.org/oclc/6086602","WorldCat Record")</f>
        <v/>
      </c>
      <c r="AU225" t="inlineStr">
        <is>
          <t>475147:eng</t>
        </is>
      </c>
      <c r="AV225" t="inlineStr">
        <is>
          <t>6086602</t>
        </is>
      </c>
      <c r="AW225" t="inlineStr">
        <is>
          <t>991004926829702656</t>
        </is>
      </c>
      <c r="AX225" t="inlineStr">
        <is>
          <t>991004926829702656</t>
        </is>
      </c>
      <c r="AY225" t="inlineStr">
        <is>
          <t>2257826420002656</t>
        </is>
      </c>
      <c r="AZ225" t="inlineStr">
        <is>
          <t>BOOK</t>
        </is>
      </c>
      <c r="BB225" t="inlineStr">
        <is>
          <t>9780813813806</t>
        </is>
      </c>
      <c r="BC225" t="inlineStr">
        <is>
          <t>32285001249902</t>
        </is>
      </c>
      <c r="BD225" t="inlineStr">
        <is>
          <t>893536270</t>
        </is>
      </c>
    </row>
    <row r="226">
      <c r="A226" t="inlineStr">
        <is>
          <t>No</t>
        </is>
      </c>
      <c r="B226" t="inlineStr">
        <is>
          <t>PS228.A95 D4</t>
        </is>
      </c>
      <c r="C226" t="inlineStr">
        <is>
          <t>0                      PS 0228000A  95                 D  4</t>
        </is>
      </c>
      <c r="D226" t="inlineStr">
        <is>
          <t>In the driver's seat : the automobile in American literature and popular culture / Cynthia Golomb Dettelbach.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Dettelbach, Cynthia Golomb.</t>
        </is>
      </c>
      <c r="L226" t="inlineStr">
        <is>
          <t>Westport, Conn. : Greenwood Press, 1976.</t>
        </is>
      </c>
      <c r="M226" t="inlineStr">
        <is>
          <t>1976</t>
        </is>
      </c>
      <c r="O226" t="inlineStr">
        <is>
          <t>eng</t>
        </is>
      </c>
      <c r="P226" t="inlineStr">
        <is>
          <t>ctu</t>
        </is>
      </c>
      <c r="Q226" t="inlineStr">
        <is>
          <t>Contributions in American studies ; no. 25</t>
        </is>
      </c>
      <c r="R226" t="inlineStr">
        <is>
          <t xml:space="preserve">PS </t>
        </is>
      </c>
      <c r="S226" t="n">
        <v>10</v>
      </c>
      <c r="T226" t="n">
        <v>10</v>
      </c>
      <c r="U226" t="inlineStr">
        <is>
          <t>2005-04-10</t>
        </is>
      </c>
      <c r="V226" t="inlineStr">
        <is>
          <t>2005-04-10</t>
        </is>
      </c>
      <c r="W226" t="inlineStr">
        <is>
          <t>1997-05-02</t>
        </is>
      </c>
      <c r="X226" t="inlineStr">
        <is>
          <t>1997-05-02</t>
        </is>
      </c>
      <c r="Y226" t="n">
        <v>740</v>
      </c>
      <c r="Z226" t="n">
        <v>663</v>
      </c>
      <c r="AA226" t="n">
        <v>669</v>
      </c>
      <c r="AB226" t="n">
        <v>7</v>
      </c>
      <c r="AC226" t="n">
        <v>7</v>
      </c>
      <c r="AD226" t="n">
        <v>31</v>
      </c>
      <c r="AE226" t="n">
        <v>31</v>
      </c>
      <c r="AF226" t="n">
        <v>11</v>
      </c>
      <c r="AG226" t="n">
        <v>11</v>
      </c>
      <c r="AH226" t="n">
        <v>6</v>
      </c>
      <c r="AI226" t="n">
        <v>6</v>
      </c>
      <c r="AJ226" t="n">
        <v>14</v>
      </c>
      <c r="AK226" t="n">
        <v>14</v>
      </c>
      <c r="AL226" t="n">
        <v>6</v>
      </c>
      <c r="AM226" t="n">
        <v>6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HYPERLINK("http://catalog.hathitrust.org/Record/000729779","HathiTrust Record")</f>
        <v/>
      </c>
      <c r="AS226">
        <f>HYPERLINK("https://creighton-primo.hosted.exlibrisgroup.com/primo-explore/search?tab=default_tab&amp;search_scope=EVERYTHING&amp;vid=01CRU&amp;lang=en_US&amp;offset=0&amp;query=any,contains,991003497149702656","Catalog Record")</f>
        <v/>
      </c>
      <c r="AT226">
        <f>HYPERLINK("http://www.worldcat.org/oclc/1047830","WorldCat Record")</f>
        <v/>
      </c>
      <c r="AU226" t="inlineStr">
        <is>
          <t>198557815:eng</t>
        </is>
      </c>
      <c r="AV226" t="inlineStr">
        <is>
          <t>1047830</t>
        </is>
      </c>
      <c r="AW226" t="inlineStr">
        <is>
          <t>991003497149702656</t>
        </is>
      </c>
      <c r="AX226" t="inlineStr">
        <is>
          <t>991003497149702656</t>
        </is>
      </c>
      <c r="AY226" t="inlineStr">
        <is>
          <t>2265429360002656</t>
        </is>
      </c>
      <c r="AZ226" t="inlineStr">
        <is>
          <t>BOOK</t>
        </is>
      </c>
      <c r="BB226" t="inlineStr">
        <is>
          <t>9780837185934</t>
        </is>
      </c>
      <c r="BC226" t="inlineStr">
        <is>
          <t>32285002635836</t>
        </is>
      </c>
      <c r="BD226" t="inlineStr">
        <is>
          <t>893318033</t>
        </is>
      </c>
    </row>
    <row r="227">
      <c r="A227" t="inlineStr">
        <is>
          <t>No</t>
        </is>
      </c>
      <c r="B227" t="inlineStr">
        <is>
          <t>PS228.C5 B7</t>
        </is>
      </c>
      <c r="C227" t="inlineStr">
        <is>
          <t>0                      PS 0228000C  5                  B  7</t>
        </is>
      </c>
      <c r="D227" t="inlineStr">
        <is>
          <t>The hidden God; studies in Hemingway, Faulkner, Yeats, Eliot, and Warren.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Brooks, Cleanth, 1906-1994.</t>
        </is>
      </c>
      <c r="L227" t="inlineStr">
        <is>
          <t>New Haven, Yale University Press, 1963.</t>
        </is>
      </c>
      <c r="M227" t="inlineStr">
        <is>
          <t>1963</t>
        </is>
      </c>
      <c r="O227" t="inlineStr">
        <is>
          <t>eng</t>
        </is>
      </c>
      <c r="P227" t="inlineStr">
        <is>
          <t>ctu</t>
        </is>
      </c>
      <c r="R227" t="inlineStr">
        <is>
          <t xml:space="preserve">PS </t>
        </is>
      </c>
      <c r="S227" t="n">
        <v>3</v>
      </c>
      <c r="T227" t="n">
        <v>3</v>
      </c>
      <c r="U227" t="inlineStr">
        <is>
          <t>1997-12-01</t>
        </is>
      </c>
      <c r="V227" t="inlineStr">
        <is>
          <t>1997-12-01</t>
        </is>
      </c>
      <c r="W227" t="inlineStr">
        <is>
          <t>1997-07-03</t>
        </is>
      </c>
      <c r="X227" t="inlineStr">
        <is>
          <t>1997-07-03</t>
        </is>
      </c>
      <c r="Y227" t="n">
        <v>1794</v>
      </c>
      <c r="Z227" t="n">
        <v>1563</v>
      </c>
      <c r="AA227" t="n">
        <v>1577</v>
      </c>
      <c r="AB227" t="n">
        <v>14</v>
      </c>
      <c r="AC227" t="n">
        <v>14</v>
      </c>
      <c r="AD227" t="n">
        <v>56</v>
      </c>
      <c r="AE227" t="n">
        <v>56</v>
      </c>
      <c r="AF227" t="n">
        <v>22</v>
      </c>
      <c r="AG227" t="n">
        <v>22</v>
      </c>
      <c r="AH227" t="n">
        <v>10</v>
      </c>
      <c r="AI227" t="n">
        <v>10</v>
      </c>
      <c r="AJ227" t="n">
        <v>27</v>
      </c>
      <c r="AK227" t="n">
        <v>27</v>
      </c>
      <c r="AL227" t="n">
        <v>10</v>
      </c>
      <c r="AM227" t="n">
        <v>10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HYPERLINK("https://creighton-primo.hosted.exlibrisgroup.com/primo-explore/search?tab=default_tab&amp;search_scope=EVERYTHING&amp;vid=01CRU&amp;lang=en_US&amp;offset=0&amp;query=any,contains,991001372799702656","Catalog Record")</f>
        <v/>
      </c>
      <c r="AT227">
        <f>HYPERLINK("http://www.worldcat.org/oclc/224127","WorldCat Record")</f>
        <v/>
      </c>
      <c r="AU227" t="inlineStr">
        <is>
          <t>203296346:eng</t>
        </is>
      </c>
      <c r="AV227" t="inlineStr">
        <is>
          <t>224127</t>
        </is>
      </c>
      <c r="AW227" t="inlineStr">
        <is>
          <t>991001372799702656</t>
        </is>
      </c>
      <c r="AX227" t="inlineStr">
        <is>
          <t>991001372799702656</t>
        </is>
      </c>
      <c r="AY227" t="inlineStr">
        <is>
          <t>2264222200002656</t>
        </is>
      </c>
      <c r="AZ227" t="inlineStr">
        <is>
          <t>BOOK</t>
        </is>
      </c>
      <c r="BC227" t="inlineStr">
        <is>
          <t>32285002888583</t>
        </is>
      </c>
      <c r="BD227" t="inlineStr">
        <is>
          <t>893250200</t>
        </is>
      </c>
    </row>
    <row r="228">
      <c r="A228" t="inlineStr">
        <is>
          <t>No</t>
        </is>
      </c>
      <c r="B228" t="inlineStr">
        <is>
          <t>PS228.C54 H5</t>
        </is>
      </c>
      <c r="C228" t="inlineStr">
        <is>
          <t>0                      PS 0228000C  54                 H  5</t>
        </is>
      </c>
      <c r="D228" t="inlineStr">
        <is>
          <t>The revolt from the village, 1915-1930.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Hilfer, Anthony Channell.</t>
        </is>
      </c>
      <c r="L228" t="inlineStr">
        <is>
          <t>Chapel Hill, University of North Carolina Press [1969]</t>
        </is>
      </c>
      <c r="M228" t="inlineStr">
        <is>
          <t>1969</t>
        </is>
      </c>
      <c r="O228" t="inlineStr">
        <is>
          <t>eng</t>
        </is>
      </c>
      <c r="P228" t="inlineStr">
        <is>
          <t>ncu</t>
        </is>
      </c>
      <c r="R228" t="inlineStr">
        <is>
          <t xml:space="preserve">PS </t>
        </is>
      </c>
      <c r="S228" t="n">
        <v>2</v>
      </c>
      <c r="T228" t="n">
        <v>2</v>
      </c>
      <c r="U228" t="inlineStr">
        <is>
          <t>1998-03-01</t>
        </is>
      </c>
      <c r="V228" t="inlineStr">
        <is>
          <t>1998-03-01</t>
        </is>
      </c>
      <c r="W228" t="inlineStr">
        <is>
          <t>1997-05-02</t>
        </is>
      </c>
      <c r="X228" t="inlineStr">
        <is>
          <t>1997-05-02</t>
        </is>
      </c>
      <c r="Y228" t="n">
        <v>713</v>
      </c>
      <c r="Z228" t="n">
        <v>651</v>
      </c>
      <c r="AA228" t="n">
        <v>658</v>
      </c>
      <c r="AB228" t="n">
        <v>8</v>
      </c>
      <c r="AC228" t="n">
        <v>8</v>
      </c>
      <c r="AD228" t="n">
        <v>37</v>
      </c>
      <c r="AE228" t="n">
        <v>37</v>
      </c>
      <c r="AF228" t="n">
        <v>16</v>
      </c>
      <c r="AG228" t="n">
        <v>16</v>
      </c>
      <c r="AH228" t="n">
        <v>7</v>
      </c>
      <c r="AI228" t="n">
        <v>7</v>
      </c>
      <c r="AJ228" t="n">
        <v>16</v>
      </c>
      <c r="AK228" t="n">
        <v>16</v>
      </c>
      <c r="AL228" t="n">
        <v>7</v>
      </c>
      <c r="AM228" t="n">
        <v>7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HYPERLINK("http://catalog.hathitrust.org/Record/001420764","HathiTrust Record")</f>
        <v/>
      </c>
      <c r="AS228">
        <f>HYPERLINK("https://creighton-primo.hosted.exlibrisgroup.com/primo-explore/search?tab=default_tab&amp;search_scope=EVERYTHING&amp;vid=01CRU&amp;lang=en_US&amp;offset=0&amp;query=any,contains,991000000099702656","Catalog Record")</f>
        <v/>
      </c>
      <c r="AT228">
        <f>HYPERLINK("http://www.worldcat.org/oclc/7454","WorldCat Record")</f>
        <v/>
      </c>
      <c r="AU228" t="inlineStr">
        <is>
          <t>1130609:eng</t>
        </is>
      </c>
      <c r="AV228" t="inlineStr">
        <is>
          <t>7454</t>
        </is>
      </c>
      <c r="AW228" t="inlineStr">
        <is>
          <t>991000000099702656</t>
        </is>
      </c>
      <c r="AX228" t="inlineStr">
        <is>
          <t>991000000099702656</t>
        </is>
      </c>
      <c r="AY228" t="inlineStr">
        <is>
          <t>2265500010002656</t>
        </is>
      </c>
      <c r="AZ228" t="inlineStr">
        <is>
          <t>BOOK</t>
        </is>
      </c>
      <c r="BC228" t="inlineStr">
        <is>
          <t>32285002635851</t>
        </is>
      </c>
      <c r="BD228" t="inlineStr">
        <is>
          <t>893707994</t>
        </is>
      </c>
    </row>
    <row r="229">
      <c r="A229" t="inlineStr">
        <is>
          <t>No</t>
        </is>
      </c>
      <c r="B229" t="inlineStr">
        <is>
          <t>PS228.E9 F5</t>
        </is>
      </c>
      <c r="C229" t="inlineStr">
        <is>
          <t>0                      PS 0228000E  9                  F  5</t>
        </is>
      </c>
      <c r="D229" t="inlineStr">
        <is>
          <t>Existentialism and alienation in American literature / by Sidney Finkelstein.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Finkelstein, Sidney, 1909-1974.</t>
        </is>
      </c>
      <c r="L229" t="inlineStr">
        <is>
          <t>New York : International Publishers, [1965]</t>
        </is>
      </c>
      <c r="M229" t="inlineStr">
        <is>
          <t>1965</t>
        </is>
      </c>
      <c r="N229" t="inlineStr">
        <is>
          <t>[1st ed.]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PS </t>
        </is>
      </c>
      <c r="S229" t="n">
        <v>2</v>
      </c>
      <c r="T229" t="n">
        <v>2</v>
      </c>
      <c r="U229" t="inlineStr">
        <is>
          <t>1995-04-27</t>
        </is>
      </c>
      <c r="V229" t="inlineStr">
        <is>
          <t>1995-04-27</t>
        </is>
      </c>
      <c r="W229" t="inlineStr">
        <is>
          <t>1994-10-18</t>
        </is>
      </c>
      <c r="X229" t="inlineStr">
        <is>
          <t>1994-10-18</t>
        </is>
      </c>
      <c r="Y229" t="n">
        <v>677</v>
      </c>
      <c r="Z229" t="n">
        <v>600</v>
      </c>
      <c r="AA229" t="n">
        <v>618</v>
      </c>
      <c r="AB229" t="n">
        <v>3</v>
      </c>
      <c r="AC229" t="n">
        <v>3</v>
      </c>
      <c r="AD229" t="n">
        <v>26</v>
      </c>
      <c r="AE229" t="n">
        <v>27</v>
      </c>
      <c r="AF229" t="n">
        <v>11</v>
      </c>
      <c r="AG229" t="n">
        <v>11</v>
      </c>
      <c r="AH229" t="n">
        <v>6</v>
      </c>
      <c r="AI229" t="n">
        <v>6</v>
      </c>
      <c r="AJ229" t="n">
        <v>16</v>
      </c>
      <c r="AK229" t="n">
        <v>17</v>
      </c>
      <c r="AL229" t="n">
        <v>2</v>
      </c>
      <c r="AM229" t="n">
        <v>2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HYPERLINK("http://catalog.hathitrust.org/Record/001026532","HathiTrust Record")</f>
        <v/>
      </c>
      <c r="AS229">
        <f>HYPERLINK("https://creighton-primo.hosted.exlibrisgroup.com/primo-explore/search?tab=default_tab&amp;search_scope=EVERYTHING&amp;vid=01CRU&amp;lang=en_US&amp;offset=0&amp;query=any,contains,991002448129702656","Catalog Record")</f>
        <v/>
      </c>
      <c r="AT229">
        <f>HYPERLINK("http://www.worldcat.org/oclc/352196","WorldCat Record")</f>
        <v/>
      </c>
      <c r="AU229" t="inlineStr">
        <is>
          <t>1388140:eng</t>
        </is>
      </c>
      <c r="AV229" t="inlineStr">
        <is>
          <t>352196</t>
        </is>
      </c>
      <c r="AW229" t="inlineStr">
        <is>
          <t>991002448129702656</t>
        </is>
      </c>
      <c r="AX229" t="inlineStr">
        <is>
          <t>991002448129702656</t>
        </is>
      </c>
      <c r="AY229" t="inlineStr">
        <is>
          <t>2265368670002656</t>
        </is>
      </c>
      <c r="AZ229" t="inlineStr">
        <is>
          <t>BOOK</t>
        </is>
      </c>
      <c r="BC229" t="inlineStr">
        <is>
          <t>32285001962108</t>
        </is>
      </c>
      <c r="BD229" t="inlineStr">
        <is>
          <t>893622296</t>
        </is>
      </c>
    </row>
    <row r="230">
      <c r="A230" t="inlineStr">
        <is>
          <t>No</t>
        </is>
      </c>
      <c r="B230" t="inlineStr">
        <is>
          <t>PS228.E9 L4</t>
        </is>
      </c>
      <c r="C230" t="inlineStr">
        <is>
          <t>0                      PS 0228000E  9                  L  4</t>
        </is>
      </c>
      <c r="D230" t="inlineStr">
        <is>
          <t>A dangerous crossing; French literary existentialism and the modern American novel [by] Richard Lehan. With a pref. by Harry T. Moore.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Lehan, Richard Daniel, 1930-</t>
        </is>
      </c>
      <c r="L230" t="inlineStr">
        <is>
          <t>Carbondale, Southern Illinois University Press [1973]</t>
        </is>
      </c>
      <c r="M230" t="inlineStr">
        <is>
          <t>1973</t>
        </is>
      </c>
      <c r="O230" t="inlineStr">
        <is>
          <t>eng</t>
        </is>
      </c>
      <c r="P230" t="inlineStr">
        <is>
          <t>ilu</t>
        </is>
      </c>
      <c r="Q230" t="inlineStr">
        <is>
          <t>Crosscurrents/modern critiques</t>
        </is>
      </c>
      <c r="R230" t="inlineStr">
        <is>
          <t xml:space="preserve">PS </t>
        </is>
      </c>
      <c r="S230" t="n">
        <v>4</v>
      </c>
      <c r="T230" t="n">
        <v>4</v>
      </c>
      <c r="U230" t="inlineStr">
        <is>
          <t>2000-12-05</t>
        </is>
      </c>
      <c r="V230" t="inlineStr">
        <is>
          <t>2000-12-05</t>
        </is>
      </c>
      <c r="W230" t="inlineStr">
        <is>
          <t>1997-05-02</t>
        </is>
      </c>
      <c r="X230" t="inlineStr">
        <is>
          <t>1997-05-02</t>
        </is>
      </c>
      <c r="Y230" t="n">
        <v>750</v>
      </c>
      <c r="Z230" t="n">
        <v>665</v>
      </c>
      <c r="AA230" t="n">
        <v>668</v>
      </c>
      <c r="AB230" t="n">
        <v>6</v>
      </c>
      <c r="AC230" t="n">
        <v>6</v>
      </c>
      <c r="AD230" t="n">
        <v>30</v>
      </c>
      <c r="AE230" t="n">
        <v>30</v>
      </c>
      <c r="AF230" t="n">
        <v>9</v>
      </c>
      <c r="AG230" t="n">
        <v>9</v>
      </c>
      <c r="AH230" t="n">
        <v>8</v>
      </c>
      <c r="AI230" t="n">
        <v>8</v>
      </c>
      <c r="AJ230" t="n">
        <v>16</v>
      </c>
      <c r="AK230" t="n">
        <v>16</v>
      </c>
      <c r="AL230" t="n">
        <v>5</v>
      </c>
      <c r="AM230" t="n">
        <v>5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HYPERLINK("http://catalog.hathitrust.org/Record/001440791","HathiTrust Record")</f>
        <v/>
      </c>
      <c r="AS230">
        <f>HYPERLINK("https://creighton-primo.hosted.exlibrisgroup.com/primo-explore/search?tab=default_tab&amp;search_scope=EVERYTHING&amp;vid=01CRU&amp;lang=en_US&amp;offset=0&amp;query=any,contains,991002839439702656","Catalog Record")</f>
        <v/>
      </c>
      <c r="AT230">
        <f>HYPERLINK("http://www.worldcat.org/oclc/481325","WorldCat Record")</f>
        <v/>
      </c>
      <c r="AU230" t="inlineStr">
        <is>
          <t>422822044:eng</t>
        </is>
      </c>
      <c r="AV230" t="inlineStr">
        <is>
          <t>481325</t>
        </is>
      </c>
      <c r="AW230" t="inlineStr">
        <is>
          <t>991002839439702656</t>
        </is>
      </c>
      <c r="AX230" t="inlineStr">
        <is>
          <t>991002839439702656</t>
        </is>
      </c>
      <c r="AY230" t="inlineStr">
        <is>
          <t>2269542700002656</t>
        </is>
      </c>
      <c r="AZ230" t="inlineStr">
        <is>
          <t>BOOK</t>
        </is>
      </c>
      <c r="BB230" t="inlineStr">
        <is>
          <t>9780809306077</t>
        </is>
      </c>
      <c r="BC230" t="inlineStr">
        <is>
          <t>32285002635869</t>
        </is>
      </c>
      <c r="BD230" t="inlineStr">
        <is>
          <t>893899306</t>
        </is>
      </c>
    </row>
    <row r="231">
      <c r="A231" t="inlineStr">
        <is>
          <t>No</t>
        </is>
      </c>
      <c r="B231" t="inlineStr">
        <is>
          <t>PS228.F38 B84 2000</t>
        </is>
      </c>
      <c r="C231" t="inlineStr">
        <is>
          <t>0                      PS 0228000F  38                 B  84          2000</t>
        </is>
      </c>
      <c r="D231" t="inlineStr">
        <is>
          <t>Naming the father : legacies, genealogies, and explorations of fatherhood in modern and contemporary literature / edited by Eva Paulino Bueno, Terry Caesar, and William Hummel.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Lanham, Md. : Lexington Books, c2000.</t>
        </is>
      </c>
      <c r="M231" t="inlineStr">
        <is>
          <t>2000</t>
        </is>
      </c>
      <c r="O231" t="inlineStr">
        <is>
          <t>eng</t>
        </is>
      </c>
      <c r="P231" t="inlineStr">
        <is>
          <t>mdu</t>
        </is>
      </c>
      <c r="R231" t="inlineStr">
        <is>
          <t xml:space="preserve">PS </t>
        </is>
      </c>
      <c r="S231" t="n">
        <v>4</v>
      </c>
      <c r="T231" t="n">
        <v>4</v>
      </c>
      <c r="U231" t="inlineStr">
        <is>
          <t>2005-10-13</t>
        </is>
      </c>
      <c r="V231" t="inlineStr">
        <is>
          <t>2005-10-13</t>
        </is>
      </c>
      <c r="W231" t="inlineStr">
        <is>
          <t>2001-06-12</t>
        </is>
      </c>
      <c r="X231" t="inlineStr">
        <is>
          <t>2001-06-12</t>
        </is>
      </c>
      <c r="Y231" t="n">
        <v>226</v>
      </c>
      <c r="Z231" t="n">
        <v>194</v>
      </c>
      <c r="AA231" t="n">
        <v>196</v>
      </c>
      <c r="AB231" t="n">
        <v>3</v>
      </c>
      <c r="AC231" t="n">
        <v>3</v>
      </c>
      <c r="AD231" t="n">
        <v>10</v>
      </c>
      <c r="AE231" t="n">
        <v>10</v>
      </c>
      <c r="AF231" t="n">
        <v>1</v>
      </c>
      <c r="AG231" t="n">
        <v>1</v>
      </c>
      <c r="AH231" t="n">
        <v>3</v>
      </c>
      <c r="AI231" t="n">
        <v>3</v>
      </c>
      <c r="AJ231" t="n">
        <v>6</v>
      </c>
      <c r="AK231" t="n">
        <v>6</v>
      </c>
      <c r="AL231" t="n">
        <v>2</v>
      </c>
      <c r="AM231" t="n">
        <v>2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HYPERLINK("http://catalog.hathitrust.org/Record/004114564","HathiTrust Record")</f>
        <v/>
      </c>
      <c r="AS231">
        <f>HYPERLINK("https://creighton-primo.hosted.exlibrisgroup.com/primo-explore/search?tab=default_tab&amp;search_scope=EVERYTHING&amp;vid=01CRU&amp;lang=en_US&amp;offset=0&amp;query=any,contains,991003512829702656","Catalog Record")</f>
        <v/>
      </c>
      <c r="AT231">
        <f>HYPERLINK("http://www.worldcat.org/oclc/42475881","WorldCat Record")</f>
        <v/>
      </c>
      <c r="AU231" t="inlineStr">
        <is>
          <t>366443797:eng</t>
        </is>
      </c>
      <c r="AV231" t="inlineStr">
        <is>
          <t>42475881</t>
        </is>
      </c>
      <c r="AW231" t="inlineStr">
        <is>
          <t>991003512829702656</t>
        </is>
      </c>
      <c r="AX231" t="inlineStr">
        <is>
          <t>991003512829702656</t>
        </is>
      </c>
      <c r="AY231" t="inlineStr">
        <is>
          <t>2263053340002656</t>
        </is>
      </c>
      <c r="AZ231" t="inlineStr">
        <is>
          <t>BOOK</t>
        </is>
      </c>
      <c r="BB231" t="inlineStr">
        <is>
          <t>9780739100912</t>
        </is>
      </c>
      <c r="BC231" t="inlineStr">
        <is>
          <t>32285004326574</t>
        </is>
      </c>
      <c r="BD231" t="inlineStr">
        <is>
          <t>893435064</t>
        </is>
      </c>
    </row>
    <row r="232">
      <c r="A232" t="inlineStr">
        <is>
          <t>No</t>
        </is>
      </c>
      <c r="B232" t="inlineStr">
        <is>
          <t>PS228.M63 K4 1989</t>
        </is>
      </c>
      <c r="C232" t="inlineStr">
        <is>
          <t>0                      PS 0228000M  63                 K  4           1989</t>
        </is>
      </c>
      <c r="D232" t="inlineStr">
        <is>
          <t>A homemade world : the American modernist writers / by Hugh Kenner.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Kenner, Hugh.</t>
        </is>
      </c>
      <c r="L232" t="inlineStr">
        <is>
          <t>Baltimore : Johns Hopkins University Press, 1989.</t>
        </is>
      </c>
      <c r="M232" t="inlineStr">
        <is>
          <t>1989</t>
        </is>
      </c>
      <c r="O232" t="inlineStr">
        <is>
          <t>eng</t>
        </is>
      </c>
      <c r="P232" t="inlineStr">
        <is>
          <t>mdu</t>
        </is>
      </c>
      <c r="R232" t="inlineStr">
        <is>
          <t xml:space="preserve">PS </t>
        </is>
      </c>
      <c r="S232" t="n">
        <v>5</v>
      </c>
      <c r="T232" t="n">
        <v>5</v>
      </c>
      <c r="U232" t="inlineStr">
        <is>
          <t>2004-11-23</t>
        </is>
      </c>
      <c r="V232" t="inlineStr">
        <is>
          <t>2004-11-23</t>
        </is>
      </c>
      <c r="W232" t="inlineStr">
        <is>
          <t>2003-09-23</t>
        </is>
      </c>
      <c r="X232" t="inlineStr">
        <is>
          <t>2003-09-23</t>
        </is>
      </c>
      <c r="Y232" t="n">
        <v>149</v>
      </c>
      <c r="Z232" t="n">
        <v>123</v>
      </c>
      <c r="AA232" t="n">
        <v>1097</v>
      </c>
      <c r="AB232" t="n">
        <v>1</v>
      </c>
      <c r="AC232" t="n">
        <v>8</v>
      </c>
      <c r="AD232" t="n">
        <v>5</v>
      </c>
      <c r="AE232" t="n">
        <v>44</v>
      </c>
      <c r="AF232" t="n">
        <v>5</v>
      </c>
      <c r="AG232" t="n">
        <v>18</v>
      </c>
      <c r="AH232" t="n">
        <v>0</v>
      </c>
      <c r="AI232" t="n">
        <v>7</v>
      </c>
      <c r="AJ232" t="n">
        <v>1</v>
      </c>
      <c r="AK232" t="n">
        <v>23</v>
      </c>
      <c r="AL232" t="n">
        <v>0</v>
      </c>
      <c r="AM232" t="n">
        <v>7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HYPERLINK("http://catalog.hathitrust.org/Record/009929379","HathiTrust Record")</f>
        <v/>
      </c>
      <c r="AS232">
        <f>HYPERLINK("https://creighton-primo.hosted.exlibrisgroup.com/primo-explore/search?tab=default_tab&amp;search_scope=EVERYTHING&amp;vid=01CRU&amp;lang=en_US&amp;offset=0&amp;query=any,contains,991004130479702656","Catalog Record")</f>
        <v/>
      </c>
      <c r="AT232">
        <f>HYPERLINK("http://www.worldcat.org/oclc/18961399","WorldCat Record")</f>
        <v/>
      </c>
      <c r="AU232" t="inlineStr">
        <is>
          <t>1928915:eng</t>
        </is>
      </c>
      <c r="AV232" t="inlineStr">
        <is>
          <t>18961399</t>
        </is>
      </c>
      <c r="AW232" t="inlineStr">
        <is>
          <t>991004130479702656</t>
        </is>
      </c>
      <c r="AX232" t="inlineStr">
        <is>
          <t>991004130479702656</t>
        </is>
      </c>
      <c r="AY232" t="inlineStr">
        <is>
          <t>2261933340002656</t>
        </is>
      </c>
      <c r="AZ232" t="inlineStr">
        <is>
          <t>BOOK</t>
        </is>
      </c>
      <c r="BB232" t="inlineStr">
        <is>
          <t>9780801838392</t>
        </is>
      </c>
      <c r="BC232" t="inlineStr">
        <is>
          <t>32285004784368</t>
        </is>
      </c>
      <c r="BD232" t="inlineStr">
        <is>
          <t>893706032</t>
        </is>
      </c>
    </row>
    <row r="233">
      <c r="A233" t="inlineStr">
        <is>
          <t>No</t>
        </is>
      </c>
      <c r="B233" t="inlineStr">
        <is>
          <t>PS228.M63 P3</t>
        </is>
      </c>
      <c r="C233" t="inlineStr">
        <is>
          <t>0                      PS 0228000M  63                 P  3</t>
        </is>
      </c>
      <c r="D233" t="inlineStr">
        <is>
          <t>Beckett, Nabokov, Nin, motives and modernism / Sylvia Paine.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Paine, Sylvia, 1946-</t>
        </is>
      </c>
      <c r="L233" t="inlineStr">
        <is>
          <t>Port Washington, NY : Kennikat Press, 1981.</t>
        </is>
      </c>
      <c r="M233" t="inlineStr">
        <is>
          <t>1981</t>
        </is>
      </c>
      <c r="O233" t="inlineStr">
        <is>
          <t>eng</t>
        </is>
      </c>
      <c r="P233" t="inlineStr">
        <is>
          <t>nyu</t>
        </is>
      </c>
      <c r="Q233" t="inlineStr">
        <is>
          <t>Literary criticism series</t>
        </is>
      </c>
      <c r="R233" t="inlineStr">
        <is>
          <t xml:space="preserve">PS </t>
        </is>
      </c>
      <c r="S233" t="n">
        <v>4</v>
      </c>
      <c r="T233" t="n">
        <v>4</v>
      </c>
      <c r="U233" t="inlineStr">
        <is>
          <t>2000-11-21</t>
        </is>
      </c>
      <c r="V233" t="inlineStr">
        <is>
          <t>2000-11-21</t>
        </is>
      </c>
      <c r="W233" t="inlineStr">
        <is>
          <t>1992-08-21</t>
        </is>
      </c>
      <c r="X233" t="inlineStr">
        <is>
          <t>1992-08-21</t>
        </is>
      </c>
      <c r="Y233" t="n">
        <v>333</v>
      </c>
      <c r="Z233" t="n">
        <v>268</v>
      </c>
      <c r="AA233" t="n">
        <v>270</v>
      </c>
      <c r="AB233" t="n">
        <v>2</v>
      </c>
      <c r="AC233" t="n">
        <v>2</v>
      </c>
      <c r="AD233" t="n">
        <v>11</v>
      </c>
      <c r="AE233" t="n">
        <v>11</v>
      </c>
      <c r="AF233" t="n">
        <v>3</v>
      </c>
      <c r="AG233" t="n">
        <v>3</v>
      </c>
      <c r="AH233" t="n">
        <v>4</v>
      </c>
      <c r="AI233" t="n">
        <v>4</v>
      </c>
      <c r="AJ233" t="n">
        <v>7</v>
      </c>
      <c r="AK233" t="n">
        <v>7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HYPERLINK("http://catalog.hathitrust.org/Record/000264824","HathiTrust Record")</f>
        <v/>
      </c>
      <c r="AS233">
        <f>HYPERLINK("https://creighton-primo.hosted.exlibrisgroup.com/primo-explore/search?tab=default_tab&amp;search_scope=EVERYTHING&amp;vid=01CRU&amp;lang=en_US&amp;offset=0&amp;query=any,contains,991005117539702656","Catalog Record")</f>
        <v/>
      </c>
      <c r="AT233">
        <f>HYPERLINK("http://www.worldcat.org/oclc/7464469","WorldCat Record")</f>
        <v/>
      </c>
      <c r="AU233" t="inlineStr">
        <is>
          <t>361862765:eng</t>
        </is>
      </c>
      <c r="AV233" t="inlineStr">
        <is>
          <t>7464469</t>
        </is>
      </c>
      <c r="AW233" t="inlineStr">
        <is>
          <t>991005117539702656</t>
        </is>
      </c>
      <c r="AX233" t="inlineStr">
        <is>
          <t>991005117539702656</t>
        </is>
      </c>
      <c r="AY233" t="inlineStr">
        <is>
          <t>2262364530002656</t>
        </is>
      </c>
      <c r="AZ233" t="inlineStr">
        <is>
          <t>BOOK</t>
        </is>
      </c>
      <c r="BB233" t="inlineStr">
        <is>
          <t>9780804692885</t>
        </is>
      </c>
      <c r="BC233" t="inlineStr">
        <is>
          <t>32285001249985</t>
        </is>
      </c>
      <c r="BD233" t="inlineStr">
        <is>
          <t>893353706</t>
        </is>
      </c>
    </row>
    <row r="234">
      <c r="A234" t="inlineStr">
        <is>
          <t>No</t>
        </is>
      </c>
      <c r="B234" t="inlineStr">
        <is>
          <t>PS228.P68 M67 2001</t>
        </is>
      </c>
      <c r="C234" t="inlineStr">
        <is>
          <t>0                      PS 0228000P  68                 M  67          2001</t>
        </is>
      </c>
      <c r="D234" t="inlineStr">
        <is>
          <t>Rewriting : postmodern narrative and cultural critique in the age of cloning / Christian Moraru.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Moraru, Christian.</t>
        </is>
      </c>
      <c r="L234" t="inlineStr">
        <is>
          <t>Albany : State University of New York, c2001.</t>
        </is>
      </c>
      <c r="M234" t="inlineStr">
        <is>
          <t>2001</t>
        </is>
      </c>
      <c r="O234" t="inlineStr">
        <is>
          <t>eng</t>
        </is>
      </c>
      <c r="P234" t="inlineStr">
        <is>
          <t>nyu</t>
        </is>
      </c>
      <c r="Q234" t="inlineStr">
        <is>
          <t>SUNY series in postmodern culture</t>
        </is>
      </c>
      <c r="R234" t="inlineStr">
        <is>
          <t xml:space="preserve">PS </t>
        </is>
      </c>
      <c r="S234" t="n">
        <v>1</v>
      </c>
      <c r="T234" t="n">
        <v>1</v>
      </c>
      <c r="U234" t="inlineStr">
        <is>
          <t>2002-04-16</t>
        </is>
      </c>
      <c r="V234" t="inlineStr">
        <is>
          <t>2002-04-16</t>
        </is>
      </c>
      <c r="W234" t="inlineStr">
        <is>
          <t>2002-04-01</t>
        </is>
      </c>
      <c r="X234" t="inlineStr">
        <is>
          <t>2002-04-01</t>
        </is>
      </c>
      <c r="Y234" t="n">
        <v>305</v>
      </c>
      <c r="Z234" t="n">
        <v>249</v>
      </c>
      <c r="AA234" t="n">
        <v>249</v>
      </c>
      <c r="AB234" t="n">
        <v>2</v>
      </c>
      <c r="AC234" t="n">
        <v>2</v>
      </c>
      <c r="AD234" t="n">
        <v>16</v>
      </c>
      <c r="AE234" t="n">
        <v>16</v>
      </c>
      <c r="AF234" t="n">
        <v>6</v>
      </c>
      <c r="AG234" t="n">
        <v>6</v>
      </c>
      <c r="AH234" t="n">
        <v>5</v>
      </c>
      <c r="AI234" t="n">
        <v>5</v>
      </c>
      <c r="AJ234" t="n">
        <v>9</v>
      </c>
      <c r="AK234" t="n">
        <v>9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HYPERLINK("https://creighton-primo.hosted.exlibrisgroup.com/primo-explore/search?tab=default_tab&amp;search_scope=EVERYTHING&amp;vid=01CRU&amp;lang=en_US&amp;offset=0&amp;query=any,contains,991003735089702656","Catalog Record")</f>
        <v/>
      </c>
      <c r="AT234">
        <f>HYPERLINK("http://www.worldcat.org/oclc/45393442","WorldCat Record")</f>
        <v/>
      </c>
      <c r="AU234" t="inlineStr">
        <is>
          <t>795327455:eng</t>
        </is>
      </c>
      <c r="AV234" t="inlineStr">
        <is>
          <t>45393442</t>
        </is>
      </c>
      <c r="AW234" t="inlineStr">
        <is>
          <t>991003735089702656</t>
        </is>
      </c>
      <c r="AX234" t="inlineStr">
        <is>
          <t>991003735089702656</t>
        </is>
      </c>
      <c r="AY234" t="inlineStr">
        <is>
          <t>2264706530002656</t>
        </is>
      </c>
      <c r="AZ234" t="inlineStr">
        <is>
          <t>BOOK</t>
        </is>
      </c>
      <c r="BB234" t="inlineStr">
        <is>
          <t>9780791451076</t>
        </is>
      </c>
      <c r="BC234" t="inlineStr">
        <is>
          <t>32285004475983</t>
        </is>
      </c>
      <c r="BD234" t="inlineStr">
        <is>
          <t>893793964</t>
        </is>
      </c>
    </row>
    <row r="235">
      <c r="A235" t="inlineStr">
        <is>
          <t>No</t>
        </is>
      </c>
      <c r="B235" t="inlineStr">
        <is>
          <t>PS228.V5 L66 1987</t>
        </is>
      </c>
      <c r="C235" t="inlineStr">
        <is>
          <t>0                      PS 0228000V  5                  L  66          1987</t>
        </is>
      </c>
      <c r="D235" t="inlineStr">
        <is>
          <t>"Reading the wind" : the literature of the Vietnam war : an interpretative critique / by Timothy J. Lomperis ; with a bibliographic commentary by John Clark Pratt.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Lomperis, Timothy J., 1947-</t>
        </is>
      </c>
      <c r="L235" t="inlineStr">
        <is>
          <t>Durham : Published for the Asia Society [by] Duke University Press, 1987.</t>
        </is>
      </c>
      <c r="M235" t="inlineStr">
        <is>
          <t>1987</t>
        </is>
      </c>
      <c r="O235" t="inlineStr">
        <is>
          <t>eng</t>
        </is>
      </c>
      <c r="P235" t="inlineStr">
        <is>
          <t>ncu</t>
        </is>
      </c>
      <c r="R235" t="inlineStr">
        <is>
          <t xml:space="preserve">PS </t>
        </is>
      </c>
      <c r="S235" t="n">
        <v>7</v>
      </c>
      <c r="T235" t="n">
        <v>7</v>
      </c>
      <c r="U235" t="inlineStr">
        <is>
          <t>2005-11-09</t>
        </is>
      </c>
      <c r="V235" t="inlineStr">
        <is>
          <t>2005-11-09</t>
        </is>
      </c>
      <c r="W235" t="inlineStr">
        <is>
          <t>1991-12-11</t>
        </is>
      </c>
      <c r="X235" t="inlineStr">
        <is>
          <t>1991-12-11</t>
        </is>
      </c>
      <c r="Y235" t="n">
        <v>668</v>
      </c>
      <c r="Z235" t="n">
        <v>602</v>
      </c>
      <c r="AA235" t="n">
        <v>609</v>
      </c>
      <c r="AB235" t="n">
        <v>6</v>
      </c>
      <c r="AC235" t="n">
        <v>6</v>
      </c>
      <c r="AD235" t="n">
        <v>25</v>
      </c>
      <c r="AE235" t="n">
        <v>25</v>
      </c>
      <c r="AF235" t="n">
        <v>10</v>
      </c>
      <c r="AG235" t="n">
        <v>10</v>
      </c>
      <c r="AH235" t="n">
        <v>6</v>
      </c>
      <c r="AI235" t="n">
        <v>6</v>
      </c>
      <c r="AJ235" t="n">
        <v>12</v>
      </c>
      <c r="AK235" t="n">
        <v>12</v>
      </c>
      <c r="AL235" t="n">
        <v>3</v>
      </c>
      <c r="AM235" t="n">
        <v>3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HYPERLINK("http://catalog.hathitrust.org/Record/000808917","HathiTrust Record")</f>
        <v/>
      </c>
      <c r="AS235">
        <f>HYPERLINK("https://creighton-primo.hosted.exlibrisgroup.com/primo-explore/search?tab=default_tab&amp;search_scope=EVERYTHING&amp;vid=01CRU&amp;lang=en_US&amp;offset=0&amp;query=any,contains,991000930509702656","Catalog Record")</f>
        <v/>
      </c>
      <c r="AT235">
        <f>HYPERLINK("http://www.worldcat.org/oclc/14270707","WorldCat Record")</f>
        <v/>
      </c>
      <c r="AU235" t="inlineStr">
        <is>
          <t>286097897:eng</t>
        </is>
      </c>
      <c r="AV235" t="inlineStr">
        <is>
          <t>14270707</t>
        </is>
      </c>
      <c r="AW235" t="inlineStr">
        <is>
          <t>991000930509702656</t>
        </is>
      </c>
      <c r="AX235" t="inlineStr">
        <is>
          <t>991000930509702656</t>
        </is>
      </c>
      <c r="AY235" t="inlineStr">
        <is>
          <t>2262296240002656</t>
        </is>
      </c>
      <c r="AZ235" t="inlineStr">
        <is>
          <t>BOOK</t>
        </is>
      </c>
      <c r="BB235" t="inlineStr">
        <is>
          <t>9780822307495</t>
        </is>
      </c>
      <c r="BC235" t="inlineStr">
        <is>
          <t>32285000890482</t>
        </is>
      </c>
      <c r="BD235" t="inlineStr">
        <is>
          <t>893340015</t>
        </is>
      </c>
    </row>
    <row r="236">
      <c r="A236" t="inlineStr">
        <is>
          <t>No</t>
        </is>
      </c>
      <c r="B236" t="inlineStr">
        <is>
          <t>PS228.W37 W3 1982</t>
        </is>
      </c>
      <c r="C236" t="inlineStr">
        <is>
          <t>0                      PS 0228000W  37                 W  3           1982</t>
        </is>
      </c>
      <c r="D236" t="inlineStr">
        <is>
          <t>American war literature, 1914 to Vietnam / Jeffrey Walsh.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Walsh, Jeffrey.</t>
        </is>
      </c>
      <c r="L236" t="inlineStr">
        <is>
          <t>New York : St. Martin's Press, 1982.</t>
        </is>
      </c>
      <c r="M236" t="inlineStr">
        <is>
          <t>1982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PS </t>
        </is>
      </c>
      <c r="S236" t="n">
        <v>3</v>
      </c>
      <c r="T236" t="n">
        <v>3</v>
      </c>
      <c r="U236" t="inlineStr">
        <is>
          <t>2005-11-09</t>
        </is>
      </c>
      <c r="V236" t="inlineStr">
        <is>
          <t>2005-11-09</t>
        </is>
      </c>
      <c r="W236" t="inlineStr">
        <is>
          <t>1991-12-11</t>
        </is>
      </c>
      <c r="X236" t="inlineStr">
        <is>
          <t>1991-12-11</t>
        </is>
      </c>
      <c r="Y236" t="n">
        <v>951</v>
      </c>
      <c r="Z236" t="n">
        <v>888</v>
      </c>
      <c r="AA236" t="n">
        <v>919</v>
      </c>
      <c r="AB236" t="n">
        <v>5</v>
      </c>
      <c r="AC236" t="n">
        <v>6</v>
      </c>
      <c r="AD236" t="n">
        <v>31</v>
      </c>
      <c r="AE236" t="n">
        <v>35</v>
      </c>
      <c r="AF236" t="n">
        <v>14</v>
      </c>
      <c r="AG236" t="n">
        <v>15</v>
      </c>
      <c r="AH236" t="n">
        <v>7</v>
      </c>
      <c r="AI236" t="n">
        <v>8</v>
      </c>
      <c r="AJ236" t="n">
        <v>12</v>
      </c>
      <c r="AK236" t="n">
        <v>15</v>
      </c>
      <c r="AL236" t="n">
        <v>4</v>
      </c>
      <c r="AM236" t="n">
        <v>5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HYPERLINK("https://creighton-primo.hosted.exlibrisgroup.com/primo-explore/search?tab=default_tab&amp;search_scope=EVERYTHING&amp;vid=01CRU&amp;lang=en_US&amp;offset=0&amp;query=any,contains,991004845289702656","Catalog Record")</f>
        <v/>
      </c>
      <c r="AT236">
        <f>HYPERLINK("http://www.worldcat.org/oclc/5564002","WorldCat Record")</f>
        <v/>
      </c>
      <c r="AU236" t="inlineStr">
        <is>
          <t>441547:eng</t>
        </is>
      </c>
      <c r="AV236" t="inlineStr">
        <is>
          <t>5564002</t>
        </is>
      </c>
      <c r="AW236" t="inlineStr">
        <is>
          <t>991004845289702656</t>
        </is>
      </c>
      <c r="AX236" t="inlineStr">
        <is>
          <t>991004845289702656</t>
        </is>
      </c>
      <c r="AY236" t="inlineStr">
        <is>
          <t>2267862020002656</t>
        </is>
      </c>
      <c r="AZ236" t="inlineStr">
        <is>
          <t>BOOK</t>
        </is>
      </c>
      <c r="BB236" t="inlineStr">
        <is>
          <t>9780312031282</t>
        </is>
      </c>
      <c r="BC236" t="inlineStr">
        <is>
          <t>32285000890490</t>
        </is>
      </c>
      <c r="BD236" t="inlineStr">
        <is>
          <t>893889359</t>
        </is>
      </c>
    </row>
    <row r="237">
      <c r="A237" t="inlineStr">
        <is>
          <t>No</t>
        </is>
      </c>
      <c r="B237" t="inlineStr">
        <is>
          <t>PS228.W65 F46 1986</t>
        </is>
      </c>
      <c r="C237" t="inlineStr">
        <is>
          <t>0                      PS 0228000W  65                 F  46          1986</t>
        </is>
      </c>
      <c r="D237" t="inlineStr">
        <is>
          <t>The Female imagination and the modernist aesthetic / edited by Sandra M. Gilbert, Susan Gubar.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L237" t="inlineStr">
        <is>
          <t>New York : Gordon and Breach Science Publishers, c1986.</t>
        </is>
      </c>
      <c r="M237" t="inlineStr">
        <is>
          <t>1986</t>
        </is>
      </c>
      <c r="O237" t="inlineStr">
        <is>
          <t>eng</t>
        </is>
      </c>
      <c r="P237" t="inlineStr">
        <is>
          <t>nyu</t>
        </is>
      </c>
      <c r="Q237" t="inlineStr">
        <is>
          <t>Studies in gender and culture, 0889-3128 ; v. 1</t>
        </is>
      </c>
      <c r="R237" t="inlineStr">
        <is>
          <t xml:space="preserve">PS </t>
        </is>
      </c>
      <c r="S237" t="n">
        <v>5</v>
      </c>
      <c r="T237" t="n">
        <v>5</v>
      </c>
      <c r="U237" t="inlineStr">
        <is>
          <t>1999-11-02</t>
        </is>
      </c>
      <c r="V237" t="inlineStr">
        <is>
          <t>1999-11-02</t>
        </is>
      </c>
      <c r="W237" t="inlineStr">
        <is>
          <t>1990-03-13</t>
        </is>
      </c>
      <c r="X237" t="inlineStr">
        <is>
          <t>1990-03-13</t>
        </is>
      </c>
      <c r="Y237" t="n">
        <v>222</v>
      </c>
      <c r="Z237" t="n">
        <v>165</v>
      </c>
      <c r="AA237" t="n">
        <v>169</v>
      </c>
      <c r="AB237" t="n">
        <v>2</v>
      </c>
      <c r="AC237" t="n">
        <v>2</v>
      </c>
      <c r="AD237" t="n">
        <v>7</v>
      </c>
      <c r="AE237" t="n">
        <v>7</v>
      </c>
      <c r="AF237" t="n">
        <v>2</v>
      </c>
      <c r="AG237" t="n">
        <v>2</v>
      </c>
      <c r="AH237" t="n">
        <v>2</v>
      </c>
      <c r="AI237" t="n">
        <v>2</v>
      </c>
      <c r="AJ237" t="n">
        <v>4</v>
      </c>
      <c r="AK237" t="n">
        <v>4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HYPERLINK("http://catalog.hathitrust.org/Record/000902371","HathiTrust Record")</f>
        <v/>
      </c>
      <c r="AS237">
        <f>HYPERLINK("https://creighton-primo.hosted.exlibrisgroup.com/primo-explore/search?tab=default_tab&amp;search_scope=EVERYTHING&amp;vid=01CRU&amp;lang=en_US&amp;offset=0&amp;query=any,contains,991000918129702656","Catalog Record")</f>
        <v/>
      </c>
      <c r="AT237">
        <f>HYPERLINK("http://www.worldcat.org/oclc/14188137","WorldCat Record")</f>
        <v/>
      </c>
      <c r="AU237" t="inlineStr">
        <is>
          <t>353605124:eng</t>
        </is>
      </c>
      <c r="AV237" t="inlineStr">
        <is>
          <t>14188137</t>
        </is>
      </c>
      <c r="AW237" t="inlineStr">
        <is>
          <t>991000918129702656</t>
        </is>
      </c>
      <c r="AX237" t="inlineStr">
        <is>
          <t>991000918129702656</t>
        </is>
      </c>
      <c r="AY237" t="inlineStr">
        <is>
          <t>2261843480002656</t>
        </is>
      </c>
      <c r="AZ237" t="inlineStr">
        <is>
          <t>BOOK</t>
        </is>
      </c>
      <c r="BB237" t="inlineStr">
        <is>
          <t>9780677215808</t>
        </is>
      </c>
      <c r="BC237" t="inlineStr">
        <is>
          <t>32285000065580</t>
        </is>
      </c>
      <c r="BD237" t="inlineStr">
        <is>
          <t>893683862</t>
        </is>
      </c>
    </row>
    <row r="238">
      <c r="A238" t="inlineStr">
        <is>
          <t>No</t>
        </is>
      </c>
      <c r="B238" t="inlineStr">
        <is>
          <t>PS2330 .C65</t>
        </is>
      </c>
      <c r="C238" t="inlineStr">
        <is>
          <t>0                      PS 2330000C  65</t>
        </is>
      </c>
      <c r="D238" t="inlineStr">
        <is>
          <t>A bibliography of James Russell Lowell / Compiled by George Willis Cooke. --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Cooke, George Willis, 1848-1923.</t>
        </is>
      </c>
      <c r="L238" t="inlineStr">
        <is>
          <t>Boston : Milford House, [1972]</t>
        </is>
      </c>
      <c r="M238" t="inlineStr">
        <is>
          <t>1972</t>
        </is>
      </c>
      <c r="O238" t="inlineStr">
        <is>
          <t>eng</t>
        </is>
      </c>
      <c r="P238" t="inlineStr">
        <is>
          <t>mau</t>
        </is>
      </c>
      <c r="R238" t="inlineStr">
        <is>
          <t xml:space="preserve">PS </t>
        </is>
      </c>
      <c r="S238" t="n">
        <v>2</v>
      </c>
      <c r="T238" t="n">
        <v>2</v>
      </c>
      <c r="U238" t="inlineStr">
        <is>
          <t>2002-06-04</t>
        </is>
      </c>
      <c r="V238" t="inlineStr">
        <is>
          <t>2002-06-04</t>
        </is>
      </c>
      <c r="W238" t="inlineStr">
        <is>
          <t>1990-10-30</t>
        </is>
      </c>
      <c r="X238" t="inlineStr">
        <is>
          <t>1990-10-30</t>
        </is>
      </c>
      <c r="Y238" t="n">
        <v>76</v>
      </c>
      <c r="Z238" t="n">
        <v>64</v>
      </c>
      <c r="AA238" t="n">
        <v>250</v>
      </c>
      <c r="AB238" t="n">
        <v>2</v>
      </c>
      <c r="AC238" t="n">
        <v>3</v>
      </c>
      <c r="AD238" t="n">
        <v>2</v>
      </c>
      <c r="AE238" t="n">
        <v>9</v>
      </c>
      <c r="AF238" t="n">
        <v>1</v>
      </c>
      <c r="AG238" t="n">
        <v>1</v>
      </c>
      <c r="AH238" t="n">
        <v>0</v>
      </c>
      <c r="AI238" t="n">
        <v>5</v>
      </c>
      <c r="AJ238" t="n">
        <v>1</v>
      </c>
      <c r="AK238" t="n">
        <v>4</v>
      </c>
      <c r="AL238" t="n">
        <v>1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HYPERLINK("http://catalog.hathitrust.org/Record/000629537","HathiTrust Record")</f>
        <v/>
      </c>
      <c r="AS238">
        <f>HYPERLINK("https://creighton-primo.hosted.exlibrisgroup.com/primo-explore/search?tab=default_tab&amp;search_scope=EVERYTHING&amp;vid=01CRU&amp;lang=en_US&amp;offset=0&amp;query=any,contains,991002667899702656","Catalog Record")</f>
        <v/>
      </c>
      <c r="AT238">
        <f>HYPERLINK("http://www.worldcat.org/oclc/394154","WorldCat Record")</f>
        <v/>
      </c>
      <c r="AU238" t="inlineStr">
        <is>
          <t>1534975:eng</t>
        </is>
      </c>
      <c r="AV238" t="inlineStr">
        <is>
          <t>394154</t>
        </is>
      </c>
      <c r="AW238" t="inlineStr">
        <is>
          <t>991002667899702656</t>
        </is>
      </c>
      <c r="AX238" t="inlineStr">
        <is>
          <t>991002667899702656</t>
        </is>
      </c>
      <c r="AY238" t="inlineStr">
        <is>
          <t>2260083580002656</t>
        </is>
      </c>
      <c r="AZ238" t="inlineStr">
        <is>
          <t>BOOK</t>
        </is>
      </c>
      <c r="BB238" t="inlineStr">
        <is>
          <t>9780878211005</t>
        </is>
      </c>
      <c r="BC238" t="inlineStr">
        <is>
          <t>32285000364520</t>
        </is>
      </c>
      <c r="BD238" t="inlineStr">
        <is>
          <t>893323214</t>
        </is>
      </c>
    </row>
    <row r="239">
      <c r="A239" t="inlineStr">
        <is>
          <t>No</t>
        </is>
      </c>
      <c r="B239" t="inlineStr">
        <is>
          <t>PS2331 .M3</t>
        </is>
      </c>
      <c r="C239" t="inlineStr">
        <is>
          <t>0                      PS 2331000M  3</t>
        </is>
      </c>
      <c r="D239" t="inlineStr">
        <is>
          <t>James Russell Lowell.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McGlinchee, Claire, 1899-</t>
        </is>
      </c>
      <c r="L239" t="inlineStr">
        <is>
          <t>New York : Twayne Publishers, [1967]</t>
        </is>
      </c>
      <c r="M239" t="inlineStr">
        <is>
          <t>1967</t>
        </is>
      </c>
      <c r="O239" t="inlineStr">
        <is>
          <t>eng</t>
        </is>
      </c>
      <c r="P239" t="inlineStr">
        <is>
          <t>nyu</t>
        </is>
      </c>
      <c r="Q239" t="inlineStr">
        <is>
          <t>Twayne's United States authors series ; TUSAS 120</t>
        </is>
      </c>
      <c r="R239" t="inlineStr">
        <is>
          <t xml:space="preserve">PS </t>
        </is>
      </c>
      <c r="S239" t="n">
        <v>1</v>
      </c>
      <c r="T239" t="n">
        <v>1</v>
      </c>
      <c r="U239" t="inlineStr">
        <is>
          <t>2004-08-05</t>
        </is>
      </c>
      <c r="V239" t="inlineStr">
        <is>
          <t>2004-08-05</t>
        </is>
      </c>
      <c r="W239" t="inlineStr">
        <is>
          <t>1994-09-29</t>
        </is>
      </c>
      <c r="X239" t="inlineStr">
        <is>
          <t>1994-09-29</t>
        </is>
      </c>
      <c r="Y239" t="n">
        <v>1219</v>
      </c>
      <c r="Z239" t="n">
        <v>1110</v>
      </c>
      <c r="AA239" t="n">
        <v>1166</v>
      </c>
      <c r="AB239" t="n">
        <v>11</v>
      </c>
      <c r="AC239" t="n">
        <v>12</v>
      </c>
      <c r="AD239" t="n">
        <v>48</v>
      </c>
      <c r="AE239" t="n">
        <v>49</v>
      </c>
      <c r="AF239" t="n">
        <v>20</v>
      </c>
      <c r="AG239" t="n">
        <v>20</v>
      </c>
      <c r="AH239" t="n">
        <v>6</v>
      </c>
      <c r="AI239" t="n">
        <v>7</v>
      </c>
      <c r="AJ239" t="n">
        <v>21</v>
      </c>
      <c r="AK239" t="n">
        <v>22</v>
      </c>
      <c r="AL239" t="n">
        <v>10</v>
      </c>
      <c r="AM239" t="n">
        <v>10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HYPERLINK("http://catalog.hathitrust.org/Record/000737622","HathiTrust Record")</f>
        <v/>
      </c>
      <c r="AS239">
        <f>HYPERLINK("https://creighton-primo.hosted.exlibrisgroup.com/primo-explore/search?tab=default_tab&amp;search_scope=EVERYTHING&amp;vid=01CRU&amp;lang=en_US&amp;offset=0&amp;query=any,contains,991003071909702656","Catalog Record")</f>
        <v/>
      </c>
      <c r="AT239">
        <f>HYPERLINK("http://www.worldcat.org/oclc/626275","WorldCat Record")</f>
        <v/>
      </c>
      <c r="AU239" t="inlineStr">
        <is>
          <t>9621700287:eng</t>
        </is>
      </c>
      <c r="AV239" t="inlineStr">
        <is>
          <t>626275</t>
        </is>
      </c>
      <c r="AW239" t="inlineStr">
        <is>
          <t>991003071909702656</t>
        </is>
      </c>
      <c r="AX239" t="inlineStr">
        <is>
          <t>991003071909702656</t>
        </is>
      </c>
      <c r="AY239" t="inlineStr">
        <is>
          <t>2257287720002656</t>
        </is>
      </c>
      <c r="AZ239" t="inlineStr">
        <is>
          <t>BOOK</t>
        </is>
      </c>
      <c r="BC239" t="inlineStr">
        <is>
          <t>32285001952836</t>
        </is>
      </c>
      <c r="BD239" t="inlineStr">
        <is>
          <t>893717282</t>
        </is>
      </c>
    </row>
    <row r="240">
      <c r="A240" t="inlineStr">
        <is>
          <t>No</t>
        </is>
      </c>
      <c r="B240" t="inlineStr">
        <is>
          <t>PS2359 .M42 Z8 1968 V.2</t>
        </is>
      </c>
      <c r="C240" t="inlineStr">
        <is>
          <t>0                      PS 2359000M  42                 Z  8           1968                  V.2</t>
        </is>
      </c>
      <c r="D240" t="inlineStr">
        <is>
          <t>Epoch : the life of Steele MacKaye, genius of the theatre, in relation to his times &amp; contemporaries / a memoir by his son ; profusely illustrated. New York : Boni &amp; Liveright [c1927]</t>
        </is>
      </c>
      <c r="E240" t="inlineStr">
        <is>
          <t>V.2*</t>
        </is>
      </c>
      <c r="F240" t="inlineStr">
        <is>
          <t>Yes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MacKaye, Percy, 1875-1956.</t>
        </is>
      </c>
      <c r="L240" t="inlineStr">
        <is>
          <t>Grosse Pointe, Mich. : Scholarly Press, 1968.</t>
        </is>
      </c>
      <c r="M240" t="inlineStr">
        <is>
          <t>1968</t>
        </is>
      </c>
      <c r="O240" t="inlineStr">
        <is>
          <t>eng</t>
        </is>
      </c>
      <c r="P240" t="inlineStr">
        <is>
          <t>miu</t>
        </is>
      </c>
      <c r="R240" t="inlineStr">
        <is>
          <t xml:space="preserve">PS </t>
        </is>
      </c>
      <c r="S240" t="n">
        <v>1</v>
      </c>
      <c r="T240" t="n">
        <v>3</v>
      </c>
      <c r="U240" t="inlineStr">
        <is>
          <t>2005-12-06</t>
        </is>
      </c>
      <c r="V240" t="inlineStr">
        <is>
          <t>2005-12-06</t>
        </is>
      </c>
      <c r="W240" t="inlineStr">
        <is>
          <t>1990-10-30</t>
        </is>
      </c>
      <c r="X240" t="inlineStr">
        <is>
          <t>1990-10-30</t>
        </is>
      </c>
      <c r="Y240" t="n">
        <v>148</v>
      </c>
      <c r="Z240" t="n">
        <v>139</v>
      </c>
      <c r="AA240" t="n">
        <v>155</v>
      </c>
      <c r="AB240" t="n">
        <v>2</v>
      </c>
      <c r="AC240" t="n">
        <v>2</v>
      </c>
      <c r="AD240" t="n">
        <v>7</v>
      </c>
      <c r="AE240" t="n">
        <v>8</v>
      </c>
      <c r="AF240" t="n">
        <v>3</v>
      </c>
      <c r="AG240" t="n">
        <v>4</v>
      </c>
      <c r="AH240" t="n">
        <v>3</v>
      </c>
      <c r="AI240" t="n">
        <v>3</v>
      </c>
      <c r="AJ240" t="n">
        <v>3</v>
      </c>
      <c r="AK240" t="n">
        <v>3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HYPERLINK("http://catalog.hathitrust.org/Record/001374582","HathiTrust Record")</f>
        <v/>
      </c>
      <c r="AS240">
        <f>HYPERLINK("https://creighton-primo.hosted.exlibrisgroup.com/primo-explore/search?tab=default_tab&amp;search_scope=EVERYTHING&amp;vid=01CRU&amp;lang=en_US&amp;offset=0&amp;query=any,contains,991000010829702656","Catalog Record")</f>
        <v/>
      </c>
      <c r="AT240">
        <f>HYPERLINK("http://www.worldcat.org/oclc/14754","WorldCat Record")</f>
        <v/>
      </c>
      <c r="AU240" t="inlineStr">
        <is>
          <t>203281335:eng</t>
        </is>
      </c>
      <c r="AV240" t="inlineStr">
        <is>
          <t>14754</t>
        </is>
      </c>
      <c r="AW240" t="inlineStr">
        <is>
          <t>991000010829702656</t>
        </is>
      </c>
      <c r="AX240" t="inlineStr">
        <is>
          <t>991000010829702656</t>
        </is>
      </c>
      <c r="AY240" t="inlineStr">
        <is>
          <t>2265826430002656</t>
        </is>
      </c>
      <c r="AZ240" t="inlineStr">
        <is>
          <t>BOOK</t>
        </is>
      </c>
      <c r="BC240" t="inlineStr">
        <is>
          <t>32285000364546</t>
        </is>
      </c>
      <c r="BD240" t="inlineStr">
        <is>
          <t>893495821</t>
        </is>
      </c>
    </row>
    <row r="241">
      <c r="A241" t="inlineStr">
        <is>
          <t>No</t>
        </is>
      </c>
      <c r="B241" t="inlineStr">
        <is>
          <t>PS2359.M42 Z8 1968</t>
        </is>
      </c>
      <c r="C241" t="inlineStr">
        <is>
          <t>0                      PS 2359000M  42                 Z  8           1968</t>
        </is>
      </c>
      <c r="D241" t="inlineStr">
        <is>
          <t>Epoch : the life of Steele MacKaye, genius of the theatre, in relation to his times &amp; contemporaries / a memoir by his son ; profusely illustrated. New York : Boni &amp; Liveright [c1927]</t>
        </is>
      </c>
      <c r="F241" t="inlineStr">
        <is>
          <t>Yes</t>
        </is>
      </c>
      <c r="G241" t="inlineStr">
        <is>
          <t>1</t>
        </is>
      </c>
      <c r="H241" t="inlineStr">
        <is>
          <t>Yes</t>
        </is>
      </c>
      <c r="I241" t="inlineStr">
        <is>
          <t>No</t>
        </is>
      </c>
      <c r="J241" t="inlineStr">
        <is>
          <t>0</t>
        </is>
      </c>
      <c r="K241" t="inlineStr">
        <is>
          <t>MacKaye, Percy, 1875-1956.</t>
        </is>
      </c>
      <c r="L241" t="inlineStr">
        <is>
          <t>Grosse Pointe, Mich. : Scholarly Press, 1968.</t>
        </is>
      </c>
      <c r="M241" t="inlineStr">
        <is>
          <t>1968</t>
        </is>
      </c>
      <c r="O241" t="inlineStr">
        <is>
          <t>eng</t>
        </is>
      </c>
      <c r="P241" t="inlineStr">
        <is>
          <t>miu</t>
        </is>
      </c>
      <c r="R241" t="inlineStr">
        <is>
          <t xml:space="preserve">PS </t>
        </is>
      </c>
      <c r="S241" t="n">
        <v>2</v>
      </c>
      <c r="T241" t="n">
        <v>3</v>
      </c>
      <c r="U241" t="inlineStr">
        <is>
          <t>2005-12-06</t>
        </is>
      </c>
      <c r="V241" t="inlineStr">
        <is>
          <t>2005-12-06</t>
        </is>
      </c>
      <c r="W241" t="inlineStr">
        <is>
          <t>1990-10-30</t>
        </is>
      </c>
      <c r="X241" t="inlineStr">
        <is>
          <t>1990-10-30</t>
        </is>
      </c>
      <c r="Y241" t="n">
        <v>148</v>
      </c>
      <c r="Z241" t="n">
        <v>139</v>
      </c>
      <c r="AA241" t="n">
        <v>155</v>
      </c>
      <c r="AB241" t="n">
        <v>2</v>
      </c>
      <c r="AC241" t="n">
        <v>2</v>
      </c>
      <c r="AD241" t="n">
        <v>7</v>
      </c>
      <c r="AE241" t="n">
        <v>8</v>
      </c>
      <c r="AF241" t="n">
        <v>3</v>
      </c>
      <c r="AG241" t="n">
        <v>4</v>
      </c>
      <c r="AH241" t="n">
        <v>3</v>
      </c>
      <c r="AI241" t="n">
        <v>3</v>
      </c>
      <c r="AJ241" t="n">
        <v>3</v>
      </c>
      <c r="AK241" t="n">
        <v>3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HYPERLINK("http://catalog.hathitrust.org/Record/001374582","HathiTrust Record")</f>
        <v/>
      </c>
      <c r="AS241">
        <f>HYPERLINK("https://creighton-primo.hosted.exlibrisgroup.com/primo-explore/search?tab=default_tab&amp;search_scope=EVERYTHING&amp;vid=01CRU&amp;lang=en_US&amp;offset=0&amp;query=any,contains,991000010829702656","Catalog Record")</f>
        <v/>
      </c>
      <c r="AT241">
        <f>HYPERLINK("http://www.worldcat.org/oclc/14754","WorldCat Record")</f>
        <v/>
      </c>
      <c r="AU241" t="inlineStr">
        <is>
          <t>203281335:eng</t>
        </is>
      </c>
      <c r="AV241" t="inlineStr">
        <is>
          <t>14754</t>
        </is>
      </c>
      <c r="AW241" t="inlineStr">
        <is>
          <t>991000010829702656</t>
        </is>
      </c>
      <c r="AX241" t="inlineStr">
        <is>
          <t>991000010829702656</t>
        </is>
      </c>
      <c r="AY241" t="inlineStr">
        <is>
          <t>2265826430002656</t>
        </is>
      </c>
      <c r="AZ241" t="inlineStr">
        <is>
          <t>BOOK</t>
        </is>
      </c>
      <c r="BC241" t="inlineStr">
        <is>
          <t>32285000364538</t>
        </is>
      </c>
      <c r="BD241" t="inlineStr">
        <is>
          <t>893508421</t>
        </is>
      </c>
    </row>
    <row r="242">
      <c r="A242" t="inlineStr">
        <is>
          <t>No</t>
        </is>
      </c>
      <c r="B242" t="inlineStr">
        <is>
          <t>PS2384.C63 C66 1996</t>
        </is>
      </c>
      <c r="C242" t="inlineStr">
        <is>
          <t>0                      PS 2384000C  63                 C  66          1996</t>
        </is>
      </c>
      <c r="D242" t="inlineStr">
        <is>
          <t>Satirical apocalypse : an anatomy of Melville's The confidence-man / Jonathan A. Cook.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Cook, Jonathan A. (Jonathan Alexander), 1953-</t>
        </is>
      </c>
      <c r="L242" t="inlineStr">
        <is>
          <t>Westport, Conn. : Greenwood Press, 1996.</t>
        </is>
      </c>
      <c r="M242" t="inlineStr">
        <is>
          <t>1996</t>
        </is>
      </c>
      <c r="O242" t="inlineStr">
        <is>
          <t>eng</t>
        </is>
      </c>
      <c r="P242" t="inlineStr">
        <is>
          <t>ctu</t>
        </is>
      </c>
      <c r="Q242" t="inlineStr">
        <is>
          <t>Contributions to the study of world literature, 0738-9345 ; no. 67</t>
        </is>
      </c>
      <c r="R242" t="inlineStr">
        <is>
          <t xml:space="preserve">PS </t>
        </is>
      </c>
      <c r="S242" t="n">
        <v>2</v>
      </c>
      <c r="T242" t="n">
        <v>2</v>
      </c>
      <c r="U242" t="inlineStr">
        <is>
          <t>2001-12-14</t>
        </is>
      </c>
      <c r="V242" t="inlineStr">
        <is>
          <t>2001-12-14</t>
        </is>
      </c>
      <c r="W242" t="inlineStr">
        <is>
          <t>1998-09-17</t>
        </is>
      </c>
      <c r="X242" t="inlineStr">
        <is>
          <t>1998-09-17</t>
        </is>
      </c>
      <c r="Y242" t="n">
        <v>311</v>
      </c>
      <c r="Z242" t="n">
        <v>263</v>
      </c>
      <c r="AA242" t="n">
        <v>265</v>
      </c>
      <c r="AB242" t="n">
        <v>2</v>
      </c>
      <c r="AC242" t="n">
        <v>2</v>
      </c>
      <c r="AD242" t="n">
        <v>15</v>
      </c>
      <c r="AE242" t="n">
        <v>15</v>
      </c>
      <c r="AF242" t="n">
        <v>6</v>
      </c>
      <c r="AG242" t="n">
        <v>6</v>
      </c>
      <c r="AH242" t="n">
        <v>4</v>
      </c>
      <c r="AI242" t="n">
        <v>4</v>
      </c>
      <c r="AJ242" t="n">
        <v>9</v>
      </c>
      <c r="AK242" t="n">
        <v>9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HYPERLINK("http://catalog.hathitrust.org/Record/003075790","HathiTrust Record")</f>
        <v/>
      </c>
      <c r="AS242">
        <f>HYPERLINK("https://creighton-primo.hosted.exlibrisgroup.com/primo-explore/search?tab=default_tab&amp;search_scope=EVERYTHING&amp;vid=01CRU&amp;lang=en_US&amp;offset=0&amp;query=any,contains,991002557169702656","Catalog Record")</f>
        <v/>
      </c>
      <c r="AT242">
        <f>HYPERLINK("http://www.worldcat.org/oclc/33243932","WorldCat Record")</f>
        <v/>
      </c>
      <c r="AU242" t="inlineStr">
        <is>
          <t>40997069:eng</t>
        </is>
      </c>
      <c r="AV242" t="inlineStr">
        <is>
          <t>33243932</t>
        </is>
      </c>
      <c r="AW242" t="inlineStr">
        <is>
          <t>991002557169702656</t>
        </is>
      </c>
      <c r="AX242" t="inlineStr">
        <is>
          <t>991002557169702656</t>
        </is>
      </c>
      <c r="AY242" t="inlineStr">
        <is>
          <t>2255755100002656</t>
        </is>
      </c>
      <c r="AZ242" t="inlineStr">
        <is>
          <t>BOOK</t>
        </is>
      </c>
      <c r="BB242" t="inlineStr">
        <is>
          <t>9780313294044</t>
        </is>
      </c>
      <c r="BC242" t="inlineStr">
        <is>
          <t>32285003469235</t>
        </is>
      </c>
      <c r="BD242" t="inlineStr">
        <is>
          <t>893716608</t>
        </is>
      </c>
    </row>
    <row r="243">
      <c r="A243" t="inlineStr">
        <is>
          <t>No</t>
        </is>
      </c>
      <c r="B243" t="inlineStr">
        <is>
          <t>PS2384.M62 A66 1985</t>
        </is>
      </c>
      <c r="C243" t="inlineStr">
        <is>
          <t>0                      PS 2384000M  62                 A  66          1985</t>
        </is>
      </c>
      <c r="D243" t="inlineStr">
        <is>
          <t>Approaches to teaching Melville's Moby Dick / edited by Martin Bickman.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New York : Modern Language Association of America, 1985.</t>
        </is>
      </c>
      <c r="M243" t="inlineStr">
        <is>
          <t>1985</t>
        </is>
      </c>
      <c r="O243" t="inlineStr">
        <is>
          <t>eng</t>
        </is>
      </c>
      <c r="P243" t="inlineStr">
        <is>
          <t>nyu</t>
        </is>
      </c>
      <c r="Q243" t="inlineStr">
        <is>
          <t>Approaches to teaching masterpieces of world literature ; 8</t>
        </is>
      </c>
      <c r="R243" t="inlineStr">
        <is>
          <t xml:space="preserve">PS </t>
        </is>
      </c>
      <c r="S243" t="n">
        <v>5</v>
      </c>
      <c r="T243" t="n">
        <v>5</v>
      </c>
      <c r="U243" t="inlineStr">
        <is>
          <t>1996-07-12</t>
        </is>
      </c>
      <c r="V243" t="inlineStr">
        <is>
          <t>1996-07-12</t>
        </is>
      </c>
      <c r="W243" t="inlineStr">
        <is>
          <t>1990-10-30</t>
        </is>
      </c>
      <c r="X243" t="inlineStr">
        <is>
          <t>1990-10-30</t>
        </is>
      </c>
      <c r="Y243" t="n">
        <v>735</v>
      </c>
      <c r="Z243" t="n">
        <v>653</v>
      </c>
      <c r="AA243" t="n">
        <v>654</v>
      </c>
      <c r="AB243" t="n">
        <v>8</v>
      </c>
      <c r="AC243" t="n">
        <v>8</v>
      </c>
      <c r="AD243" t="n">
        <v>39</v>
      </c>
      <c r="AE243" t="n">
        <v>39</v>
      </c>
      <c r="AF243" t="n">
        <v>14</v>
      </c>
      <c r="AG243" t="n">
        <v>14</v>
      </c>
      <c r="AH243" t="n">
        <v>9</v>
      </c>
      <c r="AI243" t="n">
        <v>9</v>
      </c>
      <c r="AJ243" t="n">
        <v>16</v>
      </c>
      <c r="AK243" t="n">
        <v>16</v>
      </c>
      <c r="AL243" t="n">
        <v>7</v>
      </c>
      <c r="AM243" t="n">
        <v>7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HYPERLINK("https://creighton-primo.hosted.exlibrisgroup.com/primo-explore/search?tab=default_tab&amp;search_scope=EVERYTHING&amp;vid=01CRU&amp;lang=en_US&amp;offset=0&amp;query=any,contains,991000591739702656","Catalog Record")</f>
        <v/>
      </c>
      <c r="AT243">
        <f>HYPERLINK("http://www.worldcat.org/oclc/11785514","WorldCat Record")</f>
        <v/>
      </c>
      <c r="AU243" t="inlineStr">
        <is>
          <t>141364445:eng</t>
        </is>
      </c>
      <c r="AV243" t="inlineStr">
        <is>
          <t>11785514</t>
        </is>
      </c>
      <c r="AW243" t="inlineStr">
        <is>
          <t>991000591739702656</t>
        </is>
      </c>
      <c r="AX243" t="inlineStr">
        <is>
          <t>991000591739702656</t>
        </is>
      </c>
      <c r="AY243" t="inlineStr">
        <is>
          <t>2255684800002656</t>
        </is>
      </c>
      <c r="AZ243" t="inlineStr">
        <is>
          <t>BOOK</t>
        </is>
      </c>
      <c r="BB243" t="inlineStr">
        <is>
          <t>9780873524896</t>
        </is>
      </c>
      <c r="BC243" t="inlineStr">
        <is>
          <t>32285000364595</t>
        </is>
      </c>
      <c r="BD243" t="inlineStr">
        <is>
          <t>893903080</t>
        </is>
      </c>
    </row>
    <row r="244">
      <c r="A244" t="inlineStr">
        <is>
          <t>No</t>
        </is>
      </c>
      <c r="B244" t="inlineStr">
        <is>
          <t>PS2384.M62 H37</t>
        </is>
      </c>
      <c r="C244" t="inlineStr">
        <is>
          <t>0                      PS 2384000M  62                 H  37</t>
        </is>
      </c>
      <c r="D244" t="inlineStr">
        <is>
          <t>Moby-Dick and Calvinism : a world dismantled / T. Walter Herbert, Jr.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Herbert, T. Walter (Thomas Walter), 1938-</t>
        </is>
      </c>
      <c r="L244" t="inlineStr">
        <is>
          <t>New Brunswick, N.J. : Rutgers University Press, c1977.</t>
        </is>
      </c>
      <c r="M244" t="inlineStr">
        <is>
          <t>1977</t>
        </is>
      </c>
      <c r="O244" t="inlineStr">
        <is>
          <t>eng</t>
        </is>
      </c>
      <c r="P244" t="inlineStr">
        <is>
          <t>nju</t>
        </is>
      </c>
      <c r="R244" t="inlineStr">
        <is>
          <t xml:space="preserve">PS </t>
        </is>
      </c>
      <c r="S244" t="n">
        <v>3</v>
      </c>
      <c r="T244" t="n">
        <v>3</v>
      </c>
      <c r="U244" t="inlineStr">
        <is>
          <t>1997-10-09</t>
        </is>
      </c>
      <c r="V244" t="inlineStr">
        <is>
          <t>1997-10-09</t>
        </is>
      </c>
      <c r="W244" t="inlineStr">
        <is>
          <t>1997-05-20</t>
        </is>
      </c>
      <c r="X244" t="inlineStr">
        <is>
          <t>1997-05-20</t>
        </is>
      </c>
      <c r="Y244" t="n">
        <v>985</v>
      </c>
      <c r="Z244" t="n">
        <v>851</v>
      </c>
      <c r="AA244" t="n">
        <v>854</v>
      </c>
      <c r="AB244" t="n">
        <v>5</v>
      </c>
      <c r="AC244" t="n">
        <v>5</v>
      </c>
      <c r="AD244" t="n">
        <v>43</v>
      </c>
      <c r="AE244" t="n">
        <v>43</v>
      </c>
      <c r="AF244" t="n">
        <v>19</v>
      </c>
      <c r="AG244" t="n">
        <v>19</v>
      </c>
      <c r="AH244" t="n">
        <v>8</v>
      </c>
      <c r="AI244" t="n">
        <v>8</v>
      </c>
      <c r="AJ244" t="n">
        <v>22</v>
      </c>
      <c r="AK244" t="n">
        <v>22</v>
      </c>
      <c r="AL244" t="n">
        <v>4</v>
      </c>
      <c r="AM244" t="n">
        <v>4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HYPERLINK("http://catalog.hathitrust.org/Record/000169723","HathiTrust Record")</f>
        <v/>
      </c>
      <c r="AS244">
        <f>HYPERLINK("https://creighton-primo.hosted.exlibrisgroup.com/primo-explore/search?tab=default_tab&amp;search_scope=EVERYTHING&amp;vid=01CRU&amp;lang=en_US&amp;offset=0&amp;query=any,contains,991004202229702656","Catalog Record")</f>
        <v/>
      </c>
      <c r="AT244">
        <f>HYPERLINK("http://www.worldcat.org/oclc/2655698","WorldCat Record")</f>
        <v/>
      </c>
      <c r="AU244" t="inlineStr">
        <is>
          <t>222626056:eng</t>
        </is>
      </c>
      <c r="AV244" t="inlineStr">
        <is>
          <t>2655698</t>
        </is>
      </c>
      <c r="AW244" t="inlineStr">
        <is>
          <t>991004202229702656</t>
        </is>
      </c>
      <c r="AX244" t="inlineStr">
        <is>
          <t>991004202229702656</t>
        </is>
      </c>
      <c r="AY244" t="inlineStr">
        <is>
          <t>2256080920002656</t>
        </is>
      </c>
      <c r="AZ244" t="inlineStr">
        <is>
          <t>BOOK</t>
        </is>
      </c>
      <c r="BB244" t="inlineStr">
        <is>
          <t>9780813508290</t>
        </is>
      </c>
      <c r="BC244" t="inlineStr">
        <is>
          <t>32285002713690</t>
        </is>
      </c>
      <c r="BD244" t="inlineStr">
        <is>
          <t>893423504</t>
        </is>
      </c>
    </row>
    <row r="245">
      <c r="A245" t="inlineStr">
        <is>
          <t>No</t>
        </is>
      </c>
      <c r="B245" t="inlineStr">
        <is>
          <t>PS2384.M62 H4</t>
        </is>
      </c>
      <c r="C245" t="inlineStr">
        <is>
          <t>0                      PS 2384000M  62                 H  4</t>
        </is>
      </c>
      <c r="D245" t="inlineStr">
        <is>
          <t>Moby-Dick centennial essays / edited for the Melville Society, with an introd. by Tyrus Hillway and Luther S. Mansfield.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Hillway, Tyrus editor.</t>
        </is>
      </c>
      <c r="L245" t="inlineStr">
        <is>
          <t>Dallas : Southern Methodist University Press, c1953, 1965 printing.</t>
        </is>
      </c>
      <c r="M245" t="inlineStr">
        <is>
          <t>1953</t>
        </is>
      </c>
      <c r="O245" t="inlineStr">
        <is>
          <t>eng</t>
        </is>
      </c>
      <c r="P245" t="inlineStr">
        <is>
          <t>txu</t>
        </is>
      </c>
      <c r="R245" t="inlineStr">
        <is>
          <t xml:space="preserve">PS </t>
        </is>
      </c>
      <c r="S245" t="n">
        <v>1</v>
      </c>
      <c r="T245" t="n">
        <v>1</v>
      </c>
      <c r="U245" t="inlineStr">
        <is>
          <t>2001-03-18</t>
        </is>
      </c>
      <c r="V245" t="inlineStr">
        <is>
          <t>2001-03-18</t>
        </is>
      </c>
      <c r="W245" t="inlineStr">
        <is>
          <t>1990-06-06</t>
        </is>
      </c>
      <c r="X245" t="inlineStr">
        <is>
          <t>1990-06-06</t>
        </is>
      </c>
      <c r="Y245" t="n">
        <v>817</v>
      </c>
      <c r="Z245" t="n">
        <v>745</v>
      </c>
      <c r="AA245" t="n">
        <v>767</v>
      </c>
      <c r="AB245" t="n">
        <v>7</v>
      </c>
      <c r="AC245" t="n">
        <v>7</v>
      </c>
      <c r="AD245" t="n">
        <v>36</v>
      </c>
      <c r="AE245" t="n">
        <v>37</v>
      </c>
      <c r="AF245" t="n">
        <v>17</v>
      </c>
      <c r="AG245" t="n">
        <v>18</v>
      </c>
      <c r="AH245" t="n">
        <v>8</v>
      </c>
      <c r="AI245" t="n">
        <v>8</v>
      </c>
      <c r="AJ245" t="n">
        <v>17</v>
      </c>
      <c r="AK245" t="n">
        <v>17</v>
      </c>
      <c r="AL245" t="n">
        <v>6</v>
      </c>
      <c r="AM245" t="n">
        <v>6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R245">
        <f>HYPERLINK("http://catalog.hathitrust.org/Record/000632486","HathiTrust Record")</f>
        <v/>
      </c>
      <c r="AS245">
        <f>HYPERLINK("https://creighton-primo.hosted.exlibrisgroup.com/primo-explore/search?tab=default_tab&amp;search_scope=EVERYTHING&amp;vid=01CRU&amp;lang=en_US&amp;offset=0&amp;query=any,contains,991002172149702656","Catalog Record")</f>
        <v/>
      </c>
      <c r="AT245">
        <f>HYPERLINK("http://www.worldcat.org/oclc/277084","WorldCat Record")</f>
        <v/>
      </c>
      <c r="AU245" t="inlineStr">
        <is>
          <t>3855597457:eng</t>
        </is>
      </c>
      <c r="AV245" t="inlineStr">
        <is>
          <t>277084</t>
        </is>
      </c>
      <c r="AW245" t="inlineStr">
        <is>
          <t>991002172149702656</t>
        </is>
      </c>
      <c r="AX245" t="inlineStr">
        <is>
          <t>991002172149702656</t>
        </is>
      </c>
      <c r="AY245" t="inlineStr">
        <is>
          <t>2260729670002656</t>
        </is>
      </c>
      <c r="AZ245" t="inlineStr">
        <is>
          <t>BOOK</t>
        </is>
      </c>
      <c r="BC245" t="inlineStr">
        <is>
          <t>32285000176791</t>
        </is>
      </c>
      <c r="BD245" t="inlineStr">
        <is>
          <t>893903736</t>
        </is>
      </c>
    </row>
    <row r="246">
      <c r="A246" t="inlineStr">
        <is>
          <t>No</t>
        </is>
      </c>
      <c r="B246" t="inlineStr">
        <is>
          <t>PS2384.M62 O4</t>
        </is>
      </c>
      <c r="C246" t="inlineStr">
        <is>
          <t>0                      PS 2384000M  62                 O  4</t>
        </is>
      </c>
      <c r="D246" t="inlineStr">
        <is>
          <t>Call me Ishmael.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Olson, Charles, 1910-1970.</t>
        </is>
      </c>
      <c r="L246" t="inlineStr">
        <is>
          <t>New York, Reynal &amp; Hitchcock [1947]</t>
        </is>
      </c>
      <c r="M246" t="inlineStr">
        <is>
          <t>1947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PS </t>
        </is>
      </c>
      <c r="S246" t="n">
        <v>3</v>
      </c>
      <c r="T246" t="n">
        <v>3</v>
      </c>
      <c r="U246" t="inlineStr">
        <is>
          <t>2002-04-11</t>
        </is>
      </c>
      <c r="V246" t="inlineStr">
        <is>
          <t>2002-04-11</t>
        </is>
      </c>
      <c r="W246" t="inlineStr">
        <is>
          <t>1997-05-20</t>
        </is>
      </c>
      <c r="X246" t="inlineStr">
        <is>
          <t>1997-05-20</t>
        </is>
      </c>
      <c r="Y246" t="n">
        <v>376</v>
      </c>
      <c r="Z246" t="n">
        <v>349</v>
      </c>
      <c r="AA246" t="n">
        <v>1083</v>
      </c>
      <c r="AB246" t="n">
        <v>4</v>
      </c>
      <c r="AC246" t="n">
        <v>7</v>
      </c>
      <c r="AD246" t="n">
        <v>16</v>
      </c>
      <c r="AE246" t="n">
        <v>47</v>
      </c>
      <c r="AF246" t="n">
        <v>6</v>
      </c>
      <c r="AG246" t="n">
        <v>24</v>
      </c>
      <c r="AH246" t="n">
        <v>4</v>
      </c>
      <c r="AI246" t="n">
        <v>9</v>
      </c>
      <c r="AJ246" t="n">
        <v>9</v>
      </c>
      <c r="AK246" t="n">
        <v>20</v>
      </c>
      <c r="AL246" t="n">
        <v>3</v>
      </c>
      <c r="AM246" t="n">
        <v>6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HYPERLINK("https://creighton-primo.hosted.exlibrisgroup.com/primo-explore/search?tab=default_tab&amp;search_scope=EVERYTHING&amp;vid=01CRU&amp;lang=en_US&amp;offset=0&amp;query=any,contains,991004495029702656","Catalog Record")</f>
        <v/>
      </c>
      <c r="AT246">
        <f>HYPERLINK("http://www.worldcat.org/oclc/3690905","WorldCat Record")</f>
        <v/>
      </c>
      <c r="AU246" t="inlineStr">
        <is>
          <t>610438:eng</t>
        </is>
      </c>
      <c r="AV246" t="inlineStr">
        <is>
          <t>3690905</t>
        </is>
      </c>
      <c r="AW246" t="inlineStr">
        <is>
          <t>991004495029702656</t>
        </is>
      </c>
      <c r="AX246" t="inlineStr">
        <is>
          <t>991004495029702656</t>
        </is>
      </c>
      <c r="AY246" t="inlineStr">
        <is>
          <t>2258044000002656</t>
        </is>
      </c>
      <c r="AZ246" t="inlineStr">
        <is>
          <t>BOOK</t>
        </is>
      </c>
      <c r="BC246" t="inlineStr">
        <is>
          <t>32285002713708</t>
        </is>
      </c>
      <c r="BD246" t="inlineStr">
        <is>
          <t>893430124</t>
        </is>
      </c>
    </row>
    <row r="247">
      <c r="A247" t="inlineStr">
        <is>
          <t>No</t>
        </is>
      </c>
      <c r="B247" t="inlineStr">
        <is>
          <t>PS2384.T83 H4</t>
        </is>
      </c>
      <c r="C247" t="inlineStr">
        <is>
          <t>0                      PS 2384000T  83                 H  4</t>
        </is>
      </c>
      <c r="D247" t="inlineStr">
        <is>
          <t>Marquesan encounters : Melville and the meaning of civilization / T. Walter Herbert, Jr.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Herbert, T. Walter (Thomas Walter), 1938-</t>
        </is>
      </c>
      <c r="L247" t="inlineStr">
        <is>
          <t>Cambridge, Mass. : Harvard University Press, 1980.</t>
        </is>
      </c>
      <c r="M247" t="inlineStr">
        <is>
          <t>1980</t>
        </is>
      </c>
      <c r="O247" t="inlineStr">
        <is>
          <t>eng</t>
        </is>
      </c>
      <c r="P247" t="inlineStr">
        <is>
          <t>mau</t>
        </is>
      </c>
      <c r="R247" t="inlineStr">
        <is>
          <t xml:space="preserve">PS </t>
        </is>
      </c>
      <c r="S247" t="n">
        <v>2</v>
      </c>
      <c r="T247" t="n">
        <v>2</v>
      </c>
      <c r="U247" t="inlineStr">
        <is>
          <t>1995-03-28</t>
        </is>
      </c>
      <c r="V247" t="inlineStr">
        <is>
          <t>1995-03-28</t>
        </is>
      </c>
      <c r="W247" t="inlineStr">
        <is>
          <t>1990-10-30</t>
        </is>
      </c>
      <c r="X247" t="inlineStr">
        <is>
          <t>1990-10-30</t>
        </is>
      </c>
      <c r="Y247" t="n">
        <v>632</v>
      </c>
      <c r="Z247" t="n">
        <v>514</v>
      </c>
      <c r="AA247" t="n">
        <v>524</v>
      </c>
      <c r="AB247" t="n">
        <v>4</v>
      </c>
      <c r="AC247" t="n">
        <v>4</v>
      </c>
      <c r="AD247" t="n">
        <v>22</v>
      </c>
      <c r="AE247" t="n">
        <v>22</v>
      </c>
      <c r="AF247" t="n">
        <v>11</v>
      </c>
      <c r="AG247" t="n">
        <v>11</v>
      </c>
      <c r="AH247" t="n">
        <v>5</v>
      </c>
      <c r="AI247" t="n">
        <v>5</v>
      </c>
      <c r="AJ247" t="n">
        <v>11</v>
      </c>
      <c r="AK247" t="n">
        <v>11</v>
      </c>
      <c r="AL247" t="n">
        <v>3</v>
      </c>
      <c r="AM247" t="n">
        <v>3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HYPERLINK("http://catalog.hathitrust.org/Record/000127139","HathiTrust Record")</f>
        <v/>
      </c>
      <c r="AS247">
        <f>HYPERLINK("https://creighton-primo.hosted.exlibrisgroup.com/primo-explore/search?tab=default_tab&amp;search_scope=EVERYTHING&amp;vid=01CRU&amp;lang=en_US&amp;offset=0&amp;query=any,contains,991004960329702656","Catalog Record")</f>
        <v/>
      </c>
      <c r="AT247">
        <f>HYPERLINK("http://www.worldcat.org/oclc/6304591","WorldCat Record")</f>
        <v/>
      </c>
      <c r="AU247" t="inlineStr">
        <is>
          <t>865185653:eng</t>
        </is>
      </c>
      <c r="AV247" t="inlineStr">
        <is>
          <t>6304591</t>
        </is>
      </c>
      <c r="AW247" t="inlineStr">
        <is>
          <t>991004960329702656</t>
        </is>
      </c>
      <c r="AX247" t="inlineStr">
        <is>
          <t>991004960329702656</t>
        </is>
      </c>
      <c r="AY247" t="inlineStr">
        <is>
          <t>2259176790002656</t>
        </is>
      </c>
      <c r="AZ247" t="inlineStr">
        <is>
          <t>BOOK</t>
        </is>
      </c>
      <c r="BB247" t="inlineStr">
        <is>
          <t>9780674550667</t>
        </is>
      </c>
      <c r="BC247" t="inlineStr">
        <is>
          <t>32285000364652</t>
        </is>
      </c>
      <c r="BD247" t="inlineStr">
        <is>
          <t>893436964</t>
        </is>
      </c>
    </row>
    <row r="248">
      <c r="A248" t="inlineStr">
        <is>
          <t>No</t>
        </is>
      </c>
      <c r="B248" t="inlineStr">
        <is>
          <t>PS2386 .J3</t>
        </is>
      </c>
      <c r="C248" t="inlineStr">
        <is>
          <t>0                      PS 2386000J  3</t>
        </is>
      </c>
      <c r="D248" t="inlineStr">
        <is>
          <t>Mariners, renegades, and castaways; the story of Herman Melville and the world we live in.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James, C. L. R. (Cyril Lionel Robert), 1901-1989.</t>
        </is>
      </c>
      <c r="M248" t="inlineStr">
        <is>
          <t>1953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PS </t>
        </is>
      </c>
      <c r="S248" t="n">
        <v>0</v>
      </c>
      <c r="T248" t="n">
        <v>0</v>
      </c>
      <c r="U248" t="inlineStr">
        <is>
          <t>2003-11-14</t>
        </is>
      </c>
      <c r="V248" t="inlineStr">
        <is>
          <t>2003-11-14</t>
        </is>
      </c>
      <c r="W248" t="inlineStr">
        <is>
          <t>1997-05-20</t>
        </is>
      </c>
      <c r="X248" t="inlineStr">
        <is>
          <t>1997-05-20</t>
        </is>
      </c>
      <c r="Y248" t="n">
        <v>273</v>
      </c>
      <c r="Z248" t="n">
        <v>245</v>
      </c>
      <c r="AA248" t="n">
        <v>509</v>
      </c>
      <c r="AB248" t="n">
        <v>1</v>
      </c>
      <c r="AC248" t="n">
        <v>2</v>
      </c>
      <c r="AD248" t="n">
        <v>6</v>
      </c>
      <c r="AE248" t="n">
        <v>24</v>
      </c>
      <c r="AF248" t="n">
        <v>0</v>
      </c>
      <c r="AG248" t="n">
        <v>9</v>
      </c>
      <c r="AH248" t="n">
        <v>3</v>
      </c>
      <c r="AI248" t="n">
        <v>7</v>
      </c>
      <c r="AJ248" t="n">
        <v>5</v>
      </c>
      <c r="AK248" t="n">
        <v>15</v>
      </c>
      <c r="AL248" t="n">
        <v>0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HYPERLINK("http://catalog.hathitrust.org/Record/000634773","HathiTrust Record")</f>
        <v/>
      </c>
      <c r="AS248">
        <f>HYPERLINK("https://creighton-primo.hosted.exlibrisgroup.com/primo-explore/search?tab=default_tab&amp;search_scope=EVERYTHING&amp;vid=01CRU&amp;lang=en_US&amp;offset=0&amp;query=any,contains,991003904939702656","Catalog Record")</f>
        <v/>
      </c>
      <c r="AT248">
        <f>HYPERLINK("http://www.worldcat.org/oclc/1834975","WorldCat Record")</f>
        <v/>
      </c>
      <c r="AU248" t="inlineStr">
        <is>
          <t>197459284:eng</t>
        </is>
      </c>
      <c r="AV248" t="inlineStr">
        <is>
          <t>1834975</t>
        </is>
      </c>
      <c r="AW248" t="inlineStr">
        <is>
          <t>991003904939702656</t>
        </is>
      </c>
      <c r="AX248" t="inlineStr">
        <is>
          <t>991003904939702656</t>
        </is>
      </c>
      <c r="AY248" t="inlineStr">
        <is>
          <t>2258596420002656</t>
        </is>
      </c>
      <c r="AZ248" t="inlineStr">
        <is>
          <t>BOOK</t>
        </is>
      </c>
      <c r="BC248" t="inlineStr">
        <is>
          <t>32285002713898</t>
        </is>
      </c>
      <c r="BD248" t="inlineStr">
        <is>
          <t>893900547</t>
        </is>
      </c>
    </row>
    <row r="249">
      <c r="A249" t="inlineStr">
        <is>
          <t>No</t>
        </is>
      </c>
      <c r="B249" t="inlineStr">
        <is>
          <t>PS2386 .M46 1970</t>
        </is>
      </c>
      <c r="C249" t="inlineStr">
        <is>
          <t>0                      PS 2386000M  46          1970</t>
        </is>
      </c>
      <c r="D249" t="inlineStr">
        <is>
          <t>Herman Melville; cycle and epicycle.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Metcalf, Eleanor Melville, 1882-1964.</t>
        </is>
      </c>
      <c r="L249" t="inlineStr">
        <is>
          <t>Westport, Conn., Greenwood Press [1970, c1953]</t>
        </is>
      </c>
      <c r="M249" t="inlineStr">
        <is>
          <t>1970</t>
        </is>
      </c>
      <c r="O249" t="inlineStr">
        <is>
          <t>eng</t>
        </is>
      </c>
      <c r="P249" t="inlineStr">
        <is>
          <t>ctu</t>
        </is>
      </c>
      <c r="R249" t="inlineStr">
        <is>
          <t xml:space="preserve">PS </t>
        </is>
      </c>
      <c r="S249" t="n">
        <v>1</v>
      </c>
      <c r="T249" t="n">
        <v>1</v>
      </c>
      <c r="U249" t="inlineStr">
        <is>
          <t>2001-03-22</t>
        </is>
      </c>
      <c r="V249" t="inlineStr">
        <is>
          <t>2001-03-22</t>
        </is>
      </c>
      <c r="W249" t="inlineStr">
        <is>
          <t>1997-05-20</t>
        </is>
      </c>
      <c r="X249" t="inlineStr">
        <is>
          <t>1997-05-20</t>
        </is>
      </c>
      <c r="Y249" t="n">
        <v>221</v>
      </c>
      <c r="Z249" t="n">
        <v>183</v>
      </c>
      <c r="AA249" t="n">
        <v>835</v>
      </c>
      <c r="AB249" t="n">
        <v>2</v>
      </c>
      <c r="AC249" t="n">
        <v>7</v>
      </c>
      <c r="AD249" t="n">
        <v>7</v>
      </c>
      <c r="AE249" t="n">
        <v>41</v>
      </c>
      <c r="AF249" t="n">
        <v>4</v>
      </c>
      <c r="AG249" t="n">
        <v>18</v>
      </c>
      <c r="AH249" t="n">
        <v>2</v>
      </c>
      <c r="AI249" t="n">
        <v>7</v>
      </c>
      <c r="AJ249" t="n">
        <v>4</v>
      </c>
      <c r="AK249" t="n">
        <v>23</v>
      </c>
      <c r="AL249" t="n">
        <v>0</v>
      </c>
      <c r="AM249" t="n">
        <v>5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HYPERLINK("https://creighton-primo.hosted.exlibrisgroup.com/primo-explore/search?tab=default_tab&amp;search_scope=EVERYTHING&amp;vid=01CRU&amp;lang=en_US&amp;offset=0&amp;query=any,contains,991000632739702656","Catalog Record")</f>
        <v/>
      </c>
      <c r="AT249">
        <f>HYPERLINK("http://www.worldcat.org/oclc/106386","WorldCat Record")</f>
        <v/>
      </c>
      <c r="AU249" t="inlineStr">
        <is>
          <t>2255584515:eng</t>
        </is>
      </c>
      <c r="AV249" t="inlineStr">
        <is>
          <t>106386</t>
        </is>
      </c>
      <c r="AW249" t="inlineStr">
        <is>
          <t>991000632739702656</t>
        </is>
      </c>
      <c r="AX249" t="inlineStr">
        <is>
          <t>991000632739702656</t>
        </is>
      </c>
      <c r="AY249" t="inlineStr">
        <is>
          <t>2263924310002656</t>
        </is>
      </c>
      <c r="AZ249" t="inlineStr">
        <is>
          <t>BOOK</t>
        </is>
      </c>
      <c r="BB249" t="inlineStr">
        <is>
          <t>9780837133409</t>
        </is>
      </c>
      <c r="BC249" t="inlineStr">
        <is>
          <t>32285002713922</t>
        </is>
      </c>
      <c r="BD249" t="inlineStr">
        <is>
          <t>893339740</t>
        </is>
      </c>
    </row>
    <row r="250">
      <c r="A250" t="inlineStr">
        <is>
          <t>No</t>
        </is>
      </c>
      <c r="B250" t="inlineStr">
        <is>
          <t>PS2386 .W4</t>
        </is>
      </c>
      <c r="C250" t="inlineStr">
        <is>
          <t>0                      PS 2386000W  4</t>
        </is>
      </c>
      <c r="D250" t="inlineStr">
        <is>
          <t>Herman Melville, mariner and mystic / by Raymond Weaver.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Weaver, Raymond M. (Raymond Melbourne), 1888-1948.</t>
        </is>
      </c>
      <c r="L250" t="inlineStr">
        <is>
          <t>New York : George H. Doran Co., [c1921]</t>
        </is>
      </c>
      <c r="M250" t="inlineStr">
        <is>
          <t>1921</t>
        </is>
      </c>
      <c r="O250" t="inlineStr">
        <is>
          <t>eng</t>
        </is>
      </c>
      <c r="P250" t="inlineStr">
        <is>
          <t>nyu</t>
        </is>
      </c>
      <c r="R250" t="inlineStr">
        <is>
          <t xml:space="preserve">PS </t>
        </is>
      </c>
      <c r="S250" t="n">
        <v>2</v>
      </c>
      <c r="T250" t="n">
        <v>2</v>
      </c>
      <c r="U250" t="inlineStr">
        <is>
          <t>1995-03-28</t>
        </is>
      </c>
      <c r="V250" t="inlineStr">
        <is>
          <t>1995-03-28</t>
        </is>
      </c>
      <c r="W250" t="inlineStr">
        <is>
          <t>1991-02-04</t>
        </is>
      </c>
      <c r="X250" t="inlineStr">
        <is>
          <t>1991-02-04</t>
        </is>
      </c>
      <c r="Y250" t="n">
        <v>445</v>
      </c>
      <c r="Z250" t="n">
        <v>407</v>
      </c>
      <c r="AA250" t="n">
        <v>1146</v>
      </c>
      <c r="AB250" t="n">
        <v>2</v>
      </c>
      <c r="AC250" t="n">
        <v>11</v>
      </c>
      <c r="AD250" t="n">
        <v>18</v>
      </c>
      <c r="AE250" t="n">
        <v>46</v>
      </c>
      <c r="AF250" t="n">
        <v>5</v>
      </c>
      <c r="AG250" t="n">
        <v>19</v>
      </c>
      <c r="AH250" t="n">
        <v>6</v>
      </c>
      <c r="AI250" t="n">
        <v>8</v>
      </c>
      <c r="AJ250" t="n">
        <v>13</v>
      </c>
      <c r="AK250" t="n">
        <v>20</v>
      </c>
      <c r="AL250" t="n">
        <v>1</v>
      </c>
      <c r="AM250" t="n">
        <v>9</v>
      </c>
      <c r="AN250" t="n">
        <v>0</v>
      </c>
      <c r="AO250" t="n">
        <v>0</v>
      </c>
      <c r="AP250" t="inlineStr">
        <is>
          <t>Yes</t>
        </is>
      </c>
      <c r="AQ250" t="inlineStr">
        <is>
          <t>No</t>
        </is>
      </c>
      <c r="AR250">
        <f>HYPERLINK("http://catalog.hathitrust.org/Record/000632781","HathiTrust Record")</f>
        <v/>
      </c>
      <c r="AS250">
        <f>HYPERLINK("https://creighton-primo.hosted.exlibrisgroup.com/primo-explore/search?tab=default_tab&amp;search_scope=EVERYTHING&amp;vid=01CRU&amp;lang=en_US&amp;offset=0&amp;query=any,contains,991003208949702656","Catalog Record")</f>
        <v/>
      </c>
      <c r="AT250">
        <f>HYPERLINK("http://www.worldcat.org/oclc/734850","WorldCat Record")</f>
        <v/>
      </c>
      <c r="AU250" t="inlineStr">
        <is>
          <t>1405469:eng</t>
        </is>
      </c>
      <c r="AV250" t="inlineStr">
        <is>
          <t>734850</t>
        </is>
      </c>
      <c r="AW250" t="inlineStr">
        <is>
          <t>991003208949702656</t>
        </is>
      </c>
      <c r="AX250" t="inlineStr">
        <is>
          <t>991003208949702656</t>
        </is>
      </c>
      <c r="AY250" t="inlineStr">
        <is>
          <t>2259606840002656</t>
        </is>
      </c>
      <c r="AZ250" t="inlineStr">
        <is>
          <t>BOOK</t>
        </is>
      </c>
      <c r="BC250" t="inlineStr">
        <is>
          <t>32285000430693</t>
        </is>
      </c>
      <c r="BD250" t="inlineStr">
        <is>
          <t>893617097</t>
        </is>
      </c>
    </row>
    <row r="251">
      <c r="A251" t="inlineStr">
        <is>
          <t>No</t>
        </is>
      </c>
      <c r="B251" t="inlineStr">
        <is>
          <t>PS2387 .B6 1960</t>
        </is>
      </c>
      <c r="C251" t="inlineStr">
        <is>
          <t>0                      PS 2387000B  6           1960</t>
        </is>
      </c>
      <c r="D251" t="inlineStr">
        <is>
          <t>The long encounter; self and experience in the writings of Herman Melville.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Bowen, Merlin (Merlin Shelley), 1910-1999.</t>
        </is>
      </c>
      <c r="L251" t="inlineStr">
        <is>
          <t>[Chicago] University of Chicago Press [1960]</t>
        </is>
      </c>
      <c r="M251" t="inlineStr">
        <is>
          <t>1960</t>
        </is>
      </c>
      <c r="O251" t="inlineStr">
        <is>
          <t>eng</t>
        </is>
      </c>
      <c r="P251" t="inlineStr">
        <is>
          <t>ilu</t>
        </is>
      </c>
      <c r="R251" t="inlineStr">
        <is>
          <t xml:space="preserve">PS </t>
        </is>
      </c>
      <c r="S251" t="n">
        <v>5</v>
      </c>
      <c r="T251" t="n">
        <v>5</v>
      </c>
      <c r="U251" t="inlineStr">
        <is>
          <t>1999-12-09</t>
        </is>
      </c>
      <c r="V251" t="inlineStr">
        <is>
          <t>1999-12-09</t>
        </is>
      </c>
      <c r="W251" t="inlineStr">
        <is>
          <t>1997-05-20</t>
        </is>
      </c>
      <c r="X251" t="inlineStr">
        <is>
          <t>1997-05-20</t>
        </is>
      </c>
      <c r="Y251" t="n">
        <v>900</v>
      </c>
      <c r="Z251" t="n">
        <v>779</v>
      </c>
      <c r="AA251" t="n">
        <v>935</v>
      </c>
      <c r="AB251" t="n">
        <v>5</v>
      </c>
      <c r="AC251" t="n">
        <v>6</v>
      </c>
      <c r="AD251" t="n">
        <v>41</v>
      </c>
      <c r="AE251" t="n">
        <v>48</v>
      </c>
      <c r="AF251" t="n">
        <v>16</v>
      </c>
      <c r="AG251" t="n">
        <v>20</v>
      </c>
      <c r="AH251" t="n">
        <v>9</v>
      </c>
      <c r="AI251" t="n">
        <v>10</v>
      </c>
      <c r="AJ251" t="n">
        <v>21</v>
      </c>
      <c r="AK251" t="n">
        <v>23</v>
      </c>
      <c r="AL251" t="n">
        <v>4</v>
      </c>
      <c r="AM251" t="n">
        <v>5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HYPERLINK("https://creighton-primo.hosted.exlibrisgroup.com/primo-explore/search?tab=default_tab&amp;search_scope=EVERYTHING&amp;vid=01CRU&amp;lang=en_US&amp;offset=0&amp;query=any,contains,991004179429702656","Catalog Record")</f>
        <v/>
      </c>
      <c r="AT251">
        <f>HYPERLINK("http://www.worldcat.org/oclc/2600182","WorldCat Record")</f>
        <v/>
      </c>
      <c r="AU251" t="inlineStr">
        <is>
          <t>198873769:eng</t>
        </is>
      </c>
      <c r="AV251" t="inlineStr">
        <is>
          <t>2600182</t>
        </is>
      </c>
      <c r="AW251" t="inlineStr">
        <is>
          <t>991004179429702656</t>
        </is>
      </c>
      <c r="AX251" t="inlineStr">
        <is>
          <t>991004179429702656</t>
        </is>
      </c>
      <c r="AY251" t="inlineStr">
        <is>
          <t>2271024100002656</t>
        </is>
      </c>
      <c r="AZ251" t="inlineStr">
        <is>
          <t>BOOK</t>
        </is>
      </c>
      <c r="BC251" t="inlineStr">
        <is>
          <t>32285002713963</t>
        </is>
      </c>
      <c r="BD251" t="inlineStr">
        <is>
          <t>893687457</t>
        </is>
      </c>
    </row>
    <row r="252">
      <c r="A252" t="inlineStr">
        <is>
          <t>No</t>
        </is>
      </c>
      <c r="B252" t="inlineStr">
        <is>
          <t>PS2387 .B68</t>
        </is>
      </c>
      <c r="C252" t="inlineStr">
        <is>
          <t>0                      PS 2387000B  68</t>
        </is>
      </c>
      <c r="D252" t="inlineStr">
        <is>
          <t>Melville's angles of vision [by] A. Carl Bredahl, Jr.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Bredahl, A. Carl (Axel Carl), 1940-</t>
        </is>
      </c>
      <c r="L252" t="inlineStr">
        <is>
          <t>Gainesville, University of Florida Press, 1972.</t>
        </is>
      </c>
      <c r="M252" t="inlineStr">
        <is>
          <t>1972</t>
        </is>
      </c>
      <c r="O252" t="inlineStr">
        <is>
          <t>eng</t>
        </is>
      </c>
      <c r="P252" t="inlineStr">
        <is>
          <t>flu</t>
        </is>
      </c>
      <c r="Q252" t="inlineStr">
        <is>
          <t>University of Florida humanities monograph no. 37</t>
        </is>
      </c>
      <c r="R252" t="inlineStr">
        <is>
          <t xml:space="preserve">PS </t>
        </is>
      </c>
      <c r="S252" t="n">
        <v>3</v>
      </c>
      <c r="T252" t="n">
        <v>3</v>
      </c>
      <c r="U252" t="inlineStr">
        <is>
          <t>2000-10-30</t>
        </is>
      </c>
      <c r="V252" t="inlineStr">
        <is>
          <t>2000-10-30</t>
        </is>
      </c>
      <c r="W252" t="inlineStr">
        <is>
          <t>1997-05-20</t>
        </is>
      </c>
      <c r="X252" t="inlineStr">
        <is>
          <t>1997-05-20</t>
        </is>
      </c>
      <c r="Y252" t="n">
        <v>649</v>
      </c>
      <c r="Z252" t="n">
        <v>584</v>
      </c>
      <c r="AA252" t="n">
        <v>592</v>
      </c>
      <c r="AB252" t="n">
        <v>7</v>
      </c>
      <c r="AC252" t="n">
        <v>7</v>
      </c>
      <c r="AD252" t="n">
        <v>25</v>
      </c>
      <c r="AE252" t="n">
        <v>25</v>
      </c>
      <c r="AF252" t="n">
        <v>6</v>
      </c>
      <c r="AG252" t="n">
        <v>6</v>
      </c>
      <c r="AH252" t="n">
        <v>5</v>
      </c>
      <c r="AI252" t="n">
        <v>5</v>
      </c>
      <c r="AJ252" t="n">
        <v>12</v>
      </c>
      <c r="AK252" t="n">
        <v>12</v>
      </c>
      <c r="AL252" t="n">
        <v>6</v>
      </c>
      <c r="AM252" t="n">
        <v>6</v>
      </c>
      <c r="AN252" t="n">
        <v>0</v>
      </c>
      <c r="AO252" t="n">
        <v>0</v>
      </c>
      <c r="AP252" t="inlineStr">
        <is>
          <t>Yes</t>
        </is>
      </c>
      <c r="AQ252" t="inlineStr">
        <is>
          <t>No</t>
        </is>
      </c>
      <c r="AR252">
        <f>HYPERLINK("http://catalog.hathitrust.org/Record/100000157","HathiTrust Record")</f>
        <v/>
      </c>
      <c r="AS252">
        <f>HYPERLINK("https://creighton-primo.hosted.exlibrisgroup.com/primo-explore/search?tab=default_tab&amp;search_scope=EVERYTHING&amp;vid=01CRU&amp;lang=en_US&amp;offset=0&amp;query=any,contains,991002465099702656","Catalog Record")</f>
        <v/>
      </c>
      <c r="AT252">
        <f>HYPERLINK("http://www.worldcat.org/oclc/357357","WorldCat Record")</f>
        <v/>
      </c>
      <c r="AU252" t="inlineStr">
        <is>
          <t>473613:eng</t>
        </is>
      </c>
      <c r="AV252" t="inlineStr">
        <is>
          <t>357357</t>
        </is>
      </c>
      <c r="AW252" t="inlineStr">
        <is>
          <t>991002465099702656</t>
        </is>
      </c>
      <c r="AX252" t="inlineStr">
        <is>
          <t>991002465099702656</t>
        </is>
      </c>
      <c r="AY252" t="inlineStr">
        <is>
          <t>2263056450002656</t>
        </is>
      </c>
      <c r="AZ252" t="inlineStr">
        <is>
          <t>BOOK</t>
        </is>
      </c>
      <c r="BB252" t="inlineStr">
        <is>
          <t>9780813003511</t>
        </is>
      </c>
      <c r="BC252" t="inlineStr">
        <is>
          <t>32285002713989</t>
        </is>
      </c>
      <c r="BD252" t="inlineStr">
        <is>
          <t>893329113</t>
        </is>
      </c>
    </row>
    <row r="253">
      <c r="A253" t="inlineStr">
        <is>
          <t>No</t>
        </is>
      </c>
      <c r="B253" t="inlineStr">
        <is>
          <t>PS2387 .C45</t>
        </is>
      </c>
      <c r="C253" t="inlineStr">
        <is>
          <t>0                      PS 2387000C  45</t>
        </is>
      </c>
      <c r="D253" t="inlineStr">
        <is>
          <t>Melville : a collection of critical essays.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Chase, Richard Volney, 1914-1962 editor.</t>
        </is>
      </c>
      <c r="L253" t="inlineStr">
        <is>
          <t>Englewood Cliffs, N.J. : Prentice-Hall, [1962]</t>
        </is>
      </c>
      <c r="M253" t="inlineStr">
        <is>
          <t>1962</t>
        </is>
      </c>
      <c r="O253" t="inlineStr">
        <is>
          <t>eng</t>
        </is>
      </c>
      <c r="P253" t="inlineStr">
        <is>
          <t>nju</t>
        </is>
      </c>
      <c r="Q253" t="inlineStr">
        <is>
          <t>A Spectrum book, S-TC-13</t>
        </is>
      </c>
      <c r="R253" t="inlineStr">
        <is>
          <t xml:space="preserve">PS </t>
        </is>
      </c>
      <c r="S253" t="n">
        <v>3</v>
      </c>
      <c r="T253" t="n">
        <v>3</v>
      </c>
      <c r="U253" t="inlineStr">
        <is>
          <t>2000-10-30</t>
        </is>
      </c>
      <c r="V253" t="inlineStr">
        <is>
          <t>2000-10-30</t>
        </is>
      </c>
      <c r="W253" t="inlineStr">
        <is>
          <t>1999-10-07</t>
        </is>
      </c>
      <c r="X253" t="inlineStr">
        <is>
          <t>1999-10-07</t>
        </is>
      </c>
      <c r="Y253" t="n">
        <v>2404</v>
      </c>
      <c r="Z253" t="n">
        <v>2117</v>
      </c>
      <c r="AA253" t="n">
        <v>2129</v>
      </c>
      <c r="AB253" t="n">
        <v>16</v>
      </c>
      <c r="AC253" t="n">
        <v>16</v>
      </c>
      <c r="AD253" t="n">
        <v>58</v>
      </c>
      <c r="AE253" t="n">
        <v>58</v>
      </c>
      <c r="AF253" t="n">
        <v>23</v>
      </c>
      <c r="AG253" t="n">
        <v>23</v>
      </c>
      <c r="AH253" t="n">
        <v>9</v>
      </c>
      <c r="AI253" t="n">
        <v>9</v>
      </c>
      <c r="AJ253" t="n">
        <v>27</v>
      </c>
      <c r="AK253" t="n">
        <v>27</v>
      </c>
      <c r="AL253" t="n">
        <v>12</v>
      </c>
      <c r="AM253" t="n">
        <v>12</v>
      </c>
      <c r="AN253" t="n">
        <v>0</v>
      </c>
      <c r="AO253" t="n">
        <v>0</v>
      </c>
      <c r="AP253" t="inlineStr">
        <is>
          <t>No</t>
        </is>
      </c>
      <c r="AQ253" t="inlineStr">
        <is>
          <t>No</t>
        </is>
      </c>
      <c r="AR253">
        <f>HYPERLINK("http://catalog.hathitrust.org/Record/000630847","HathiTrust Record")</f>
        <v/>
      </c>
      <c r="AS253">
        <f>HYPERLINK("https://creighton-primo.hosted.exlibrisgroup.com/primo-explore/search?tab=default_tab&amp;search_scope=EVERYTHING&amp;vid=01CRU&amp;lang=en_US&amp;offset=0&amp;query=any,contains,991001006649702656","Catalog Record")</f>
        <v/>
      </c>
      <c r="AT253">
        <f>HYPERLINK("http://www.worldcat.org/oclc/172778","WorldCat Record")</f>
        <v/>
      </c>
      <c r="AU253" t="inlineStr">
        <is>
          <t>9415484110:eng</t>
        </is>
      </c>
      <c r="AV253" t="inlineStr">
        <is>
          <t>172778</t>
        </is>
      </c>
      <c r="AW253" t="inlineStr">
        <is>
          <t>991001006649702656</t>
        </is>
      </c>
      <c r="AX253" t="inlineStr">
        <is>
          <t>991001006649702656</t>
        </is>
      </c>
      <c r="AY253" t="inlineStr">
        <is>
          <t>2270232210002656</t>
        </is>
      </c>
      <c r="AZ253" t="inlineStr">
        <is>
          <t>BOOK</t>
        </is>
      </c>
      <c r="BC253" t="inlineStr">
        <is>
          <t>32285003593661</t>
        </is>
      </c>
      <c r="BD253" t="inlineStr">
        <is>
          <t>893878536</t>
        </is>
      </c>
    </row>
    <row r="254">
      <c r="A254" t="inlineStr">
        <is>
          <t>No</t>
        </is>
      </c>
      <c r="B254" t="inlineStr">
        <is>
          <t>PS2387 .M3</t>
        </is>
      </c>
      <c r="C254" t="inlineStr">
        <is>
          <t>0                      PS 2387000M  3</t>
        </is>
      </c>
      <c r="D254" t="inlineStr">
        <is>
          <t>The spirit above the dust : a study of Herman Melville / by Ronald Mason.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Mason, Ronald, 1912-2001.</t>
        </is>
      </c>
      <c r="L254" t="inlineStr">
        <is>
          <t>London : J. Lehmann, 1951.</t>
        </is>
      </c>
      <c r="M254" t="inlineStr">
        <is>
          <t>1951</t>
        </is>
      </c>
      <c r="O254" t="inlineStr">
        <is>
          <t>eng</t>
        </is>
      </c>
      <c r="P254" t="inlineStr">
        <is>
          <t>enk</t>
        </is>
      </c>
      <c r="R254" t="inlineStr">
        <is>
          <t xml:space="preserve">PS </t>
        </is>
      </c>
      <c r="S254" t="n">
        <v>1</v>
      </c>
      <c r="T254" t="n">
        <v>1</v>
      </c>
      <c r="U254" t="inlineStr">
        <is>
          <t>2001-12-14</t>
        </is>
      </c>
      <c r="V254" t="inlineStr">
        <is>
          <t>2001-12-14</t>
        </is>
      </c>
      <c r="W254" t="inlineStr">
        <is>
          <t>1999-10-07</t>
        </is>
      </c>
      <c r="X254" t="inlineStr">
        <is>
          <t>1999-10-07</t>
        </is>
      </c>
      <c r="Y254" t="n">
        <v>517</v>
      </c>
      <c r="Z254" t="n">
        <v>429</v>
      </c>
      <c r="AA254" t="n">
        <v>448</v>
      </c>
      <c r="AB254" t="n">
        <v>3</v>
      </c>
      <c r="AC254" t="n">
        <v>3</v>
      </c>
      <c r="AD254" t="n">
        <v>25</v>
      </c>
      <c r="AE254" t="n">
        <v>26</v>
      </c>
      <c r="AF254" t="n">
        <v>9</v>
      </c>
      <c r="AG254" t="n">
        <v>9</v>
      </c>
      <c r="AH254" t="n">
        <v>6</v>
      </c>
      <c r="AI254" t="n">
        <v>7</v>
      </c>
      <c r="AJ254" t="n">
        <v>17</v>
      </c>
      <c r="AK254" t="n">
        <v>18</v>
      </c>
      <c r="AL254" t="n">
        <v>2</v>
      </c>
      <c r="AM254" t="n">
        <v>2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HYPERLINK("http://catalog.hathitrust.org/Record/000630932","HathiTrust Record")</f>
        <v/>
      </c>
      <c r="AS254">
        <f>HYPERLINK("https://creighton-primo.hosted.exlibrisgroup.com/primo-explore/search?tab=default_tab&amp;search_scope=EVERYTHING&amp;vid=01CRU&amp;lang=en_US&amp;offset=0&amp;query=any,contains,991003244899702656","Catalog Record")</f>
        <v/>
      </c>
      <c r="AT254">
        <f>HYPERLINK("http://www.worldcat.org/oclc/767977","WorldCat Record")</f>
        <v/>
      </c>
      <c r="AU254" t="inlineStr">
        <is>
          <t>557146:eng</t>
        </is>
      </c>
      <c r="AV254" t="inlineStr">
        <is>
          <t>767977</t>
        </is>
      </c>
      <c r="AW254" t="inlineStr">
        <is>
          <t>991003244899702656</t>
        </is>
      </c>
      <c r="AX254" t="inlineStr">
        <is>
          <t>991003244899702656</t>
        </is>
      </c>
      <c r="AY254" t="inlineStr">
        <is>
          <t>2269497530002656</t>
        </is>
      </c>
      <c r="AZ254" t="inlineStr">
        <is>
          <t>BOOK</t>
        </is>
      </c>
      <c r="BB254" t="inlineStr">
        <is>
          <t>9780911858198</t>
        </is>
      </c>
      <c r="BC254" t="inlineStr">
        <is>
          <t>32285003593653</t>
        </is>
      </c>
      <c r="BD254" t="inlineStr">
        <is>
          <t>893793445</t>
        </is>
      </c>
    </row>
    <row r="255">
      <c r="A255" t="inlineStr">
        <is>
          <t>No</t>
        </is>
      </c>
      <c r="B255" t="inlineStr">
        <is>
          <t>PS2387 .M425 1997</t>
        </is>
      </c>
      <c r="C255" t="inlineStr">
        <is>
          <t>0                      PS 2387000M  425         1997</t>
        </is>
      </c>
      <c r="D255" t="inlineStr">
        <is>
          <t>Melville's evermoving dawn : centennial essays / edited by John Bryant and Robert Milder.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Kent, Ohio : Kent State University Press, c1997.</t>
        </is>
      </c>
      <c r="M255" t="inlineStr">
        <is>
          <t>1997</t>
        </is>
      </c>
      <c r="O255" t="inlineStr">
        <is>
          <t>eng</t>
        </is>
      </c>
      <c r="P255" t="inlineStr">
        <is>
          <t>ohu</t>
        </is>
      </c>
      <c r="R255" t="inlineStr">
        <is>
          <t xml:space="preserve">PS </t>
        </is>
      </c>
      <c r="S255" t="n">
        <v>4</v>
      </c>
      <c r="T255" t="n">
        <v>4</v>
      </c>
      <c r="U255" t="inlineStr">
        <is>
          <t>2001-01-10</t>
        </is>
      </c>
      <c r="V255" t="inlineStr">
        <is>
          <t>2001-01-10</t>
        </is>
      </c>
      <c r="W255" t="inlineStr">
        <is>
          <t>2001-01-10</t>
        </is>
      </c>
      <c r="X255" t="inlineStr">
        <is>
          <t>2001-01-10</t>
        </is>
      </c>
      <c r="Y255" t="n">
        <v>506</v>
      </c>
      <c r="Z255" t="n">
        <v>449</v>
      </c>
      <c r="AA255" t="n">
        <v>451</v>
      </c>
      <c r="AB255" t="n">
        <v>5</v>
      </c>
      <c r="AC255" t="n">
        <v>5</v>
      </c>
      <c r="AD255" t="n">
        <v>29</v>
      </c>
      <c r="AE255" t="n">
        <v>29</v>
      </c>
      <c r="AF255" t="n">
        <v>11</v>
      </c>
      <c r="AG255" t="n">
        <v>11</v>
      </c>
      <c r="AH255" t="n">
        <v>7</v>
      </c>
      <c r="AI255" t="n">
        <v>7</v>
      </c>
      <c r="AJ255" t="n">
        <v>16</v>
      </c>
      <c r="AK255" t="n">
        <v>16</v>
      </c>
      <c r="AL255" t="n">
        <v>4</v>
      </c>
      <c r="AM255" t="n">
        <v>4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HYPERLINK("http://catalog.hathitrust.org/Record/003946860","HathiTrust Record")</f>
        <v/>
      </c>
      <c r="AS255">
        <f>HYPERLINK("https://creighton-primo.hosted.exlibrisgroup.com/primo-explore/search?tab=default_tab&amp;search_scope=EVERYTHING&amp;vid=01CRU&amp;lang=en_US&amp;offset=0&amp;query=any,contains,991003323669702656","Catalog Record")</f>
        <v/>
      </c>
      <c r="AT255">
        <f>HYPERLINK("http://www.worldcat.org/oclc/35305201","WorldCat Record")</f>
        <v/>
      </c>
      <c r="AU255" t="inlineStr">
        <is>
          <t>890543027:eng</t>
        </is>
      </c>
      <c r="AV255" t="inlineStr">
        <is>
          <t>35305201</t>
        </is>
      </c>
      <c r="AW255" t="inlineStr">
        <is>
          <t>991003323669702656</t>
        </is>
      </c>
      <c r="AX255" t="inlineStr">
        <is>
          <t>991003323669702656</t>
        </is>
      </c>
      <c r="AY255" t="inlineStr">
        <is>
          <t>2270590990002656</t>
        </is>
      </c>
      <c r="AZ255" t="inlineStr">
        <is>
          <t>BOOK</t>
        </is>
      </c>
      <c r="BB255" t="inlineStr">
        <is>
          <t>9780873385626</t>
        </is>
      </c>
      <c r="BC255" t="inlineStr">
        <is>
          <t>32285004282413</t>
        </is>
      </c>
      <c r="BD255" t="inlineStr">
        <is>
          <t>893705120</t>
        </is>
      </c>
    </row>
    <row r="256">
      <c r="A256" t="inlineStr">
        <is>
          <t>No</t>
        </is>
      </c>
      <c r="B256" t="inlineStr">
        <is>
          <t>PS2387 .M5</t>
        </is>
      </c>
      <c r="C256" t="inlineStr">
        <is>
          <t>0                      PS 2387000M  5</t>
        </is>
      </c>
      <c r="D256" t="inlineStr">
        <is>
          <t>A reader's guide to Herman Melville.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Miller, James E. (James Edwin), 1920-2010.</t>
        </is>
      </c>
      <c r="L256" t="inlineStr">
        <is>
          <t>New York, Farrar, Straus and Cudahy [1962]</t>
        </is>
      </c>
      <c r="M256" t="inlineStr">
        <is>
          <t>1962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PS </t>
        </is>
      </c>
      <c r="S256" t="n">
        <v>5</v>
      </c>
      <c r="T256" t="n">
        <v>5</v>
      </c>
      <c r="U256" t="inlineStr">
        <is>
          <t>2005-12-15</t>
        </is>
      </c>
      <c r="V256" t="inlineStr">
        <is>
          <t>2005-12-15</t>
        </is>
      </c>
      <c r="W256" t="inlineStr">
        <is>
          <t>1997-05-20</t>
        </is>
      </c>
      <c r="X256" t="inlineStr">
        <is>
          <t>1997-05-20</t>
        </is>
      </c>
      <c r="Y256" t="n">
        <v>1074</v>
      </c>
      <c r="Z256" t="n">
        <v>1017</v>
      </c>
      <c r="AA256" t="n">
        <v>1097</v>
      </c>
      <c r="AB256" t="n">
        <v>10</v>
      </c>
      <c r="AC256" t="n">
        <v>10</v>
      </c>
      <c r="AD256" t="n">
        <v>37</v>
      </c>
      <c r="AE256" t="n">
        <v>41</v>
      </c>
      <c r="AF256" t="n">
        <v>13</v>
      </c>
      <c r="AG256" t="n">
        <v>15</v>
      </c>
      <c r="AH256" t="n">
        <v>6</v>
      </c>
      <c r="AI256" t="n">
        <v>7</v>
      </c>
      <c r="AJ256" t="n">
        <v>17</v>
      </c>
      <c r="AK256" t="n">
        <v>19</v>
      </c>
      <c r="AL256" t="n">
        <v>7</v>
      </c>
      <c r="AM256" t="n">
        <v>7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HYPERLINK("http://catalog.hathitrust.org/Record/000630939","HathiTrust Record")</f>
        <v/>
      </c>
      <c r="AS256">
        <f>HYPERLINK("https://creighton-primo.hosted.exlibrisgroup.com/primo-explore/search?tab=default_tab&amp;search_scope=EVERYTHING&amp;vid=01CRU&amp;lang=en_US&amp;offset=0&amp;query=any,contains,991002158859702656","Catalog Record")</f>
        <v/>
      </c>
      <c r="AT256">
        <f>HYPERLINK("http://www.worldcat.org/oclc/273484","WorldCat Record")</f>
        <v/>
      </c>
      <c r="AU256" t="inlineStr">
        <is>
          <t>451280:eng</t>
        </is>
      </c>
      <c r="AV256" t="inlineStr">
        <is>
          <t>273484</t>
        </is>
      </c>
      <c r="AW256" t="inlineStr">
        <is>
          <t>991002158859702656</t>
        </is>
      </c>
      <c r="AX256" t="inlineStr">
        <is>
          <t>991002158859702656</t>
        </is>
      </c>
      <c r="AY256" t="inlineStr">
        <is>
          <t>2262010460002656</t>
        </is>
      </c>
      <c r="AZ256" t="inlineStr">
        <is>
          <t>BOOK</t>
        </is>
      </c>
      <c r="BC256" t="inlineStr">
        <is>
          <t>32285002714052</t>
        </is>
      </c>
      <c r="BD256" t="inlineStr">
        <is>
          <t>893798247</t>
        </is>
      </c>
    </row>
    <row r="257">
      <c r="A257" t="inlineStr">
        <is>
          <t>No</t>
        </is>
      </c>
      <c r="B257" t="inlineStr">
        <is>
          <t>PS2387 .N5 1986</t>
        </is>
      </c>
      <c r="C257" t="inlineStr">
        <is>
          <t>0                      PS 2387000N  5           1986</t>
        </is>
      </c>
      <c r="D257" t="inlineStr">
        <is>
          <t>A reader's guide to the short stories of Herman Melville / Lea Bertani Vozar Newman.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Newman, Lea Bertani Vozar.</t>
        </is>
      </c>
      <c r="L257" t="inlineStr">
        <is>
          <t>Boston, Mass. : G.K. Hall, c1986.</t>
        </is>
      </c>
      <c r="M257" t="inlineStr">
        <is>
          <t>1986</t>
        </is>
      </c>
      <c r="O257" t="inlineStr">
        <is>
          <t>eng</t>
        </is>
      </c>
      <c r="P257" t="inlineStr">
        <is>
          <t>mau</t>
        </is>
      </c>
      <c r="Q257" t="inlineStr">
        <is>
          <t>A Reference publication in literature</t>
        </is>
      </c>
      <c r="R257" t="inlineStr">
        <is>
          <t xml:space="preserve">PS </t>
        </is>
      </c>
      <c r="S257" t="n">
        <v>5</v>
      </c>
      <c r="T257" t="n">
        <v>5</v>
      </c>
      <c r="U257" t="inlineStr">
        <is>
          <t>1993-12-03</t>
        </is>
      </c>
      <c r="V257" t="inlineStr">
        <is>
          <t>1993-12-03</t>
        </is>
      </c>
      <c r="W257" t="inlineStr">
        <is>
          <t>1990-10-30</t>
        </is>
      </c>
      <c r="X257" t="inlineStr">
        <is>
          <t>1990-10-30</t>
        </is>
      </c>
      <c r="Y257" t="n">
        <v>801</v>
      </c>
      <c r="Z257" t="n">
        <v>712</v>
      </c>
      <c r="AA257" t="n">
        <v>713</v>
      </c>
      <c r="AB257" t="n">
        <v>3</v>
      </c>
      <c r="AC257" t="n">
        <v>3</v>
      </c>
      <c r="AD257" t="n">
        <v>31</v>
      </c>
      <c r="AE257" t="n">
        <v>31</v>
      </c>
      <c r="AF257" t="n">
        <v>16</v>
      </c>
      <c r="AG257" t="n">
        <v>16</v>
      </c>
      <c r="AH257" t="n">
        <v>7</v>
      </c>
      <c r="AI257" t="n">
        <v>7</v>
      </c>
      <c r="AJ257" t="n">
        <v>15</v>
      </c>
      <c r="AK257" t="n">
        <v>15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HYPERLINK("http://catalog.hathitrust.org/Record/000489658","HathiTrust Record")</f>
        <v/>
      </c>
      <c r="AS257">
        <f>HYPERLINK("https://creighton-primo.hosted.exlibrisgroup.com/primo-explore/search?tab=default_tab&amp;search_scope=EVERYTHING&amp;vid=01CRU&amp;lang=en_US&amp;offset=0&amp;query=any,contains,991000874899702656","Catalog Record")</f>
        <v/>
      </c>
      <c r="AT257">
        <f>HYPERLINK("http://www.worldcat.org/oclc/13795925","WorldCat Record")</f>
        <v/>
      </c>
      <c r="AU257" t="inlineStr">
        <is>
          <t>348649749:eng</t>
        </is>
      </c>
      <c r="AV257" t="inlineStr">
        <is>
          <t>13795925</t>
        </is>
      </c>
      <c r="AW257" t="inlineStr">
        <is>
          <t>991000874899702656</t>
        </is>
      </c>
      <c r="AX257" t="inlineStr">
        <is>
          <t>991000874899702656</t>
        </is>
      </c>
      <c r="AY257" t="inlineStr">
        <is>
          <t>2269144850002656</t>
        </is>
      </c>
      <c r="AZ257" t="inlineStr">
        <is>
          <t>BOOK</t>
        </is>
      </c>
      <c r="BB257" t="inlineStr">
        <is>
          <t>9780816186532</t>
        </is>
      </c>
      <c r="BC257" t="inlineStr">
        <is>
          <t>32285000364710</t>
        </is>
      </c>
      <c r="BD257" t="inlineStr">
        <is>
          <t>893714973</t>
        </is>
      </c>
    </row>
    <row r="258">
      <c r="A258" t="inlineStr">
        <is>
          <t>No</t>
        </is>
      </c>
      <c r="B258" t="inlineStr">
        <is>
          <t>PS2387 .R66</t>
        </is>
      </c>
      <c r="C258" t="inlineStr">
        <is>
          <t>0                      PS 2387000R  66</t>
        </is>
      </c>
      <c r="D258" t="inlineStr">
        <is>
          <t>Critics on Melville / edited by Thomas J. Rountree.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Rountree, Thomas J., compiler.</t>
        </is>
      </c>
      <c r="L258" t="inlineStr">
        <is>
          <t>Coral Gables, Fla. : University of Miami Press, [1972]</t>
        </is>
      </c>
      <c r="M258" t="inlineStr">
        <is>
          <t>1972</t>
        </is>
      </c>
      <c r="O258" t="inlineStr">
        <is>
          <t>eng</t>
        </is>
      </c>
      <c r="P258" t="inlineStr">
        <is>
          <t>flu</t>
        </is>
      </c>
      <c r="Q258" t="inlineStr">
        <is>
          <t>Readings in literary criticism ; 12</t>
        </is>
      </c>
      <c r="R258" t="inlineStr">
        <is>
          <t xml:space="preserve">PS </t>
        </is>
      </c>
      <c r="S258" t="n">
        <v>2</v>
      </c>
      <c r="T258" t="n">
        <v>2</v>
      </c>
      <c r="U258" t="inlineStr">
        <is>
          <t>2000-10-30</t>
        </is>
      </c>
      <c r="V258" t="inlineStr">
        <is>
          <t>2000-10-30</t>
        </is>
      </c>
      <c r="W258" t="inlineStr">
        <is>
          <t>1990-04-04</t>
        </is>
      </c>
      <c r="X258" t="inlineStr">
        <is>
          <t>1990-04-04</t>
        </is>
      </c>
      <c r="Y258" t="n">
        <v>776</v>
      </c>
      <c r="Z258" t="n">
        <v>716</v>
      </c>
      <c r="AA258" t="n">
        <v>725</v>
      </c>
      <c r="AB258" t="n">
        <v>7</v>
      </c>
      <c r="AC258" t="n">
        <v>7</v>
      </c>
      <c r="AD258" t="n">
        <v>30</v>
      </c>
      <c r="AE258" t="n">
        <v>30</v>
      </c>
      <c r="AF258" t="n">
        <v>12</v>
      </c>
      <c r="AG258" t="n">
        <v>12</v>
      </c>
      <c r="AH258" t="n">
        <v>6</v>
      </c>
      <c r="AI258" t="n">
        <v>6</v>
      </c>
      <c r="AJ258" t="n">
        <v>16</v>
      </c>
      <c r="AK258" t="n">
        <v>16</v>
      </c>
      <c r="AL258" t="n">
        <v>6</v>
      </c>
      <c r="AM258" t="n">
        <v>6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HYPERLINK("http://catalog.hathitrust.org/Record/000630946","HathiTrust Record")</f>
        <v/>
      </c>
      <c r="AS258">
        <f>HYPERLINK("https://creighton-primo.hosted.exlibrisgroup.com/primo-explore/search?tab=default_tab&amp;search_scope=EVERYTHING&amp;vid=01CRU&amp;lang=en_US&amp;offset=0&amp;query=any,contains,991002456349702656","Catalog Record")</f>
        <v/>
      </c>
      <c r="AT258">
        <f>HYPERLINK("http://www.worldcat.org/oclc/354651","WorldCat Record")</f>
        <v/>
      </c>
      <c r="AU258" t="inlineStr">
        <is>
          <t>181109232:eng</t>
        </is>
      </c>
      <c r="AV258" t="inlineStr">
        <is>
          <t>354651</t>
        </is>
      </c>
      <c r="AW258" t="inlineStr">
        <is>
          <t>991002456349702656</t>
        </is>
      </c>
      <c r="AX258" t="inlineStr">
        <is>
          <t>991002456349702656</t>
        </is>
      </c>
      <c r="AY258" t="inlineStr">
        <is>
          <t>2266357640002656</t>
        </is>
      </c>
      <c r="AZ258" t="inlineStr">
        <is>
          <t>BOOK</t>
        </is>
      </c>
      <c r="BB258" t="inlineStr">
        <is>
          <t>9780870241932</t>
        </is>
      </c>
      <c r="BC258" t="inlineStr">
        <is>
          <t>32285000101856</t>
        </is>
      </c>
      <c r="BD258" t="inlineStr">
        <is>
          <t>893239073</t>
        </is>
      </c>
    </row>
    <row r="259">
      <c r="A259" t="inlineStr">
        <is>
          <t>No</t>
        </is>
      </c>
      <c r="B259" t="inlineStr">
        <is>
          <t>PS2387 .S43</t>
        </is>
      </c>
      <c r="C259" t="inlineStr">
        <is>
          <t>0                      PS 2387000S  43</t>
        </is>
      </c>
      <c r="D259" t="inlineStr">
        <is>
          <t>Melville: the ironic diagram [by] John Seelye.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Seelye, John, 1931-2015.</t>
        </is>
      </c>
      <c r="L259" t="inlineStr">
        <is>
          <t>Evanston, Northwestern University Press, 1970.</t>
        </is>
      </c>
      <c r="M259" t="inlineStr">
        <is>
          <t>1970</t>
        </is>
      </c>
      <c r="O259" t="inlineStr">
        <is>
          <t>eng</t>
        </is>
      </c>
      <c r="P259" t="inlineStr">
        <is>
          <t>ilu</t>
        </is>
      </c>
      <c r="R259" t="inlineStr">
        <is>
          <t xml:space="preserve">PS </t>
        </is>
      </c>
      <c r="S259" t="n">
        <v>1</v>
      </c>
      <c r="T259" t="n">
        <v>1</v>
      </c>
      <c r="U259" t="inlineStr">
        <is>
          <t>2000-10-30</t>
        </is>
      </c>
      <c r="V259" t="inlineStr">
        <is>
          <t>2000-10-30</t>
        </is>
      </c>
      <c r="W259" t="inlineStr">
        <is>
          <t>1997-05-20</t>
        </is>
      </c>
      <c r="X259" t="inlineStr">
        <is>
          <t>1997-05-20</t>
        </is>
      </c>
      <c r="Y259" t="n">
        <v>916</v>
      </c>
      <c r="Z259" t="n">
        <v>802</v>
      </c>
      <c r="AA259" t="n">
        <v>804</v>
      </c>
      <c r="AB259" t="n">
        <v>7</v>
      </c>
      <c r="AC259" t="n">
        <v>7</v>
      </c>
      <c r="AD259" t="n">
        <v>31</v>
      </c>
      <c r="AE259" t="n">
        <v>31</v>
      </c>
      <c r="AF259" t="n">
        <v>9</v>
      </c>
      <c r="AG259" t="n">
        <v>9</v>
      </c>
      <c r="AH259" t="n">
        <v>8</v>
      </c>
      <c r="AI259" t="n">
        <v>8</v>
      </c>
      <c r="AJ259" t="n">
        <v>15</v>
      </c>
      <c r="AK259" t="n">
        <v>15</v>
      </c>
      <c r="AL259" t="n">
        <v>6</v>
      </c>
      <c r="AM259" t="n">
        <v>6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HYPERLINK("http://catalog.hathitrust.org/Record/000630950","HathiTrust Record")</f>
        <v/>
      </c>
      <c r="AS259">
        <f>HYPERLINK("https://creighton-primo.hosted.exlibrisgroup.com/primo-explore/search?tab=default_tab&amp;search_scope=EVERYTHING&amp;vid=01CRU&amp;lang=en_US&amp;offset=0&amp;query=any,contains,991000454689702656","Catalog Record")</f>
        <v/>
      </c>
      <c r="AT259">
        <f>HYPERLINK("http://www.worldcat.org/oclc/77646","WorldCat Record")</f>
        <v/>
      </c>
      <c r="AU259" t="inlineStr">
        <is>
          <t>1253105:eng</t>
        </is>
      </c>
      <c r="AV259" t="inlineStr">
        <is>
          <t>77646</t>
        </is>
      </c>
      <c r="AW259" t="inlineStr">
        <is>
          <t>991000454689702656</t>
        </is>
      </c>
      <c r="AX259" t="inlineStr">
        <is>
          <t>991000454689702656</t>
        </is>
      </c>
      <c r="AY259" t="inlineStr">
        <is>
          <t>2256544430002656</t>
        </is>
      </c>
      <c r="AZ259" t="inlineStr">
        <is>
          <t>BOOK</t>
        </is>
      </c>
      <c r="BB259" t="inlineStr">
        <is>
          <t>9780810102774</t>
        </is>
      </c>
      <c r="BC259" t="inlineStr">
        <is>
          <t>32285002714094</t>
        </is>
      </c>
      <c r="BD259" t="inlineStr">
        <is>
          <t>893878051</t>
        </is>
      </c>
    </row>
    <row r="260">
      <c r="A260" t="inlineStr">
        <is>
          <t>No</t>
        </is>
      </c>
      <c r="B260" t="inlineStr">
        <is>
          <t>PS2388.M9 F7</t>
        </is>
      </c>
      <c r="C260" t="inlineStr">
        <is>
          <t>0                      PS 2388000M  9                  F  7</t>
        </is>
      </c>
      <c r="D260" t="inlineStr">
        <is>
          <t>The wake of the gods : Melville's mythology.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Franklin, H. Bruce (Howard Bruce), 1934-</t>
        </is>
      </c>
      <c r="L260" t="inlineStr">
        <is>
          <t>Stanford, Calif. : Stanford University Press, 1963.</t>
        </is>
      </c>
      <c r="M260" t="inlineStr">
        <is>
          <t>1963</t>
        </is>
      </c>
      <c r="O260" t="inlineStr">
        <is>
          <t>eng</t>
        </is>
      </c>
      <c r="P260" t="inlineStr">
        <is>
          <t>cau</t>
        </is>
      </c>
      <c r="R260" t="inlineStr">
        <is>
          <t xml:space="preserve">PS </t>
        </is>
      </c>
      <c r="S260" t="n">
        <v>2</v>
      </c>
      <c r="T260" t="n">
        <v>2</v>
      </c>
      <c r="U260" t="inlineStr">
        <is>
          <t>1993-12-16</t>
        </is>
      </c>
      <c r="V260" t="inlineStr">
        <is>
          <t>1993-12-16</t>
        </is>
      </c>
      <c r="W260" t="inlineStr">
        <is>
          <t>1991-09-18</t>
        </is>
      </c>
      <c r="X260" t="inlineStr">
        <is>
          <t>1991-09-18</t>
        </is>
      </c>
      <c r="Y260" t="n">
        <v>1116</v>
      </c>
      <c r="Z260" t="n">
        <v>992</v>
      </c>
      <c r="AA260" t="n">
        <v>1046</v>
      </c>
      <c r="AB260" t="n">
        <v>8</v>
      </c>
      <c r="AC260" t="n">
        <v>8</v>
      </c>
      <c r="AD260" t="n">
        <v>49</v>
      </c>
      <c r="AE260" t="n">
        <v>51</v>
      </c>
      <c r="AF260" t="n">
        <v>22</v>
      </c>
      <c r="AG260" t="n">
        <v>23</v>
      </c>
      <c r="AH260" t="n">
        <v>8</v>
      </c>
      <c r="AI260" t="n">
        <v>9</v>
      </c>
      <c r="AJ260" t="n">
        <v>23</v>
      </c>
      <c r="AK260" t="n">
        <v>24</v>
      </c>
      <c r="AL260" t="n">
        <v>7</v>
      </c>
      <c r="AM260" t="n">
        <v>7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HYPERLINK("https://creighton-primo.hosted.exlibrisgroup.com/primo-explore/search?tab=default_tab&amp;search_scope=EVERYTHING&amp;vid=01CRU&amp;lang=en_US&amp;offset=0&amp;query=any,contains,991002189689702656","Catalog Record")</f>
        <v/>
      </c>
      <c r="AT260">
        <f>HYPERLINK("http://www.worldcat.org/oclc/280889","WorldCat Record")</f>
        <v/>
      </c>
      <c r="AU260" t="inlineStr">
        <is>
          <t>1427956:eng</t>
        </is>
      </c>
      <c r="AV260" t="inlineStr">
        <is>
          <t>280889</t>
        </is>
      </c>
      <c r="AW260" t="inlineStr">
        <is>
          <t>991002189689702656</t>
        </is>
      </c>
      <c r="AX260" t="inlineStr">
        <is>
          <t>991002189689702656</t>
        </is>
      </c>
      <c r="AY260" t="inlineStr">
        <is>
          <t>2267779980002656</t>
        </is>
      </c>
      <c r="AZ260" t="inlineStr">
        <is>
          <t>BOOK</t>
        </is>
      </c>
      <c r="BC260" t="inlineStr">
        <is>
          <t>32285000758655</t>
        </is>
      </c>
      <c r="BD260" t="inlineStr">
        <is>
          <t>893250920</t>
        </is>
      </c>
    </row>
    <row r="261">
      <c r="A261" t="inlineStr">
        <is>
          <t>No</t>
        </is>
      </c>
      <c r="B261" t="inlineStr">
        <is>
          <t>PS2388.P6 F74 1995</t>
        </is>
      </c>
      <c r="C261" t="inlineStr">
        <is>
          <t>0                      PS 2388000P  6                  F  74          1995</t>
        </is>
      </c>
      <c r="D261" t="inlineStr">
        <is>
          <t>Melville's art of democracy / Nancy Fredricks.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Fredricks, Nancy.</t>
        </is>
      </c>
      <c r="L261" t="inlineStr">
        <is>
          <t>Athens : University of Georgia Press, c1995.</t>
        </is>
      </c>
      <c r="M261" t="inlineStr">
        <is>
          <t>1995</t>
        </is>
      </c>
      <c r="O261" t="inlineStr">
        <is>
          <t>eng</t>
        </is>
      </c>
      <c r="P261" t="inlineStr">
        <is>
          <t>gau</t>
        </is>
      </c>
      <c r="R261" t="inlineStr">
        <is>
          <t xml:space="preserve">PS </t>
        </is>
      </c>
      <c r="S261" t="n">
        <v>0</v>
      </c>
      <c r="T261" t="n">
        <v>0</v>
      </c>
      <c r="U261" t="inlineStr">
        <is>
          <t>2003-11-11</t>
        </is>
      </c>
      <c r="V261" t="inlineStr">
        <is>
          <t>2003-11-11</t>
        </is>
      </c>
      <c r="W261" t="inlineStr">
        <is>
          <t>1996-04-24</t>
        </is>
      </c>
      <c r="X261" t="inlineStr">
        <is>
          <t>1996-04-24</t>
        </is>
      </c>
      <c r="Y261" t="n">
        <v>369</v>
      </c>
      <c r="Z261" t="n">
        <v>321</v>
      </c>
      <c r="AA261" t="n">
        <v>321</v>
      </c>
      <c r="AB261" t="n">
        <v>3</v>
      </c>
      <c r="AC261" t="n">
        <v>3</v>
      </c>
      <c r="AD261" t="n">
        <v>18</v>
      </c>
      <c r="AE261" t="n">
        <v>18</v>
      </c>
      <c r="AF261" t="n">
        <v>5</v>
      </c>
      <c r="AG261" t="n">
        <v>5</v>
      </c>
      <c r="AH261" t="n">
        <v>6</v>
      </c>
      <c r="AI261" t="n">
        <v>6</v>
      </c>
      <c r="AJ261" t="n">
        <v>10</v>
      </c>
      <c r="AK261" t="n">
        <v>10</v>
      </c>
      <c r="AL261" t="n">
        <v>2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HYPERLINK("https://creighton-primo.hosted.exlibrisgroup.com/primo-explore/search?tab=default_tab&amp;search_scope=EVERYTHING&amp;vid=01CRU&amp;lang=en_US&amp;offset=0&amp;query=any,contains,991002325179702656","Catalog Record")</f>
        <v/>
      </c>
      <c r="AT261">
        <f>HYPERLINK("http://www.worldcat.org/oclc/30156345","WorldCat Record")</f>
        <v/>
      </c>
      <c r="AU261" t="inlineStr">
        <is>
          <t>31967204:eng</t>
        </is>
      </c>
      <c r="AV261" t="inlineStr">
        <is>
          <t>30156345</t>
        </is>
      </c>
      <c r="AW261" t="inlineStr">
        <is>
          <t>991002325179702656</t>
        </is>
      </c>
      <c r="AX261" t="inlineStr">
        <is>
          <t>991002325179702656</t>
        </is>
      </c>
      <c r="AY261" t="inlineStr">
        <is>
          <t>2266022610002656</t>
        </is>
      </c>
      <c r="AZ261" t="inlineStr">
        <is>
          <t>BOOK</t>
        </is>
      </c>
      <c r="BB261" t="inlineStr">
        <is>
          <t>9780820316826</t>
        </is>
      </c>
      <c r="BC261" t="inlineStr">
        <is>
          <t>32285002156858</t>
        </is>
      </c>
      <c r="BD261" t="inlineStr">
        <is>
          <t>893510597</t>
        </is>
      </c>
    </row>
    <row r="262">
      <c r="A262" t="inlineStr">
        <is>
          <t>No</t>
        </is>
      </c>
      <c r="B262" t="inlineStr">
        <is>
          <t>PS2388.R4 B7 1973</t>
        </is>
      </c>
      <c r="C262" t="inlineStr">
        <is>
          <t>0                      PS 2388000R  4                  B  7           1973</t>
        </is>
      </c>
      <c r="D262" t="inlineStr">
        <is>
          <t>Melville's religious thought : an essay in interpretation.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Braswell, William, 1907-</t>
        </is>
      </c>
      <c r="L262" t="inlineStr">
        <is>
          <t>New York : Octagon Books, 1973 [c1943]</t>
        </is>
      </c>
      <c r="M262" t="inlineStr">
        <is>
          <t>1973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PS </t>
        </is>
      </c>
      <c r="S262" t="n">
        <v>3</v>
      </c>
      <c r="T262" t="n">
        <v>3</v>
      </c>
      <c r="U262" t="inlineStr">
        <is>
          <t>2001-03-22</t>
        </is>
      </c>
      <c r="V262" t="inlineStr">
        <is>
          <t>2001-03-22</t>
        </is>
      </c>
      <c r="W262" t="inlineStr">
        <is>
          <t>1993-03-17</t>
        </is>
      </c>
      <c r="X262" t="inlineStr">
        <is>
          <t>1993-03-17</t>
        </is>
      </c>
      <c r="Y262" t="n">
        <v>342</v>
      </c>
      <c r="Z262" t="n">
        <v>310</v>
      </c>
      <c r="AA262" t="n">
        <v>861</v>
      </c>
      <c r="AB262" t="n">
        <v>3</v>
      </c>
      <c r="AC262" t="n">
        <v>7</v>
      </c>
      <c r="AD262" t="n">
        <v>12</v>
      </c>
      <c r="AE262" t="n">
        <v>41</v>
      </c>
      <c r="AF262" t="n">
        <v>4</v>
      </c>
      <c r="AG262" t="n">
        <v>20</v>
      </c>
      <c r="AH262" t="n">
        <v>4</v>
      </c>
      <c r="AI262" t="n">
        <v>8</v>
      </c>
      <c r="AJ262" t="n">
        <v>6</v>
      </c>
      <c r="AK262" t="n">
        <v>18</v>
      </c>
      <c r="AL262" t="n">
        <v>2</v>
      </c>
      <c r="AM262" t="n">
        <v>6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HYPERLINK("http://catalog.hathitrust.org/Record/102072643","HathiTrust Record")</f>
        <v/>
      </c>
      <c r="AS262">
        <f>HYPERLINK("https://creighton-primo.hosted.exlibrisgroup.com/primo-explore/search?tab=default_tab&amp;search_scope=EVERYTHING&amp;vid=01CRU&amp;lang=en_US&amp;offset=0&amp;query=any,contains,991002979359702656","Catalog Record")</f>
        <v/>
      </c>
      <c r="AT262">
        <f>HYPERLINK("http://www.worldcat.org/oclc/554144","WorldCat Record")</f>
        <v/>
      </c>
      <c r="AU262" t="inlineStr">
        <is>
          <t>1609906:eng</t>
        </is>
      </c>
      <c r="AV262" t="inlineStr">
        <is>
          <t>554144</t>
        </is>
      </c>
      <c r="AW262" t="inlineStr">
        <is>
          <t>991002979359702656</t>
        </is>
      </c>
      <c r="AX262" t="inlineStr">
        <is>
          <t>991002979359702656</t>
        </is>
      </c>
      <c r="AY262" t="inlineStr">
        <is>
          <t>2258572630002656</t>
        </is>
      </c>
      <c r="AZ262" t="inlineStr">
        <is>
          <t>BOOK</t>
        </is>
      </c>
      <c r="BB262" t="inlineStr">
        <is>
          <t>9780374909451</t>
        </is>
      </c>
      <c r="BC262" t="inlineStr">
        <is>
          <t>32285001574002</t>
        </is>
      </c>
      <c r="BD262" t="inlineStr">
        <is>
          <t>893434519</t>
        </is>
      </c>
    </row>
    <row r="263">
      <c r="A263" t="inlineStr">
        <is>
          <t>No</t>
        </is>
      </c>
      <c r="B263" t="inlineStr">
        <is>
          <t>PS2388.R4 T5</t>
        </is>
      </c>
      <c r="C263" t="inlineStr">
        <is>
          <t>0                      PS 2388000R  4                  T  5</t>
        </is>
      </c>
      <c r="D263" t="inlineStr">
        <is>
          <t>Melville's quarrel with God.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Thompson, Lawrance, 1906-1973.</t>
        </is>
      </c>
      <c r="L263" t="inlineStr">
        <is>
          <t>Princeton : Princeton University Press, 1952.</t>
        </is>
      </c>
      <c r="M263" t="inlineStr">
        <is>
          <t>1952</t>
        </is>
      </c>
      <c r="O263" t="inlineStr">
        <is>
          <t>eng</t>
        </is>
      </c>
      <c r="P263" t="inlineStr">
        <is>
          <t>nju</t>
        </is>
      </c>
      <c r="R263" t="inlineStr">
        <is>
          <t xml:space="preserve">PS </t>
        </is>
      </c>
      <c r="S263" t="n">
        <v>3</v>
      </c>
      <c r="T263" t="n">
        <v>3</v>
      </c>
      <c r="U263" t="inlineStr">
        <is>
          <t>2001-03-22</t>
        </is>
      </c>
      <c r="V263" t="inlineStr">
        <is>
          <t>2001-03-22</t>
        </is>
      </c>
      <c r="W263" t="inlineStr">
        <is>
          <t>1993-03-17</t>
        </is>
      </c>
      <c r="X263" t="inlineStr">
        <is>
          <t>1993-03-17</t>
        </is>
      </c>
      <c r="Y263" t="n">
        <v>1221</v>
      </c>
      <c r="Z263" t="n">
        <v>1076</v>
      </c>
      <c r="AA263" t="n">
        <v>1272</v>
      </c>
      <c r="AB263" t="n">
        <v>12</v>
      </c>
      <c r="AC263" t="n">
        <v>12</v>
      </c>
      <c r="AD263" t="n">
        <v>55</v>
      </c>
      <c r="AE263" t="n">
        <v>58</v>
      </c>
      <c r="AF263" t="n">
        <v>24</v>
      </c>
      <c r="AG263" t="n">
        <v>26</v>
      </c>
      <c r="AH263" t="n">
        <v>7</v>
      </c>
      <c r="AI263" t="n">
        <v>9</v>
      </c>
      <c r="AJ263" t="n">
        <v>26</v>
      </c>
      <c r="AK263" t="n">
        <v>26</v>
      </c>
      <c r="AL263" t="n">
        <v>11</v>
      </c>
      <c r="AM263" t="n">
        <v>11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HYPERLINK("https://creighton-primo.hosted.exlibrisgroup.com/primo-explore/search?tab=default_tab&amp;search_scope=EVERYTHING&amp;vid=01CRU&amp;lang=en_US&amp;offset=0&amp;query=any,contains,991002170009702656","Catalog Record")</f>
        <v/>
      </c>
      <c r="AT263">
        <f>HYPERLINK("http://www.worldcat.org/oclc/276441","WorldCat Record")</f>
        <v/>
      </c>
      <c r="AU263" t="inlineStr">
        <is>
          <t>10278500891:eng</t>
        </is>
      </c>
      <c r="AV263" t="inlineStr">
        <is>
          <t>276441</t>
        </is>
      </c>
      <c r="AW263" t="inlineStr">
        <is>
          <t>991002170009702656</t>
        </is>
      </c>
      <c r="AX263" t="inlineStr">
        <is>
          <t>991002170009702656</t>
        </is>
      </c>
      <c r="AY263" t="inlineStr">
        <is>
          <t>2259643180002656</t>
        </is>
      </c>
      <c r="AZ263" t="inlineStr">
        <is>
          <t>BOOK</t>
        </is>
      </c>
      <c r="BC263" t="inlineStr">
        <is>
          <t>32285001573996</t>
        </is>
      </c>
      <c r="BD263" t="inlineStr">
        <is>
          <t>893250901</t>
        </is>
      </c>
    </row>
    <row r="264">
      <c r="A264" t="inlineStr">
        <is>
          <t>No</t>
        </is>
      </c>
      <c r="B264" t="inlineStr">
        <is>
          <t>PS243 .B72 1950</t>
        </is>
      </c>
      <c r="C264" t="inlineStr">
        <is>
          <t>0                      PS 0243000B  72          1950</t>
        </is>
      </c>
      <c r="D264" t="inlineStr">
        <is>
          <t>New England: Indian summer.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Brooks, Van Wyck, 1886-1963.</t>
        </is>
      </c>
      <c r="L264" t="inlineStr">
        <is>
          <t>New York Dutton, 1950.</t>
        </is>
      </c>
      <c r="M264" t="inlineStr">
        <is>
          <t>1950</t>
        </is>
      </c>
      <c r="O264" t="inlineStr">
        <is>
          <t>eng</t>
        </is>
      </c>
      <c r="P264" t="inlineStr">
        <is>
          <t>nyu</t>
        </is>
      </c>
      <c r="Q264" t="inlineStr">
        <is>
          <t>Everyman's library, 641 A. Essays and belles-lettres</t>
        </is>
      </c>
      <c r="R264" t="inlineStr">
        <is>
          <t xml:space="preserve">PS </t>
        </is>
      </c>
      <c r="S264" t="n">
        <v>2</v>
      </c>
      <c r="T264" t="n">
        <v>2</v>
      </c>
      <c r="U264" t="inlineStr">
        <is>
          <t>1997-11-16</t>
        </is>
      </c>
      <c r="V264" t="inlineStr">
        <is>
          <t>1997-11-16</t>
        </is>
      </c>
      <c r="W264" t="inlineStr">
        <is>
          <t>1997-05-02</t>
        </is>
      </c>
      <c r="X264" t="inlineStr">
        <is>
          <t>1997-05-02</t>
        </is>
      </c>
      <c r="Y264" t="n">
        <v>735</v>
      </c>
      <c r="Z264" t="n">
        <v>679</v>
      </c>
      <c r="AA264" t="n">
        <v>727</v>
      </c>
      <c r="AB264" t="n">
        <v>5</v>
      </c>
      <c r="AC264" t="n">
        <v>5</v>
      </c>
      <c r="AD264" t="n">
        <v>17</v>
      </c>
      <c r="AE264" t="n">
        <v>17</v>
      </c>
      <c r="AF264" t="n">
        <v>7</v>
      </c>
      <c r="AG264" t="n">
        <v>7</v>
      </c>
      <c r="AH264" t="n">
        <v>4</v>
      </c>
      <c r="AI264" t="n">
        <v>4</v>
      </c>
      <c r="AJ264" t="n">
        <v>8</v>
      </c>
      <c r="AK264" t="n">
        <v>8</v>
      </c>
      <c r="AL264" t="n">
        <v>3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HYPERLINK("http://catalog.hathitrust.org/Record/001113001","HathiTrust Record")</f>
        <v/>
      </c>
      <c r="AS264">
        <f>HYPERLINK("https://creighton-primo.hosted.exlibrisgroup.com/primo-explore/search?tab=default_tab&amp;search_scope=EVERYTHING&amp;vid=01CRU&amp;lang=en_US&amp;offset=0&amp;query=any,contains,991002130549702656","Catalog Record")</f>
        <v/>
      </c>
      <c r="AT264">
        <f>HYPERLINK("http://www.worldcat.org/oclc/269882","WorldCat Record")</f>
        <v/>
      </c>
      <c r="AU264" t="inlineStr">
        <is>
          <t>3863761620:eng</t>
        </is>
      </c>
      <c r="AV264" t="inlineStr">
        <is>
          <t>269882</t>
        </is>
      </c>
      <c r="AW264" t="inlineStr">
        <is>
          <t>991002130549702656</t>
        </is>
      </c>
      <c r="AX264" t="inlineStr">
        <is>
          <t>991002130549702656</t>
        </is>
      </c>
      <c r="AY264" t="inlineStr">
        <is>
          <t>2267511910002656</t>
        </is>
      </c>
      <c r="AZ264" t="inlineStr">
        <is>
          <t>BOOK</t>
        </is>
      </c>
      <c r="BC264" t="inlineStr">
        <is>
          <t>32285002635901</t>
        </is>
      </c>
      <c r="BD264" t="inlineStr">
        <is>
          <t>893773251</t>
        </is>
      </c>
    </row>
    <row r="265">
      <c r="A265" t="inlineStr">
        <is>
          <t>No</t>
        </is>
      </c>
      <c r="B265" t="inlineStr">
        <is>
          <t>PS243 .W3</t>
        </is>
      </c>
      <c r="C265" t="inlineStr">
        <is>
          <t>0                      PS 0243000W  3</t>
        </is>
      </c>
      <c r="D265" t="inlineStr">
        <is>
          <t>The New England conscience.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Warren, Austin, 1899-1986.</t>
        </is>
      </c>
      <c r="L265" t="inlineStr">
        <is>
          <t>Ann Arbor, University of Michigan Press [1966]</t>
        </is>
      </c>
      <c r="M265" t="inlineStr">
        <is>
          <t>1966</t>
        </is>
      </c>
      <c r="O265" t="inlineStr">
        <is>
          <t>eng</t>
        </is>
      </c>
      <c r="P265" t="inlineStr">
        <is>
          <t>miu</t>
        </is>
      </c>
      <c r="R265" t="inlineStr">
        <is>
          <t xml:space="preserve">PS </t>
        </is>
      </c>
      <c r="S265" t="n">
        <v>2</v>
      </c>
      <c r="T265" t="n">
        <v>2</v>
      </c>
      <c r="U265" t="inlineStr">
        <is>
          <t>1997-11-16</t>
        </is>
      </c>
      <c r="V265" t="inlineStr">
        <is>
          <t>1997-11-16</t>
        </is>
      </c>
      <c r="W265" t="inlineStr">
        <is>
          <t>1997-05-02</t>
        </is>
      </c>
      <c r="X265" t="inlineStr">
        <is>
          <t>1997-05-02</t>
        </is>
      </c>
      <c r="Y265" t="n">
        <v>1066</v>
      </c>
      <c r="Z265" t="n">
        <v>968</v>
      </c>
      <c r="AA265" t="n">
        <v>976</v>
      </c>
      <c r="AB265" t="n">
        <v>10</v>
      </c>
      <c r="AC265" t="n">
        <v>10</v>
      </c>
      <c r="AD265" t="n">
        <v>39</v>
      </c>
      <c r="AE265" t="n">
        <v>39</v>
      </c>
      <c r="AF265" t="n">
        <v>14</v>
      </c>
      <c r="AG265" t="n">
        <v>14</v>
      </c>
      <c r="AH265" t="n">
        <v>5</v>
      </c>
      <c r="AI265" t="n">
        <v>5</v>
      </c>
      <c r="AJ265" t="n">
        <v>20</v>
      </c>
      <c r="AK265" t="n">
        <v>20</v>
      </c>
      <c r="AL265" t="n">
        <v>9</v>
      </c>
      <c r="AM265" t="n">
        <v>9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HYPERLINK("http://catalog.hathitrust.org/Record/001020618","HathiTrust Record")</f>
        <v/>
      </c>
      <c r="AS265">
        <f>HYPERLINK("https://creighton-primo.hosted.exlibrisgroup.com/primo-explore/search?tab=default_tab&amp;search_scope=EVERYTHING&amp;vid=01CRU&amp;lang=en_US&amp;offset=0&amp;query=any,contains,991001372839702656","Catalog Record")</f>
        <v/>
      </c>
      <c r="AT265">
        <f>HYPERLINK("http://www.worldcat.org/oclc/224131","WorldCat Record")</f>
        <v/>
      </c>
      <c r="AU265" t="inlineStr">
        <is>
          <t>64497168:eng</t>
        </is>
      </c>
      <c r="AV265" t="inlineStr">
        <is>
          <t>224131</t>
        </is>
      </c>
      <c r="AW265" t="inlineStr">
        <is>
          <t>991001372839702656</t>
        </is>
      </c>
      <c r="AX265" t="inlineStr">
        <is>
          <t>991001372839702656</t>
        </is>
      </c>
      <c r="AY265" t="inlineStr">
        <is>
          <t>2264237310002656</t>
        </is>
      </c>
      <c r="AZ265" t="inlineStr">
        <is>
          <t>BOOK</t>
        </is>
      </c>
      <c r="BC265" t="inlineStr">
        <is>
          <t>32285002635927</t>
        </is>
      </c>
      <c r="BD265" t="inlineStr">
        <is>
          <t>893315725</t>
        </is>
      </c>
    </row>
    <row r="266">
      <c r="A266" t="inlineStr">
        <is>
          <t>No</t>
        </is>
      </c>
      <c r="B266" t="inlineStr">
        <is>
          <t>PS243 .W4</t>
        </is>
      </c>
      <c r="C266" t="inlineStr">
        <is>
          <t>0                      PS 0243000W  4</t>
        </is>
      </c>
      <c r="D266" t="inlineStr">
        <is>
          <t>Acres of flint; writers of rural New England, 1870-1900.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Westbrook, Perry D.</t>
        </is>
      </c>
      <c r="L266" t="inlineStr">
        <is>
          <t>Washington, D.C. Scarecrow Press, 1951.</t>
        </is>
      </c>
      <c r="M266" t="inlineStr">
        <is>
          <t>1951</t>
        </is>
      </c>
      <c r="O266" t="inlineStr">
        <is>
          <t>eng</t>
        </is>
      </c>
      <c r="P266" t="inlineStr">
        <is>
          <t>dcu</t>
        </is>
      </c>
      <c r="R266" t="inlineStr">
        <is>
          <t xml:space="preserve">PS </t>
        </is>
      </c>
      <c r="S266" t="n">
        <v>2</v>
      </c>
      <c r="T266" t="n">
        <v>2</v>
      </c>
      <c r="U266" t="inlineStr">
        <is>
          <t>1997-11-16</t>
        </is>
      </c>
      <c r="V266" t="inlineStr">
        <is>
          <t>1997-11-16</t>
        </is>
      </c>
      <c r="W266" t="inlineStr">
        <is>
          <t>1997-05-02</t>
        </is>
      </c>
      <c r="X266" t="inlineStr">
        <is>
          <t>1997-05-02</t>
        </is>
      </c>
      <c r="Y266" t="n">
        <v>260</v>
      </c>
      <c r="Z266" t="n">
        <v>228</v>
      </c>
      <c r="AA266" t="n">
        <v>246</v>
      </c>
      <c r="AB266" t="n">
        <v>2</v>
      </c>
      <c r="AC266" t="n">
        <v>2</v>
      </c>
      <c r="AD266" t="n">
        <v>11</v>
      </c>
      <c r="AE266" t="n">
        <v>12</v>
      </c>
      <c r="AF266" t="n">
        <v>4</v>
      </c>
      <c r="AG266" t="n">
        <v>4</v>
      </c>
      <c r="AH266" t="n">
        <v>4</v>
      </c>
      <c r="AI266" t="n">
        <v>4</v>
      </c>
      <c r="AJ266" t="n">
        <v>6</v>
      </c>
      <c r="AK266" t="n">
        <v>7</v>
      </c>
      <c r="AL266" t="n">
        <v>1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R266">
        <f>HYPERLINK("http://catalog.hathitrust.org/Record/006607646","HathiTrust Record")</f>
        <v/>
      </c>
      <c r="AS266">
        <f>HYPERLINK("https://creighton-primo.hosted.exlibrisgroup.com/primo-explore/search?tab=default_tab&amp;search_scope=EVERYTHING&amp;vid=01CRU&amp;lang=en_US&amp;offset=0&amp;query=any,contains,991004289209702656","Catalog Record")</f>
        <v/>
      </c>
      <c r="AT266">
        <f>HYPERLINK("http://www.worldcat.org/oclc/2936640","WorldCat Record")</f>
        <v/>
      </c>
      <c r="AU266" t="inlineStr">
        <is>
          <t>1925342:eng</t>
        </is>
      </c>
      <c r="AV266" t="inlineStr">
        <is>
          <t>2936640</t>
        </is>
      </c>
      <c r="AW266" t="inlineStr">
        <is>
          <t>991004289209702656</t>
        </is>
      </c>
      <c r="AX266" t="inlineStr">
        <is>
          <t>991004289209702656</t>
        </is>
      </c>
      <c r="AY266" t="inlineStr">
        <is>
          <t>2260041830002656</t>
        </is>
      </c>
      <c r="AZ266" t="inlineStr">
        <is>
          <t>BOOK</t>
        </is>
      </c>
      <c r="BC266" t="inlineStr">
        <is>
          <t>32285002635935</t>
        </is>
      </c>
      <c r="BD266" t="inlineStr">
        <is>
          <t>893241247</t>
        </is>
      </c>
    </row>
    <row r="267">
      <c r="A267" t="inlineStr">
        <is>
          <t>No</t>
        </is>
      </c>
      <c r="B267" t="inlineStr">
        <is>
          <t>PS2471 .B5</t>
        </is>
      </c>
      <c r="C267" t="inlineStr">
        <is>
          <t>0                      PS 2471000B  5</t>
        </is>
      </c>
      <c r="D267" t="inlineStr">
        <is>
          <t>Blix : Moran of the Lady Letty : Essays on authorship / by Frank Norris.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Norris, Frank, 1870-1902.</t>
        </is>
      </c>
      <c r="L267" t="inlineStr">
        <is>
          <t>New York : Collier, 1899.</t>
        </is>
      </c>
      <c r="M267" t="inlineStr">
        <is>
          <t>1899</t>
        </is>
      </c>
      <c r="O267" t="inlineStr">
        <is>
          <t>eng</t>
        </is>
      </c>
      <c r="P267" t="inlineStr">
        <is>
          <t>nyu</t>
        </is>
      </c>
      <c r="Q267" t="inlineStr">
        <is>
          <t>The complete works of Frank Norris ; v. 4</t>
        </is>
      </c>
      <c r="R267" t="inlineStr">
        <is>
          <t xml:space="preserve">PS </t>
        </is>
      </c>
      <c r="S267" t="n">
        <v>6</v>
      </c>
      <c r="T267" t="n">
        <v>6</v>
      </c>
      <c r="U267" t="inlineStr">
        <is>
          <t>2002-12-13</t>
        </is>
      </c>
      <c r="V267" t="inlineStr">
        <is>
          <t>2002-12-13</t>
        </is>
      </c>
      <c r="W267" t="inlineStr">
        <is>
          <t>1997-05-20</t>
        </is>
      </c>
      <c r="X267" t="inlineStr">
        <is>
          <t>1997-05-20</t>
        </is>
      </c>
      <c r="Y267" t="n">
        <v>138</v>
      </c>
      <c r="Z267" t="n">
        <v>133</v>
      </c>
      <c r="AA267" t="n">
        <v>147</v>
      </c>
      <c r="AB267" t="n">
        <v>1</v>
      </c>
      <c r="AC267" t="n">
        <v>1</v>
      </c>
      <c r="AD267" t="n">
        <v>5</v>
      </c>
      <c r="AE267" t="n">
        <v>5</v>
      </c>
      <c r="AF267" t="n">
        <v>2</v>
      </c>
      <c r="AG267" t="n">
        <v>2</v>
      </c>
      <c r="AH267" t="n">
        <v>0</v>
      </c>
      <c r="AI267" t="n">
        <v>0</v>
      </c>
      <c r="AJ267" t="n">
        <v>5</v>
      </c>
      <c r="AK267" t="n">
        <v>5</v>
      </c>
      <c r="AL267" t="n">
        <v>0</v>
      </c>
      <c r="AM267" t="n">
        <v>0</v>
      </c>
      <c r="AN267" t="n">
        <v>0</v>
      </c>
      <c r="AO267" t="n">
        <v>0</v>
      </c>
      <c r="AP267" t="inlineStr">
        <is>
          <t>Yes</t>
        </is>
      </c>
      <c r="AQ267" t="inlineStr">
        <is>
          <t>No</t>
        </is>
      </c>
      <c r="AR267">
        <f>HYPERLINK("http://catalog.hathitrust.org/Record/009512053","HathiTrust Record")</f>
        <v/>
      </c>
      <c r="AS267">
        <f>HYPERLINK("https://creighton-primo.hosted.exlibrisgroup.com/primo-explore/search?tab=default_tab&amp;search_scope=EVERYTHING&amp;vid=01CRU&amp;lang=en_US&amp;offset=0&amp;query=any,contains,991002168179702656","Catalog Record")</f>
        <v/>
      </c>
      <c r="AT267">
        <f>HYPERLINK("http://www.worldcat.org/oclc/275994","WorldCat Record")</f>
        <v/>
      </c>
      <c r="AU267" t="inlineStr">
        <is>
          <t>5195018958:eng</t>
        </is>
      </c>
      <c r="AV267" t="inlineStr">
        <is>
          <t>275994</t>
        </is>
      </c>
      <c r="AW267" t="inlineStr">
        <is>
          <t>991002168179702656</t>
        </is>
      </c>
      <c r="AX267" t="inlineStr">
        <is>
          <t>991002168179702656</t>
        </is>
      </c>
      <c r="AY267" t="inlineStr">
        <is>
          <t>2263402500002656</t>
        </is>
      </c>
      <c r="AZ267" t="inlineStr">
        <is>
          <t>BOOK</t>
        </is>
      </c>
      <c r="BC267" t="inlineStr">
        <is>
          <t>32285004854518</t>
        </is>
      </c>
      <c r="BD267" t="inlineStr">
        <is>
          <t>893523271</t>
        </is>
      </c>
    </row>
    <row r="268">
      <c r="A268" t="inlineStr">
        <is>
          <t>No</t>
        </is>
      </c>
      <c r="B268" t="inlineStr">
        <is>
          <t>PS2471 .H37</t>
        </is>
      </c>
      <c r="C268" t="inlineStr">
        <is>
          <t>0                      PS 2471000H  37</t>
        </is>
      </c>
      <c r="D268" t="inlineStr">
        <is>
          <t>A novelist in the making : a collection of student themes and the novels Blix and Vandover and the brute / edited by James D. Hart. --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Norris, Frank, 1870-1902.</t>
        </is>
      </c>
      <c r="L268" t="inlineStr">
        <is>
          <t>Cambridge, Mass., Belknap Press of Harvard University Press, 1970.</t>
        </is>
      </c>
      <c r="M268" t="inlineStr">
        <is>
          <t>1970</t>
        </is>
      </c>
      <c r="O268" t="inlineStr">
        <is>
          <t>eng</t>
        </is>
      </c>
      <c r="P268" t="inlineStr">
        <is>
          <t>mau</t>
        </is>
      </c>
      <c r="Q268" t="inlineStr">
        <is>
          <t>The John Harvard library</t>
        </is>
      </c>
      <c r="R268" t="inlineStr">
        <is>
          <t xml:space="preserve">PS </t>
        </is>
      </c>
      <c r="S268" t="n">
        <v>3</v>
      </c>
      <c r="T268" t="n">
        <v>3</v>
      </c>
      <c r="U268" t="inlineStr">
        <is>
          <t>1992-03-09</t>
        </is>
      </c>
      <c r="V268" t="inlineStr">
        <is>
          <t>1992-03-09</t>
        </is>
      </c>
      <c r="W268" t="inlineStr">
        <is>
          <t>1990-10-30</t>
        </is>
      </c>
      <c r="X268" t="inlineStr">
        <is>
          <t>1990-10-30</t>
        </is>
      </c>
      <c r="Y268" t="n">
        <v>698</v>
      </c>
      <c r="Z268" t="n">
        <v>608</v>
      </c>
      <c r="AA268" t="n">
        <v>614</v>
      </c>
      <c r="AB268" t="n">
        <v>6</v>
      </c>
      <c r="AC268" t="n">
        <v>6</v>
      </c>
      <c r="AD268" t="n">
        <v>29</v>
      </c>
      <c r="AE268" t="n">
        <v>29</v>
      </c>
      <c r="AF268" t="n">
        <v>6</v>
      </c>
      <c r="AG268" t="n">
        <v>6</v>
      </c>
      <c r="AH268" t="n">
        <v>7</v>
      </c>
      <c r="AI268" t="n">
        <v>7</v>
      </c>
      <c r="AJ268" t="n">
        <v>17</v>
      </c>
      <c r="AK268" t="n">
        <v>17</v>
      </c>
      <c r="AL268" t="n">
        <v>5</v>
      </c>
      <c r="AM268" t="n">
        <v>5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HYPERLINK("http://catalog.hathitrust.org/Record/000671809","HathiTrust Record")</f>
        <v/>
      </c>
      <c r="AS268">
        <f>HYPERLINK("https://creighton-primo.hosted.exlibrisgroup.com/primo-explore/search?tab=default_tab&amp;search_scope=EVERYTHING&amp;vid=01CRU&amp;lang=en_US&amp;offset=0&amp;query=any,contains,991000658999702656","Catalog Record")</f>
        <v/>
      </c>
      <c r="AT268">
        <f>HYPERLINK("http://www.worldcat.org/oclc/116877","WorldCat Record")</f>
        <v/>
      </c>
      <c r="AU268" t="inlineStr">
        <is>
          <t>794964356:eng</t>
        </is>
      </c>
      <c r="AV268" t="inlineStr">
        <is>
          <t>116877</t>
        </is>
      </c>
      <c r="AW268" t="inlineStr">
        <is>
          <t>991000658999702656</t>
        </is>
      </c>
      <c r="AX268" t="inlineStr">
        <is>
          <t>991000658999702656</t>
        </is>
      </c>
      <c r="AY268" t="inlineStr">
        <is>
          <t>2258420180002656</t>
        </is>
      </c>
      <c r="AZ268" t="inlineStr">
        <is>
          <t>BOOK</t>
        </is>
      </c>
      <c r="BB268" t="inlineStr">
        <is>
          <t>9780674628205</t>
        </is>
      </c>
      <c r="BC268" t="inlineStr">
        <is>
          <t>32285000364785</t>
        </is>
      </c>
      <c r="BD268" t="inlineStr">
        <is>
          <t>893778119</t>
        </is>
      </c>
    </row>
    <row r="269">
      <c r="A269" t="inlineStr">
        <is>
          <t>No</t>
        </is>
      </c>
      <c r="B269" t="inlineStr">
        <is>
          <t>PS2473 .C7</t>
        </is>
      </c>
      <c r="C269" t="inlineStr">
        <is>
          <t>0                      PS 2473000C  7</t>
        </is>
      </c>
      <c r="D269" t="inlineStr">
        <is>
          <t>Frank Norris : a reference guide / [by] Jesse S. Crisler [and] Joseph R. McElrath, Jr.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Crisler, Jesse S.</t>
        </is>
      </c>
      <c r="L269" t="inlineStr">
        <is>
          <t>Boston : G. K. Hall, 1974.</t>
        </is>
      </c>
      <c r="M269" t="inlineStr">
        <is>
          <t>1974</t>
        </is>
      </c>
      <c r="O269" t="inlineStr">
        <is>
          <t>eng</t>
        </is>
      </c>
      <c r="P269" t="inlineStr">
        <is>
          <t>mau</t>
        </is>
      </c>
      <c r="Q269" t="inlineStr">
        <is>
          <t>Reference guides in literature ; no. 3</t>
        </is>
      </c>
      <c r="R269" t="inlineStr">
        <is>
          <t xml:space="preserve">PS </t>
        </is>
      </c>
      <c r="S269" t="n">
        <v>9</v>
      </c>
      <c r="T269" t="n">
        <v>9</v>
      </c>
      <c r="U269" t="inlineStr">
        <is>
          <t>2004-04-22</t>
        </is>
      </c>
      <c r="V269" t="inlineStr">
        <is>
          <t>2004-04-22</t>
        </is>
      </c>
      <c r="W269" t="inlineStr">
        <is>
          <t>1992-03-16</t>
        </is>
      </c>
      <c r="X269" t="inlineStr">
        <is>
          <t>1992-03-16</t>
        </is>
      </c>
      <c r="Y269" t="n">
        <v>390</v>
      </c>
      <c r="Z269" t="n">
        <v>323</v>
      </c>
      <c r="AA269" t="n">
        <v>329</v>
      </c>
      <c r="AB269" t="n">
        <v>3</v>
      </c>
      <c r="AC269" t="n">
        <v>3</v>
      </c>
      <c r="AD269" t="n">
        <v>18</v>
      </c>
      <c r="AE269" t="n">
        <v>18</v>
      </c>
      <c r="AF269" t="n">
        <v>4</v>
      </c>
      <c r="AG269" t="n">
        <v>4</v>
      </c>
      <c r="AH269" t="n">
        <v>5</v>
      </c>
      <c r="AI269" t="n">
        <v>5</v>
      </c>
      <c r="AJ269" t="n">
        <v>11</v>
      </c>
      <c r="AK269" t="n">
        <v>11</v>
      </c>
      <c r="AL269" t="n">
        <v>2</v>
      </c>
      <c r="AM269" t="n">
        <v>2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HYPERLINK("http://catalog.hathitrust.org/Record/000671814","HathiTrust Record")</f>
        <v/>
      </c>
      <c r="AS269">
        <f>HYPERLINK("https://creighton-primo.hosted.exlibrisgroup.com/primo-explore/search?tab=default_tab&amp;search_scope=EVERYTHING&amp;vid=01CRU&amp;lang=en_US&amp;offset=0&amp;query=any,contains,991003468069702656","Catalog Record")</f>
        <v/>
      </c>
      <c r="AT269">
        <f>HYPERLINK("http://www.worldcat.org/oclc/1009467","WorldCat Record")</f>
        <v/>
      </c>
      <c r="AU269" t="inlineStr">
        <is>
          <t>20424864:eng</t>
        </is>
      </c>
      <c r="AV269" t="inlineStr">
        <is>
          <t>1009467</t>
        </is>
      </c>
      <c r="AW269" t="inlineStr">
        <is>
          <t>991003468069702656</t>
        </is>
      </c>
      <c r="AX269" t="inlineStr">
        <is>
          <t>991003468069702656</t>
        </is>
      </c>
      <c r="AY269" t="inlineStr">
        <is>
          <t>2263760580002656</t>
        </is>
      </c>
      <c r="AZ269" t="inlineStr">
        <is>
          <t>BOOK</t>
        </is>
      </c>
      <c r="BB269" t="inlineStr">
        <is>
          <t>9780816110971</t>
        </is>
      </c>
      <c r="BC269" t="inlineStr">
        <is>
          <t>32285001020717</t>
        </is>
      </c>
      <c r="BD269" t="inlineStr">
        <is>
          <t>893428819</t>
        </is>
      </c>
    </row>
    <row r="270">
      <c r="A270" t="inlineStr">
        <is>
          <t>No</t>
        </is>
      </c>
      <c r="B270" t="inlineStr">
        <is>
          <t>PS2473 .F68</t>
        </is>
      </c>
      <c r="C270" t="inlineStr">
        <is>
          <t>0                      PS 2473000F  68</t>
        </is>
      </c>
      <c r="D270" t="inlineStr">
        <is>
          <t>Frank Norris, the critical reception / edited by Joseph R.McElrath and Katherine Knight.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New York : Burt Franklin &amp; Co., 1981.</t>
        </is>
      </c>
      <c r="M270" t="inlineStr">
        <is>
          <t>1981</t>
        </is>
      </c>
      <c r="O270" t="inlineStr">
        <is>
          <t>eng</t>
        </is>
      </c>
      <c r="P270" t="inlineStr">
        <is>
          <t>nyu</t>
        </is>
      </c>
      <c r="Q270" t="inlineStr">
        <is>
          <t>American critical tradition ; 7</t>
        </is>
      </c>
      <c r="R270" t="inlineStr">
        <is>
          <t xml:space="preserve">PS </t>
        </is>
      </c>
      <c r="S270" t="n">
        <v>15</v>
      </c>
      <c r="T270" t="n">
        <v>15</v>
      </c>
      <c r="U270" t="inlineStr">
        <is>
          <t>2004-11-23</t>
        </is>
      </c>
      <c r="V270" t="inlineStr">
        <is>
          <t>2004-11-23</t>
        </is>
      </c>
      <c r="W270" t="inlineStr">
        <is>
          <t>1990-10-30</t>
        </is>
      </c>
      <c r="X270" t="inlineStr">
        <is>
          <t>1990-10-30</t>
        </is>
      </c>
      <c r="Y270" t="n">
        <v>209</v>
      </c>
      <c r="Z270" t="n">
        <v>177</v>
      </c>
      <c r="AA270" t="n">
        <v>177</v>
      </c>
      <c r="AB270" t="n">
        <v>3</v>
      </c>
      <c r="AC270" t="n">
        <v>3</v>
      </c>
      <c r="AD270" t="n">
        <v>11</v>
      </c>
      <c r="AE270" t="n">
        <v>11</v>
      </c>
      <c r="AF270" t="n">
        <v>3</v>
      </c>
      <c r="AG270" t="n">
        <v>3</v>
      </c>
      <c r="AH270" t="n">
        <v>2</v>
      </c>
      <c r="AI270" t="n">
        <v>2</v>
      </c>
      <c r="AJ270" t="n">
        <v>8</v>
      </c>
      <c r="AK270" t="n">
        <v>8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HYPERLINK("https://creighton-primo.hosted.exlibrisgroup.com/primo-explore/search?tab=default_tab&amp;search_scope=EVERYTHING&amp;vid=01CRU&amp;lang=en_US&amp;offset=0&amp;query=any,contains,991005207019702656","Catalog Record")</f>
        <v/>
      </c>
      <c r="AT270">
        <f>HYPERLINK("http://www.worldcat.org/oclc/8126238","WorldCat Record")</f>
        <v/>
      </c>
      <c r="AU270" t="inlineStr">
        <is>
          <t>498214761:eng</t>
        </is>
      </c>
      <c r="AV270" t="inlineStr">
        <is>
          <t>8126238</t>
        </is>
      </c>
      <c r="AW270" t="inlineStr">
        <is>
          <t>991005207019702656</t>
        </is>
      </c>
      <c r="AX270" t="inlineStr">
        <is>
          <t>991005207019702656</t>
        </is>
      </c>
      <c r="AY270" t="inlineStr">
        <is>
          <t>2255109500002656</t>
        </is>
      </c>
      <c r="AZ270" t="inlineStr">
        <is>
          <t>BOOK</t>
        </is>
      </c>
      <c r="BB270" t="inlineStr">
        <is>
          <t>9780891021506</t>
        </is>
      </c>
      <c r="BC270" t="inlineStr">
        <is>
          <t>32285000364793</t>
        </is>
      </c>
      <c r="BD270" t="inlineStr">
        <is>
          <t>893707447</t>
        </is>
      </c>
    </row>
    <row r="271">
      <c r="A271" t="inlineStr">
        <is>
          <t>No</t>
        </is>
      </c>
      <c r="B271" t="inlineStr">
        <is>
          <t>PS2473 .F7</t>
        </is>
      </c>
      <c r="C271" t="inlineStr">
        <is>
          <t>0                      PS 2473000F  7</t>
        </is>
      </c>
      <c r="D271" t="inlineStr">
        <is>
          <t>Frank Norris.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French, Warren G., 1922-2009.</t>
        </is>
      </c>
      <c r="L271" t="inlineStr">
        <is>
          <t>New York : Twayne Publishers, [1962]</t>
        </is>
      </c>
      <c r="M271" t="inlineStr">
        <is>
          <t>1962</t>
        </is>
      </c>
      <c r="O271" t="inlineStr">
        <is>
          <t>eng</t>
        </is>
      </c>
      <c r="P271" t="inlineStr">
        <is>
          <t>nyu</t>
        </is>
      </c>
      <c r="Q271" t="inlineStr">
        <is>
          <t>Twayne's United States authors series, 25</t>
        </is>
      </c>
      <c r="R271" t="inlineStr">
        <is>
          <t xml:space="preserve">PS </t>
        </is>
      </c>
      <c r="S271" t="n">
        <v>8</v>
      </c>
      <c r="T271" t="n">
        <v>8</v>
      </c>
      <c r="U271" t="inlineStr">
        <is>
          <t>2004-02-09</t>
        </is>
      </c>
      <c r="V271" t="inlineStr">
        <is>
          <t>2004-02-09</t>
        </is>
      </c>
      <c r="W271" t="inlineStr">
        <is>
          <t>1992-03-19</t>
        </is>
      </c>
      <c r="X271" t="inlineStr">
        <is>
          <t>1992-03-19</t>
        </is>
      </c>
      <c r="Y271" t="n">
        <v>1582</v>
      </c>
      <c r="Z271" t="n">
        <v>1449</v>
      </c>
      <c r="AA271" t="n">
        <v>1584</v>
      </c>
      <c r="AB271" t="n">
        <v>13</v>
      </c>
      <c r="AC271" t="n">
        <v>15</v>
      </c>
      <c r="AD271" t="n">
        <v>47</v>
      </c>
      <c r="AE271" t="n">
        <v>50</v>
      </c>
      <c r="AF271" t="n">
        <v>18</v>
      </c>
      <c r="AG271" t="n">
        <v>19</v>
      </c>
      <c r="AH271" t="n">
        <v>8</v>
      </c>
      <c r="AI271" t="n">
        <v>8</v>
      </c>
      <c r="AJ271" t="n">
        <v>22</v>
      </c>
      <c r="AK271" t="n">
        <v>22</v>
      </c>
      <c r="AL271" t="n">
        <v>9</v>
      </c>
      <c r="AM271" t="n">
        <v>11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HYPERLINK("http://catalog.hathitrust.org/Record/000671821","HathiTrust Record")</f>
        <v/>
      </c>
      <c r="AS271">
        <f>HYPERLINK("https://creighton-primo.hosted.exlibrisgroup.com/primo-explore/search?tab=default_tab&amp;search_scope=EVERYTHING&amp;vid=01CRU&amp;lang=en_US&amp;offset=0&amp;query=any,contains,991002158649702656","Catalog Record")</f>
        <v/>
      </c>
      <c r="AT271">
        <f>HYPERLINK("http://www.worldcat.org/oclc/273426","WorldCat Record")</f>
        <v/>
      </c>
      <c r="AU271" t="inlineStr">
        <is>
          <t>1908982271:eng</t>
        </is>
      </c>
      <c r="AV271" t="inlineStr">
        <is>
          <t>273426</t>
        </is>
      </c>
      <c r="AW271" t="inlineStr">
        <is>
          <t>991002158649702656</t>
        </is>
      </c>
      <c r="AX271" t="inlineStr">
        <is>
          <t>991002158649702656</t>
        </is>
      </c>
      <c r="AY271" t="inlineStr">
        <is>
          <t>2261949240002656</t>
        </is>
      </c>
      <c r="AZ271" t="inlineStr">
        <is>
          <t>BOOK</t>
        </is>
      </c>
      <c r="BC271" t="inlineStr">
        <is>
          <t>32285001024248</t>
        </is>
      </c>
      <c r="BD271" t="inlineStr">
        <is>
          <t>893328753</t>
        </is>
      </c>
    </row>
    <row r="272">
      <c r="A272" t="inlineStr">
        <is>
          <t>No</t>
        </is>
      </c>
      <c r="B272" t="inlineStr">
        <is>
          <t>PS2473 .F76</t>
        </is>
      </c>
      <c r="C272" t="inlineStr">
        <is>
          <t>0                      PS 2473000F  76</t>
        </is>
      </c>
      <c r="D272" t="inlineStr">
        <is>
          <t>Frank Norris / by W. M. Frohock.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Frohock, W. M. (Wilbur Merrill), 1908-</t>
        </is>
      </c>
      <c r="L272" t="inlineStr">
        <is>
          <t>Minneapolis : University of Minnesota Press, [1968]</t>
        </is>
      </c>
      <c r="M272" t="inlineStr">
        <is>
          <t>1968</t>
        </is>
      </c>
      <c r="O272" t="inlineStr">
        <is>
          <t>eng</t>
        </is>
      </c>
      <c r="P272" t="inlineStr">
        <is>
          <t>mnu</t>
        </is>
      </c>
      <c r="Q272" t="inlineStr">
        <is>
          <t>University of Minnesota pamphlets on American writers ; no. 68</t>
        </is>
      </c>
      <c r="R272" t="inlineStr">
        <is>
          <t xml:space="preserve">PS </t>
        </is>
      </c>
      <c r="S272" t="n">
        <v>8</v>
      </c>
      <c r="T272" t="n">
        <v>8</v>
      </c>
      <c r="U272" t="inlineStr">
        <is>
          <t>2004-12-06</t>
        </is>
      </c>
      <c r="V272" t="inlineStr">
        <is>
          <t>2004-12-06</t>
        </is>
      </c>
      <c r="W272" t="inlineStr">
        <is>
          <t>1992-03-19</t>
        </is>
      </c>
      <c r="X272" t="inlineStr">
        <is>
          <t>1992-03-19</t>
        </is>
      </c>
      <c r="Y272" t="n">
        <v>1081</v>
      </c>
      <c r="Z272" t="n">
        <v>962</v>
      </c>
      <c r="AA272" t="n">
        <v>1317</v>
      </c>
      <c r="AB272" t="n">
        <v>8</v>
      </c>
      <c r="AC272" t="n">
        <v>10</v>
      </c>
      <c r="AD272" t="n">
        <v>39</v>
      </c>
      <c r="AE272" t="n">
        <v>53</v>
      </c>
      <c r="AF272" t="n">
        <v>15</v>
      </c>
      <c r="AG272" t="n">
        <v>22</v>
      </c>
      <c r="AH272" t="n">
        <v>7</v>
      </c>
      <c r="AI272" t="n">
        <v>10</v>
      </c>
      <c r="AJ272" t="n">
        <v>20</v>
      </c>
      <c r="AK272" t="n">
        <v>24</v>
      </c>
      <c r="AL272" t="n">
        <v>7</v>
      </c>
      <c r="AM272" t="n">
        <v>9</v>
      </c>
      <c r="AN272" t="n">
        <v>0</v>
      </c>
      <c r="AO272" t="n">
        <v>1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HYPERLINK("http://catalog.hathitrust.org/Record/001027697","HathiTrust Record")</f>
        <v/>
      </c>
      <c r="AS272">
        <f>HYPERLINK("https://creighton-primo.hosted.exlibrisgroup.com/primo-explore/search?tab=default_tab&amp;search_scope=EVERYTHING&amp;vid=01CRU&amp;lang=en_US&amp;offset=0&amp;query=any,contains,991000964859702656","Catalog Record")</f>
        <v/>
      </c>
      <c r="AT272">
        <f>HYPERLINK("http://www.worldcat.org/oclc/170198","WorldCat Record")</f>
        <v/>
      </c>
      <c r="AU272" t="inlineStr">
        <is>
          <t>1294129:eng</t>
        </is>
      </c>
      <c r="AV272" t="inlineStr">
        <is>
          <t>170198</t>
        </is>
      </c>
      <c r="AW272" t="inlineStr">
        <is>
          <t>991000964859702656</t>
        </is>
      </c>
      <c r="AX272" t="inlineStr">
        <is>
          <t>991000964859702656</t>
        </is>
      </c>
      <c r="AY272" t="inlineStr">
        <is>
          <t>2269423770002656</t>
        </is>
      </c>
      <c r="AZ272" t="inlineStr">
        <is>
          <t>BOOK</t>
        </is>
      </c>
      <c r="BC272" t="inlineStr">
        <is>
          <t>32285001024230</t>
        </is>
      </c>
      <c r="BD272" t="inlineStr">
        <is>
          <t>893589905</t>
        </is>
      </c>
    </row>
    <row r="273">
      <c r="A273" t="inlineStr">
        <is>
          <t>No</t>
        </is>
      </c>
      <c r="B273" t="inlineStr">
        <is>
          <t>PS2473 .G7</t>
        </is>
      </c>
      <c r="C273" t="inlineStr">
        <is>
          <t>0                      PS 2473000G  7</t>
        </is>
      </c>
      <c r="D273" t="inlineStr">
        <is>
          <t>The fiction of Frank Norris : aesthetic context / Donald Graham. --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Graham, Don, 1940-</t>
        </is>
      </c>
      <c r="L273" t="inlineStr">
        <is>
          <t>Columbia : University of Missouri Press, 1978.</t>
        </is>
      </c>
      <c r="M273" t="inlineStr">
        <is>
          <t>1978</t>
        </is>
      </c>
      <c r="O273" t="inlineStr">
        <is>
          <t>eng</t>
        </is>
      </c>
      <c r="P273" t="inlineStr">
        <is>
          <t>mou</t>
        </is>
      </c>
      <c r="R273" t="inlineStr">
        <is>
          <t xml:space="preserve">PS </t>
        </is>
      </c>
      <c r="S273" t="n">
        <v>13</v>
      </c>
      <c r="T273" t="n">
        <v>13</v>
      </c>
      <c r="U273" t="inlineStr">
        <is>
          <t>2004-11-23</t>
        </is>
      </c>
      <c r="V273" t="inlineStr">
        <is>
          <t>2004-11-23</t>
        </is>
      </c>
      <c r="W273" t="inlineStr">
        <is>
          <t>1990-10-30</t>
        </is>
      </c>
      <c r="X273" t="inlineStr">
        <is>
          <t>1990-10-30</t>
        </is>
      </c>
      <c r="Y273" t="n">
        <v>715</v>
      </c>
      <c r="Z273" t="n">
        <v>625</v>
      </c>
      <c r="AA273" t="n">
        <v>630</v>
      </c>
      <c r="AB273" t="n">
        <v>3</v>
      </c>
      <c r="AC273" t="n">
        <v>3</v>
      </c>
      <c r="AD273" t="n">
        <v>31</v>
      </c>
      <c r="AE273" t="n">
        <v>31</v>
      </c>
      <c r="AF273" t="n">
        <v>11</v>
      </c>
      <c r="AG273" t="n">
        <v>11</v>
      </c>
      <c r="AH273" t="n">
        <v>8</v>
      </c>
      <c r="AI273" t="n">
        <v>8</v>
      </c>
      <c r="AJ273" t="n">
        <v>19</v>
      </c>
      <c r="AK273" t="n">
        <v>19</v>
      </c>
      <c r="AL273" t="n">
        <v>2</v>
      </c>
      <c r="AM273" t="n">
        <v>2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HYPERLINK("https://creighton-primo.hosted.exlibrisgroup.com/primo-explore/search?tab=default_tab&amp;search_scope=EVERYTHING&amp;vid=01CRU&amp;lang=en_US&amp;offset=0&amp;query=any,contains,991004446449702656","Catalog Record")</f>
        <v/>
      </c>
      <c r="AT273">
        <f>HYPERLINK("http://www.worldcat.org/oclc/3481993","WorldCat Record")</f>
        <v/>
      </c>
      <c r="AU273" t="inlineStr">
        <is>
          <t>197373531:eng</t>
        </is>
      </c>
      <c r="AV273" t="inlineStr">
        <is>
          <t>3481993</t>
        </is>
      </c>
      <c r="AW273" t="inlineStr">
        <is>
          <t>991004446449702656</t>
        </is>
      </c>
      <c r="AX273" t="inlineStr">
        <is>
          <t>991004446449702656</t>
        </is>
      </c>
      <c r="AY273" t="inlineStr">
        <is>
          <t>2264535700002656</t>
        </is>
      </c>
      <c r="AZ273" t="inlineStr">
        <is>
          <t>BOOK</t>
        </is>
      </c>
      <c r="BB273" t="inlineStr">
        <is>
          <t>9780826202529</t>
        </is>
      </c>
      <c r="BC273" t="inlineStr">
        <is>
          <t>32285000364801</t>
        </is>
      </c>
      <c r="BD273" t="inlineStr">
        <is>
          <t>893241442</t>
        </is>
      </c>
    </row>
    <row r="274">
      <c r="A274" t="inlineStr">
        <is>
          <t>No</t>
        </is>
      </c>
      <c r="B274" t="inlineStr">
        <is>
          <t>PS2473 .M3 1964</t>
        </is>
      </c>
      <c r="C274" t="inlineStr">
        <is>
          <t>0                      PS 2473000M  3           1964</t>
        </is>
      </c>
      <c r="D274" t="inlineStr">
        <is>
          <t>Frank Norris, a study.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Marchand, Ernest (Ernest Le Roy)</t>
        </is>
      </c>
      <c r="L274" t="inlineStr">
        <is>
          <t>New York : Octagon Books, 1964 [c1942]</t>
        </is>
      </c>
      <c r="M274" t="inlineStr">
        <is>
          <t>1964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PS </t>
        </is>
      </c>
      <c r="S274" t="n">
        <v>11</v>
      </c>
      <c r="T274" t="n">
        <v>11</v>
      </c>
      <c r="U274" t="inlineStr">
        <is>
          <t>2004-02-09</t>
        </is>
      </c>
      <c r="V274" t="inlineStr">
        <is>
          <t>2004-02-09</t>
        </is>
      </c>
      <c r="W274" t="inlineStr">
        <is>
          <t>1992-03-19</t>
        </is>
      </c>
      <c r="X274" t="inlineStr">
        <is>
          <t>1992-03-19</t>
        </is>
      </c>
      <c r="Y274" t="n">
        <v>558</v>
      </c>
      <c r="Z274" t="n">
        <v>520</v>
      </c>
      <c r="AA274" t="n">
        <v>882</v>
      </c>
      <c r="AB274" t="n">
        <v>8</v>
      </c>
      <c r="AC274" t="n">
        <v>9</v>
      </c>
      <c r="AD274" t="n">
        <v>24</v>
      </c>
      <c r="AE274" t="n">
        <v>41</v>
      </c>
      <c r="AF274" t="n">
        <v>8</v>
      </c>
      <c r="AG274" t="n">
        <v>14</v>
      </c>
      <c r="AH274" t="n">
        <v>5</v>
      </c>
      <c r="AI274" t="n">
        <v>8</v>
      </c>
      <c r="AJ274" t="n">
        <v>11</v>
      </c>
      <c r="AK274" t="n">
        <v>23</v>
      </c>
      <c r="AL274" t="n">
        <v>7</v>
      </c>
      <c r="AM274" t="n">
        <v>8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HYPERLINK("http://catalog.hathitrust.org/Record/007127486","HathiTrust Record")</f>
        <v/>
      </c>
      <c r="AS274">
        <f>HYPERLINK("https://creighton-primo.hosted.exlibrisgroup.com/primo-explore/search?tab=default_tab&amp;search_scope=EVERYTHING&amp;vid=01CRU&amp;lang=en_US&amp;offset=0&amp;query=any,contains,991002158709702656","Catalog Record")</f>
        <v/>
      </c>
      <c r="AT274">
        <f>HYPERLINK("http://www.worldcat.org/oclc/273430","WorldCat Record")</f>
        <v/>
      </c>
      <c r="AU274" t="inlineStr">
        <is>
          <t>13606177:eng</t>
        </is>
      </c>
      <c r="AV274" t="inlineStr">
        <is>
          <t>273430</t>
        </is>
      </c>
      <c r="AW274" t="inlineStr">
        <is>
          <t>991002158709702656</t>
        </is>
      </c>
      <c r="AX274" t="inlineStr">
        <is>
          <t>991002158709702656</t>
        </is>
      </c>
      <c r="AY274" t="inlineStr">
        <is>
          <t>2261941580002656</t>
        </is>
      </c>
      <c r="AZ274" t="inlineStr">
        <is>
          <t>BOOK</t>
        </is>
      </c>
      <c r="BC274" t="inlineStr">
        <is>
          <t>32285001024222</t>
        </is>
      </c>
      <c r="BD274" t="inlineStr">
        <is>
          <t>893792086</t>
        </is>
      </c>
    </row>
    <row r="275">
      <c r="A275" t="inlineStr">
        <is>
          <t>No</t>
        </is>
      </c>
      <c r="B275" t="inlineStr">
        <is>
          <t>PS2473 .W3</t>
        </is>
      </c>
      <c r="C275" t="inlineStr">
        <is>
          <t>0                      PS 2473000W  3</t>
        </is>
      </c>
      <c r="D275" t="inlineStr">
        <is>
          <t>Frank Norris, a biography by Franklin Walker.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Walker, Franklin.</t>
        </is>
      </c>
      <c r="L275" t="inlineStr">
        <is>
          <t>Garden City, N. Y., Doubleday, Doran &amp; company, inc., 1932.</t>
        </is>
      </c>
      <c r="M275" t="inlineStr">
        <is>
          <t>1932</t>
        </is>
      </c>
      <c r="O275" t="inlineStr">
        <is>
          <t>eng</t>
        </is>
      </c>
      <c r="P275" t="inlineStr">
        <is>
          <t xml:space="preserve">xx </t>
        </is>
      </c>
      <c r="R275" t="inlineStr">
        <is>
          <t xml:space="preserve">PS </t>
        </is>
      </c>
      <c r="S275" t="n">
        <v>8</v>
      </c>
      <c r="T275" t="n">
        <v>8</v>
      </c>
      <c r="U275" t="inlineStr">
        <is>
          <t>2000-12-11</t>
        </is>
      </c>
      <c r="V275" t="inlineStr">
        <is>
          <t>2000-12-11</t>
        </is>
      </c>
      <c r="W275" t="inlineStr">
        <is>
          <t>1992-03-18</t>
        </is>
      </c>
      <c r="X275" t="inlineStr">
        <is>
          <t>1992-03-18</t>
        </is>
      </c>
      <c r="Y275" t="n">
        <v>133</v>
      </c>
      <c r="Z275" t="n">
        <v>118</v>
      </c>
      <c r="AA275" t="n">
        <v>649</v>
      </c>
      <c r="AB275" t="n">
        <v>1</v>
      </c>
      <c r="AC275" t="n">
        <v>7</v>
      </c>
      <c r="AD275" t="n">
        <v>4</v>
      </c>
      <c r="AE275" t="n">
        <v>32</v>
      </c>
      <c r="AF275" t="n">
        <v>2</v>
      </c>
      <c r="AG275" t="n">
        <v>12</v>
      </c>
      <c r="AH275" t="n">
        <v>0</v>
      </c>
      <c r="AI275" t="n">
        <v>4</v>
      </c>
      <c r="AJ275" t="n">
        <v>4</v>
      </c>
      <c r="AK275" t="n">
        <v>17</v>
      </c>
      <c r="AL275" t="n">
        <v>0</v>
      </c>
      <c r="AM275" t="n">
        <v>6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HYPERLINK("http://catalog.hathitrust.org/Record/001376155","HathiTrust Record")</f>
        <v/>
      </c>
      <c r="AS275">
        <f>HYPERLINK("https://creighton-primo.hosted.exlibrisgroup.com/primo-explore/search?tab=default_tab&amp;search_scope=EVERYTHING&amp;vid=01CRU&amp;lang=en_US&amp;offset=0&amp;query=any,contains,991004317959702656","Catalog Record")</f>
        <v/>
      </c>
      <c r="AT275">
        <f>HYPERLINK("http://www.worldcat.org/oclc/3012305","WorldCat Record")</f>
        <v/>
      </c>
      <c r="AU275" t="inlineStr">
        <is>
          <t>350113239:eng</t>
        </is>
      </c>
      <c r="AV275" t="inlineStr">
        <is>
          <t>3012305</t>
        </is>
      </c>
      <c r="AW275" t="inlineStr">
        <is>
          <t>991004317959702656</t>
        </is>
      </c>
      <c r="AX275" t="inlineStr">
        <is>
          <t>991004317959702656</t>
        </is>
      </c>
      <c r="AY275" t="inlineStr">
        <is>
          <t>2269274350002656</t>
        </is>
      </c>
      <c r="AZ275" t="inlineStr">
        <is>
          <t>BOOK</t>
        </is>
      </c>
      <c r="BC275" t="inlineStr">
        <is>
          <t>32285000529528</t>
        </is>
      </c>
      <c r="BD275" t="inlineStr">
        <is>
          <t>893253540</t>
        </is>
      </c>
    </row>
    <row r="276">
      <c r="A276" t="inlineStr">
        <is>
          <t>No</t>
        </is>
      </c>
      <c r="B276" t="inlineStr">
        <is>
          <t>PS2473.A3 G13 1970</t>
        </is>
      </c>
      <c r="C276" t="inlineStr">
        <is>
          <t>0                      PS 2473000A  3                  G  13          1970</t>
        </is>
      </c>
      <c r="D276" t="inlineStr">
        <is>
          <t>Frank Norris (Benjamin Franklin Norris) bibliography and biographical data.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Gaer, Joseph, 1897-1969 editor.</t>
        </is>
      </c>
      <c r="L276" t="inlineStr">
        <is>
          <t>New York : B. Franklin, [1970]</t>
        </is>
      </c>
      <c r="M276" t="inlineStr">
        <is>
          <t>1970</t>
        </is>
      </c>
      <c r="O276" t="inlineStr">
        <is>
          <t>eng</t>
        </is>
      </c>
      <c r="P276" t="inlineStr">
        <is>
          <t>nyu</t>
        </is>
      </c>
      <c r="Q276" t="inlineStr">
        <is>
          <t>Essays in literature &amp; criticism, 99; Burt Franklin bibliography &amp; reference series, 379</t>
        </is>
      </c>
      <c r="R276" t="inlineStr">
        <is>
          <t xml:space="preserve">PS </t>
        </is>
      </c>
      <c r="S276" t="n">
        <v>5</v>
      </c>
      <c r="T276" t="n">
        <v>5</v>
      </c>
      <c r="U276" t="inlineStr">
        <is>
          <t>2002-12-13</t>
        </is>
      </c>
      <c r="V276" t="inlineStr">
        <is>
          <t>2002-12-13</t>
        </is>
      </c>
      <c r="W276" t="inlineStr">
        <is>
          <t>1992-03-19</t>
        </is>
      </c>
      <c r="X276" t="inlineStr">
        <is>
          <t>1992-03-19</t>
        </is>
      </c>
      <c r="Y276" t="n">
        <v>127</v>
      </c>
      <c r="Z276" t="n">
        <v>111</v>
      </c>
      <c r="AA276" t="n">
        <v>200</v>
      </c>
      <c r="AB276" t="n">
        <v>1</v>
      </c>
      <c r="AC276" t="n">
        <v>1</v>
      </c>
      <c r="AD276" t="n">
        <v>4</v>
      </c>
      <c r="AE276" t="n">
        <v>6</v>
      </c>
      <c r="AF276" t="n">
        <v>3</v>
      </c>
      <c r="AG276" t="n">
        <v>3</v>
      </c>
      <c r="AH276" t="n">
        <v>1</v>
      </c>
      <c r="AI276" t="n">
        <v>1</v>
      </c>
      <c r="AJ276" t="n">
        <v>1</v>
      </c>
      <c r="AK276" t="n">
        <v>3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HYPERLINK("https://creighton-primo.hosted.exlibrisgroup.com/primo-explore/search?tab=default_tab&amp;search_scope=EVERYTHING&amp;vid=01CRU&amp;lang=en_US&amp;offset=0&amp;query=any,contains,991000649499702656","Catalog Record")</f>
        <v/>
      </c>
      <c r="AT276">
        <f>HYPERLINK("http://www.worldcat.org/oclc/112547","WorldCat Record")</f>
        <v/>
      </c>
      <c r="AU276" t="inlineStr">
        <is>
          <t>102594773:eng</t>
        </is>
      </c>
      <c r="AV276" t="inlineStr">
        <is>
          <t>112547</t>
        </is>
      </c>
      <c r="AW276" t="inlineStr">
        <is>
          <t>991000649499702656</t>
        </is>
      </c>
      <c r="AX276" t="inlineStr">
        <is>
          <t>991000649499702656</t>
        </is>
      </c>
      <c r="AY276" t="inlineStr">
        <is>
          <t>2268256270002656</t>
        </is>
      </c>
      <c r="AZ276" t="inlineStr">
        <is>
          <t>BOOK</t>
        </is>
      </c>
      <c r="BB276" t="inlineStr">
        <is>
          <t>9780833712578</t>
        </is>
      </c>
      <c r="BC276" t="inlineStr">
        <is>
          <t>32285001024255</t>
        </is>
      </c>
      <c r="BD276" t="inlineStr">
        <is>
          <t>893231294</t>
        </is>
      </c>
    </row>
    <row r="277">
      <c r="A277" t="inlineStr">
        <is>
          <t>No</t>
        </is>
      </c>
      <c r="B277" t="inlineStr">
        <is>
          <t>PS2481 .G8 1969</t>
        </is>
      </c>
      <c r="C277" t="inlineStr">
        <is>
          <t>0                      PS 2481000G  8           1969</t>
        </is>
      </c>
      <c r="D277" t="inlineStr">
        <is>
          <t>A guest at the Ludlow [by] Bill Nye.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Nye, Bill, 1850-1896.</t>
        </is>
      </c>
      <c r="L277" t="inlineStr">
        <is>
          <t>Upper Saddle River, N.J., Literature House [1969]</t>
        </is>
      </c>
      <c r="M277" t="inlineStr">
        <is>
          <t>1969</t>
        </is>
      </c>
      <c r="O277" t="inlineStr">
        <is>
          <t>eng</t>
        </is>
      </c>
      <c r="P277" t="inlineStr">
        <is>
          <t>nju</t>
        </is>
      </c>
      <c r="Q277" t="inlineStr">
        <is>
          <t>American humorists series</t>
        </is>
      </c>
      <c r="R277" t="inlineStr">
        <is>
          <t xml:space="preserve">PS </t>
        </is>
      </c>
      <c r="S277" t="n">
        <v>2</v>
      </c>
      <c r="T277" t="n">
        <v>2</v>
      </c>
      <c r="U277" t="inlineStr">
        <is>
          <t>1998-10-10</t>
        </is>
      </c>
      <c r="V277" t="inlineStr">
        <is>
          <t>1998-10-10</t>
        </is>
      </c>
      <c r="W277" t="inlineStr">
        <is>
          <t>1997-05-20</t>
        </is>
      </c>
      <c r="X277" t="inlineStr">
        <is>
          <t>1997-05-20</t>
        </is>
      </c>
      <c r="Y277" t="n">
        <v>153</v>
      </c>
      <c r="Z277" t="n">
        <v>141</v>
      </c>
      <c r="AA277" t="n">
        <v>423</v>
      </c>
      <c r="AB277" t="n">
        <v>2</v>
      </c>
      <c r="AC277" t="n">
        <v>3</v>
      </c>
      <c r="AD277" t="n">
        <v>4</v>
      </c>
      <c r="AE277" t="n">
        <v>12</v>
      </c>
      <c r="AF277" t="n">
        <v>1</v>
      </c>
      <c r="AG277" t="n">
        <v>2</v>
      </c>
      <c r="AH277" t="n">
        <v>2</v>
      </c>
      <c r="AI277" t="n">
        <v>5</v>
      </c>
      <c r="AJ277" t="n">
        <v>2</v>
      </c>
      <c r="AK277" t="n">
        <v>6</v>
      </c>
      <c r="AL277" t="n">
        <v>1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HYPERLINK("https://creighton-primo.hosted.exlibrisgroup.com/primo-explore/search?tab=default_tab&amp;search_scope=EVERYTHING&amp;vid=01CRU&amp;lang=en_US&amp;offset=0&amp;query=any,contains,991000102979702656","Catalog Record")</f>
        <v/>
      </c>
      <c r="AT277">
        <f>HYPERLINK("http://www.worldcat.org/oclc/45260","WorldCat Record")</f>
        <v/>
      </c>
      <c r="AU277" t="inlineStr">
        <is>
          <t>2369346:eng</t>
        </is>
      </c>
      <c r="AV277" t="inlineStr">
        <is>
          <t>45260</t>
        </is>
      </c>
      <c r="AW277" t="inlineStr">
        <is>
          <t>991000102979702656</t>
        </is>
      </c>
      <c r="AX277" t="inlineStr">
        <is>
          <t>991000102979702656</t>
        </is>
      </c>
      <c r="AY277" t="inlineStr">
        <is>
          <t>2261661720002656</t>
        </is>
      </c>
      <c r="AZ277" t="inlineStr">
        <is>
          <t>BOOK</t>
        </is>
      </c>
      <c r="BB277" t="inlineStr">
        <is>
          <t>9780839813538</t>
        </is>
      </c>
      <c r="BC277" t="inlineStr">
        <is>
          <t>32285002714433</t>
        </is>
      </c>
      <c r="BD277" t="inlineStr">
        <is>
          <t>893255184</t>
        </is>
      </c>
    </row>
    <row r="278">
      <c r="A278" t="inlineStr">
        <is>
          <t>No</t>
        </is>
      </c>
      <c r="B278" t="inlineStr">
        <is>
          <t>PS2492 .S6 1878</t>
        </is>
      </c>
      <c r="C278" t="inlineStr">
        <is>
          <t>0                      PS 2492000S  6           1878</t>
        </is>
      </c>
      <c r="D278" t="inlineStr">
        <is>
          <t>Songs, legends, and ballads. By John Boyle O'Reilly.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O'Reilly, John Boyle, 1844-1890.</t>
        </is>
      </c>
      <c r="L278" t="inlineStr">
        <is>
          <t>Boston, The Pilot publishing company, 1878.</t>
        </is>
      </c>
      <c r="M278" t="inlineStr">
        <is>
          <t>1878</t>
        </is>
      </c>
      <c r="O278" t="inlineStr">
        <is>
          <t>eng</t>
        </is>
      </c>
      <c r="P278" t="inlineStr">
        <is>
          <t>mau</t>
        </is>
      </c>
      <c r="R278" t="inlineStr">
        <is>
          <t xml:space="preserve">PS </t>
        </is>
      </c>
      <c r="S278" t="n">
        <v>3</v>
      </c>
      <c r="T278" t="n">
        <v>3</v>
      </c>
      <c r="U278" t="inlineStr">
        <is>
          <t>1998-06-25</t>
        </is>
      </c>
      <c r="V278" t="inlineStr">
        <is>
          <t>1998-06-25</t>
        </is>
      </c>
      <c r="W278" t="inlineStr">
        <is>
          <t>1997-05-20</t>
        </is>
      </c>
      <c r="X278" t="inlineStr">
        <is>
          <t>1997-05-20</t>
        </is>
      </c>
      <c r="Y278" t="n">
        <v>52</v>
      </c>
      <c r="Z278" t="n">
        <v>45</v>
      </c>
      <c r="AA278" t="n">
        <v>104</v>
      </c>
      <c r="AB278" t="n">
        <v>1</v>
      </c>
      <c r="AC278" t="n">
        <v>2</v>
      </c>
      <c r="AD278" t="n">
        <v>4</v>
      </c>
      <c r="AE278" t="n">
        <v>11</v>
      </c>
      <c r="AF278" t="n">
        <v>0</v>
      </c>
      <c r="AG278" t="n">
        <v>1</v>
      </c>
      <c r="AH278" t="n">
        <v>2</v>
      </c>
      <c r="AI278" t="n">
        <v>5</v>
      </c>
      <c r="AJ278" t="n">
        <v>3</v>
      </c>
      <c r="AK278" t="n">
        <v>5</v>
      </c>
      <c r="AL278" t="n">
        <v>0</v>
      </c>
      <c r="AM278" t="n">
        <v>1</v>
      </c>
      <c r="AN278" t="n">
        <v>0</v>
      </c>
      <c r="AO278" t="n">
        <v>0</v>
      </c>
      <c r="AP278" t="inlineStr">
        <is>
          <t>Yes</t>
        </is>
      </c>
      <c r="AQ278" t="inlineStr">
        <is>
          <t>No</t>
        </is>
      </c>
      <c r="AR278">
        <f>HYPERLINK("http://catalog.hathitrust.org/Record/007648937","HathiTrust Record")</f>
        <v/>
      </c>
      <c r="AS278">
        <f>HYPERLINK("https://creighton-primo.hosted.exlibrisgroup.com/primo-explore/search?tab=default_tab&amp;search_scope=EVERYTHING&amp;vid=01CRU&amp;lang=en_US&amp;offset=0&amp;query=any,contains,991004513599702656","Catalog Record")</f>
        <v/>
      </c>
      <c r="AT278">
        <f>HYPERLINK("http://www.worldcat.org/oclc/3775127","WorldCat Record")</f>
        <v/>
      </c>
      <c r="AU278" t="inlineStr">
        <is>
          <t>3070452:eng</t>
        </is>
      </c>
      <c r="AV278" t="inlineStr">
        <is>
          <t>3775127</t>
        </is>
      </c>
      <c r="AW278" t="inlineStr">
        <is>
          <t>991004513599702656</t>
        </is>
      </c>
      <c r="AX278" t="inlineStr">
        <is>
          <t>991004513599702656</t>
        </is>
      </c>
      <c r="AY278" t="inlineStr">
        <is>
          <t>2254773520002656</t>
        </is>
      </c>
      <c r="AZ278" t="inlineStr">
        <is>
          <t>BOOK</t>
        </is>
      </c>
      <c r="BC278" t="inlineStr">
        <is>
          <t>32285002714474</t>
        </is>
      </c>
      <c r="BD278" t="inlineStr">
        <is>
          <t>893519745</t>
        </is>
      </c>
    </row>
    <row r="279">
      <c r="A279" t="inlineStr">
        <is>
          <t>No</t>
        </is>
      </c>
      <c r="B279" t="inlineStr">
        <is>
          <t>PS2506 .B77</t>
        </is>
      </c>
      <c r="C279" t="inlineStr">
        <is>
          <t>0                      PS 2506000B  77</t>
        </is>
      </c>
      <c r="D279" t="inlineStr">
        <is>
          <t>Margaret Fuller.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Brown, Arthur W.</t>
        </is>
      </c>
      <c r="L279" t="inlineStr">
        <is>
          <t>New York : Twayne Publishers, [1964]</t>
        </is>
      </c>
      <c r="M279" t="inlineStr">
        <is>
          <t>1964</t>
        </is>
      </c>
      <c r="O279" t="inlineStr">
        <is>
          <t>eng</t>
        </is>
      </c>
      <c r="P279" t="inlineStr">
        <is>
          <t>nyu</t>
        </is>
      </c>
      <c r="Q279" t="inlineStr">
        <is>
          <t>Twayne's United States authors series, 48</t>
        </is>
      </c>
      <c r="R279" t="inlineStr">
        <is>
          <t xml:space="preserve">PS </t>
        </is>
      </c>
      <c r="S279" t="n">
        <v>3</v>
      </c>
      <c r="T279" t="n">
        <v>3</v>
      </c>
      <c r="U279" t="inlineStr">
        <is>
          <t>2001-02-22</t>
        </is>
      </c>
      <c r="V279" t="inlineStr">
        <is>
          <t>2001-02-22</t>
        </is>
      </c>
      <c r="W279" t="inlineStr">
        <is>
          <t>1994-09-29</t>
        </is>
      </c>
      <c r="X279" t="inlineStr">
        <is>
          <t>1994-09-29</t>
        </is>
      </c>
      <c r="Y279" t="n">
        <v>1299</v>
      </c>
      <c r="Z279" t="n">
        <v>1188</v>
      </c>
      <c r="AA279" t="n">
        <v>1250</v>
      </c>
      <c r="AB279" t="n">
        <v>12</v>
      </c>
      <c r="AC279" t="n">
        <v>13</v>
      </c>
      <c r="AD279" t="n">
        <v>51</v>
      </c>
      <c r="AE279" t="n">
        <v>54</v>
      </c>
      <c r="AF279" t="n">
        <v>21</v>
      </c>
      <c r="AG279" t="n">
        <v>22</v>
      </c>
      <c r="AH279" t="n">
        <v>9</v>
      </c>
      <c r="AI279" t="n">
        <v>9</v>
      </c>
      <c r="AJ279" t="n">
        <v>23</v>
      </c>
      <c r="AK279" t="n">
        <v>25</v>
      </c>
      <c r="AL279" t="n">
        <v>10</v>
      </c>
      <c r="AM279" t="n">
        <v>11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HYPERLINK("http://catalog.hathitrust.org/Record/000003938","HathiTrust Record")</f>
        <v/>
      </c>
      <c r="AS279">
        <f>HYPERLINK("https://creighton-primo.hosted.exlibrisgroup.com/primo-explore/search?tab=default_tab&amp;search_scope=EVERYTHING&amp;vid=01CRU&amp;lang=en_US&amp;offset=0&amp;query=any,contains,991002158769702656","Catalog Record")</f>
        <v/>
      </c>
      <c r="AT279">
        <f>HYPERLINK("http://www.worldcat.org/oclc/273443","WorldCat Record")</f>
        <v/>
      </c>
      <c r="AU279" t="inlineStr">
        <is>
          <t>1405347:eng</t>
        </is>
      </c>
      <c r="AV279" t="inlineStr">
        <is>
          <t>273443</t>
        </is>
      </c>
      <c r="AW279" t="inlineStr">
        <is>
          <t>991002158769702656</t>
        </is>
      </c>
      <c r="AX279" t="inlineStr">
        <is>
          <t>991002158769702656</t>
        </is>
      </c>
      <c r="AY279" t="inlineStr">
        <is>
          <t>2261938360002656</t>
        </is>
      </c>
      <c r="AZ279" t="inlineStr">
        <is>
          <t>BOOK</t>
        </is>
      </c>
      <c r="BC279" t="inlineStr">
        <is>
          <t>32285001952778</t>
        </is>
      </c>
      <c r="BD279" t="inlineStr">
        <is>
          <t>893414886</t>
        </is>
      </c>
    </row>
    <row r="280">
      <c r="A280" t="inlineStr">
        <is>
          <t>No</t>
        </is>
      </c>
      <c r="B280" t="inlineStr">
        <is>
          <t>PS2506 .W3</t>
        </is>
      </c>
      <c r="C280" t="inlineStr">
        <is>
          <t>0                      PS 2506000W  3</t>
        </is>
      </c>
      <c r="D280" t="inlineStr">
        <is>
          <t>Margaret Fuller : whetstone of genius.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Wade, Mason, 1913-1986.</t>
        </is>
      </c>
      <c r="L280" t="inlineStr">
        <is>
          <t>New York : The Viking Press, 1940.</t>
        </is>
      </c>
      <c r="M280" t="inlineStr">
        <is>
          <t>1940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PS </t>
        </is>
      </c>
      <c r="S280" t="n">
        <v>4</v>
      </c>
      <c r="T280" t="n">
        <v>4</v>
      </c>
      <c r="U280" t="inlineStr">
        <is>
          <t>2001-02-22</t>
        </is>
      </c>
      <c r="V280" t="inlineStr">
        <is>
          <t>2001-02-22</t>
        </is>
      </c>
      <c r="W280" t="inlineStr">
        <is>
          <t>1992-07-30</t>
        </is>
      </c>
      <c r="X280" t="inlineStr">
        <is>
          <t>1992-07-30</t>
        </is>
      </c>
      <c r="Y280" t="n">
        <v>808</v>
      </c>
      <c r="Z280" t="n">
        <v>745</v>
      </c>
      <c r="AA280" t="n">
        <v>876</v>
      </c>
      <c r="AB280" t="n">
        <v>6</v>
      </c>
      <c r="AC280" t="n">
        <v>7</v>
      </c>
      <c r="AD280" t="n">
        <v>37</v>
      </c>
      <c r="AE280" t="n">
        <v>42</v>
      </c>
      <c r="AF280" t="n">
        <v>13</v>
      </c>
      <c r="AG280" t="n">
        <v>16</v>
      </c>
      <c r="AH280" t="n">
        <v>6</v>
      </c>
      <c r="AI280" t="n">
        <v>7</v>
      </c>
      <c r="AJ280" t="n">
        <v>22</v>
      </c>
      <c r="AK280" t="n">
        <v>24</v>
      </c>
      <c r="AL280" t="n">
        <v>5</v>
      </c>
      <c r="AM280" t="n">
        <v>6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HYPERLINK("http://catalog.hathitrust.org/Record/001376284","HathiTrust Record")</f>
        <v/>
      </c>
      <c r="AS280">
        <f>HYPERLINK("https://creighton-primo.hosted.exlibrisgroup.com/primo-explore/search?tab=default_tab&amp;search_scope=EVERYTHING&amp;vid=01CRU&amp;lang=en_US&amp;offset=0&amp;query=any,contains,991002251029702656","Catalog Record")</f>
        <v/>
      </c>
      <c r="AT280">
        <f>HYPERLINK("http://www.worldcat.org/oclc/298966","WorldCat Record")</f>
        <v/>
      </c>
      <c r="AU280" t="inlineStr">
        <is>
          <t>376124009:eng</t>
        </is>
      </c>
      <c r="AV280" t="inlineStr">
        <is>
          <t>298966</t>
        </is>
      </c>
      <c r="AW280" t="inlineStr">
        <is>
          <t>991002251029702656</t>
        </is>
      </c>
      <c r="AX280" t="inlineStr">
        <is>
          <t>991002251029702656</t>
        </is>
      </c>
      <c r="AY280" t="inlineStr">
        <is>
          <t>2266416760002656</t>
        </is>
      </c>
      <c r="AZ280" t="inlineStr">
        <is>
          <t>BOOK</t>
        </is>
      </c>
      <c r="BC280" t="inlineStr">
        <is>
          <t>32285001240281</t>
        </is>
      </c>
      <c r="BD280" t="inlineStr">
        <is>
          <t>893779594</t>
        </is>
      </c>
    </row>
    <row r="281">
      <c r="A281" t="inlineStr">
        <is>
          <t>No</t>
        </is>
      </c>
      <c r="B281" t="inlineStr">
        <is>
          <t>PS255.N5 B76 1996</t>
        </is>
      </c>
      <c r="C281" t="inlineStr">
        <is>
          <t>0                      PS 0255000N  5                  B  76          1996</t>
        </is>
      </c>
      <c r="D281" t="inlineStr">
        <is>
          <t>New York fictions : modernity, postmodernism, the new modern / Peter Brooker.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Brooker, Peter.</t>
        </is>
      </c>
      <c r="L281" t="inlineStr">
        <is>
          <t>London ; New York : Longman, 1996.</t>
        </is>
      </c>
      <c r="M281" t="inlineStr">
        <is>
          <t>1996</t>
        </is>
      </c>
      <c r="O281" t="inlineStr">
        <is>
          <t>eng</t>
        </is>
      </c>
      <c r="P281" t="inlineStr">
        <is>
          <t>enk</t>
        </is>
      </c>
      <c r="Q281" t="inlineStr">
        <is>
          <t>Studies in twentieth-century literature</t>
        </is>
      </c>
      <c r="R281" t="inlineStr">
        <is>
          <t xml:space="preserve">PS </t>
        </is>
      </c>
      <c r="S281" t="n">
        <v>2</v>
      </c>
      <c r="T281" t="n">
        <v>2</v>
      </c>
      <c r="U281" t="inlineStr">
        <is>
          <t>1997-04-09</t>
        </is>
      </c>
      <c r="V281" t="inlineStr">
        <is>
          <t>1997-04-09</t>
        </is>
      </c>
      <c r="W281" t="inlineStr">
        <is>
          <t>1997-03-10</t>
        </is>
      </c>
      <c r="X281" t="inlineStr">
        <is>
          <t>1997-03-10</t>
        </is>
      </c>
      <c r="Y281" t="n">
        <v>291</v>
      </c>
      <c r="Z281" t="n">
        <v>185</v>
      </c>
      <c r="AA281" t="n">
        <v>214</v>
      </c>
      <c r="AB281" t="n">
        <v>2</v>
      </c>
      <c r="AC281" t="n">
        <v>2</v>
      </c>
      <c r="AD281" t="n">
        <v>12</v>
      </c>
      <c r="AE281" t="n">
        <v>12</v>
      </c>
      <c r="AF281" t="n">
        <v>4</v>
      </c>
      <c r="AG281" t="n">
        <v>4</v>
      </c>
      <c r="AH281" t="n">
        <v>4</v>
      </c>
      <c r="AI281" t="n">
        <v>4</v>
      </c>
      <c r="AJ281" t="n">
        <v>6</v>
      </c>
      <c r="AK281" t="n">
        <v>6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HYPERLINK("http://catalog.hathitrust.org/Record/007133963","HathiTrust Record")</f>
        <v/>
      </c>
      <c r="AS281">
        <f>HYPERLINK("https://creighton-primo.hosted.exlibrisgroup.com/primo-explore/search?tab=default_tab&amp;search_scope=EVERYTHING&amp;vid=01CRU&amp;lang=en_US&amp;offset=0&amp;query=any,contains,991002538479702656","Catalog Record")</f>
        <v/>
      </c>
      <c r="AT281">
        <f>HYPERLINK("http://www.worldcat.org/oclc/32970852","WorldCat Record")</f>
        <v/>
      </c>
      <c r="AU281" t="inlineStr">
        <is>
          <t>836982068:eng</t>
        </is>
      </c>
      <c r="AV281" t="inlineStr">
        <is>
          <t>32970852</t>
        </is>
      </c>
      <c r="AW281" t="inlineStr">
        <is>
          <t>991002538479702656</t>
        </is>
      </c>
      <c r="AX281" t="inlineStr">
        <is>
          <t>991002538479702656</t>
        </is>
      </c>
      <c r="AY281" t="inlineStr">
        <is>
          <t>2269237370002656</t>
        </is>
      </c>
      <c r="AZ281" t="inlineStr">
        <is>
          <t>BOOK</t>
        </is>
      </c>
      <c r="BB281" t="inlineStr">
        <is>
          <t>9780582099548</t>
        </is>
      </c>
      <c r="BC281" t="inlineStr">
        <is>
          <t>32285002441128</t>
        </is>
      </c>
      <c r="BD281" t="inlineStr">
        <is>
          <t>893886423</t>
        </is>
      </c>
    </row>
    <row r="282">
      <c r="A282" t="inlineStr">
        <is>
          <t>No</t>
        </is>
      </c>
      <c r="B282" t="inlineStr">
        <is>
          <t>PS261 .B43 1968</t>
        </is>
      </c>
      <c r="C282" t="inlineStr">
        <is>
          <t>0                      PS 0261000B  43          1968</t>
        </is>
      </c>
      <c r="D282" t="inlineStr">
        <is>
          <t>The literature of the South / [by] Thomas Daniel Young, Floyd C. Watkins [and] Richmond Croom Beatty.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Beatty, Richmond Croom, 1905-1961.</t>
        </is>
      </c>
      <c r="L282" t="inlineStr">
        <is>
          <t>[Glenview, Ill.] : Scott, Foresman, [1968]</t>
        </is>
      </c>
      <c r="M282" t="inlineStr">
        <is>
          <t>1968</t>
        </is>
      </c>
      <c r="N282" t="inlineStr">
        <is>
          <t>Rev. ed.</t>
        </is>
      </c>
      <c r="O282" t="inlineStr">
        <is>
          <t>eng</t>
        </is>
      </c>
      <c r="P282" t="inlineStr">
        <is>
          <t>ilu</t>
        </is>
      </c>
      <c r="R282" t="inlineStr">
        <is>
          <t xml:space="preserve">PS </t>
        </is>
      </c>
      <c r="S282" t="n">
        <v>3</v>
      </c>
      <c r="T282" t="n">
        <v>3</v>
      </c>
      <c r="U282" t="inlineStr">
        <is>
          <t>2004-02-28</t>
        </is>
      </c>
      <c r="V282" t="inlineStr">
        <is>
          <t>2004-02-28</t>
        </is>
      </c>
      <c r="W282" t="inlineStr">
        <is>
          <t>1990-04-25</t>
        </is>
      </c>
      <c r="X282" t="inlineStr">
        <is>
          <t>1990-04-25</t>
        </is>
      </c>
      <c r="Y282" t="n">
        <v>487</v>
      </c>
      <c r="Z282" t="n">
        <v>438</v>
      </c>
      <c r="AA282" t="n">
        <v>790</v>
      </c>
      <c r="AB282" t="n">
        <v>3</v>
      </c>
      <c r="AC282" t="n">
        <v>6</v>
      </c>
      <c r="AD282" t="n">
        <v>17</v>
      </c>
      <c r="AE282" t="n">
        <v>26</v>
      </c>
      <c r="AF282" t="n">
        <v>8</v>
      </c>
      <c r="AG282" t="n">
        <v>12</v>
      </c>
      <c r="AH282" t="n">
        <v>3</v>
      </c>
      <c r="AI282" t="n">
        <v>4</v>
      </c>
      <c r="AJ282" t="n">
        <v>6</v>
      </c>
      <c r="AK282" t="n">
        <v>10</v>
      </c>
      <c r="AL282" t="n">
        <v>2</v>
      </c>
      <c r="AM282" t="n">
        <v>5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HYPERLINK("http://catalog.hathitrust.org/Record/006755404","HathiTrust Record")</f>
        <v/>
      </c>
      <c r="AS282">
        <f>HYPERLINK("https://creighton-primo.hosted.exlibrisgroup.com/primo-explore/search?tab=default_tab&amp;search_scope=EVERYTHING&amp;vid=01CRU&amp;lang=en_US&amp;offset=0&amp;query=any,contains,991003696119702656","Catalog Record")</f>
        <v/>
      </c>
      <c r="AT282">
        <f>HYPERLINK("http://www.worldcat.org/oclc/1328623","WorldCat Record")</f>
        <v/>
      </c>
      <c r="AU282" t="inlineStr">
        <is>
          <t>2212881:eng</t>
        </is>
      </c>
      <c r="AV282" t="inlineStr">
        <is>
          <t>1328623</t>
        </is>
      </c>
      <c r="AW282" t="inlineStr">
        <is>
          <t>991003696119702656</t>
        </is>
      </c>
      <c r="AX282" t="inlineStr">
        <is>
          <t>991003696119702656</t>
        </is>
      </c>
      <c r="AY282" t="inlineStr">
        <is>
          <t>2259234790002656</t>
        </is>
      </c>
      <c r="AZ282" t="inlineStr">
        <is>
          <t>BOOK</t>
        </is>
      </c>
      <c r="BC282" t="inlineStr">
        <is>
          <t>32285000119213</t>
        </is>
      </c>
      <c r="BD282" t="inlineStr">
        <is>
          <t>893234463</t>
        </is>
      </c>
    </row>
    <row r="283">
      <c r="A283" t="inlineStr">
        <is>
          <t>No</t>
        </is>
      </c>
      <c r="B283" t="inlineStr">
        <is>
          <t>PS261 .H6 1969</t>
        </is>
      </c>
      <c r="C283" t="inlineStr">
        <is>
          <t>0                      PS 0261000H  6           1969</t>
        </is>
      </c>
      <c r="D283" t="inlineStr">
        <is>
          <t>A history of Southern literature.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Holliday, Carl, 1879-1936.</t>
        </is>
      </c>
      <c r="L283" t="inlineStr">
        <is>
          <t>Port Washington, N.Y., Kennikat Press [1969]</t>
        </is>
      </c>
      <c r="M283" t="inlineStr">
        <is>
          <t>1969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PS </t>
        </is>
      </c>
      <c r="S283" t="n">
        <v>2</v>
      </c>
      <c r="T283" t="n">
        <v>2</v>
      </c>
      <c r="U283" t="inlineStr">
        <is>
          <t>1998-02-12</t>
        </is>
      </c>
      <c r="V283" t="inlineStr">
        <is>
          <t>1998-02-12</t>
        </is>
      </c>
      <c r="W283" t="inlineStr">
        <is>
          <t>1992-02-10</t>
        </is>
      </c>
      <c r="X283" t="inlineStr">
        <is>
          <t>1992-02-10</t>
        </is>
      </c>
      <c r="Y283" t="n">
        <v>321</v>
      </c>
      <c r="Z283" t="n">
        <v>292</v>
      </c>
      <c r="AA283" t="n">
        <v>436</v>
      </c>
      <c r="AB283" t="n">
        <v>4</v>
      </c>
      <c r="AC283" t="n">
        <v>4</v>
      </c>
      <c r="AD283" t="n">
        <v>14</v>
      </c>
      <c r="AE283" t="n">
        <v>19</v>
      </c>
      <c r="AF283" t="n">
        <v>3</v>
      </c>
      <c r="AG283" t="n">
        <v>4</v>
      </c>
      <c r="AH283" t="n">
        <v>3</v>
      </c>
      <c r="AI283" t="n">
        <v>4</v>
      </c>
      <c r="AJ283" t="n">
        <v>9</v>
      </c>
      <c r="AK283" t="n">
        <v>13</v>
      </c>
      <c r="AL283" t="n">
        <v>3</v>
      </c>
      <c r="AM283" t="n">
        <v>3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HYPERLINK("http://catalog.hathitrust.org/Record/012349727","HathiTrust Record")</f>
        <v/>
      </c>
      <c r="AS283">
        <f>HYPERLINK("https://creighton-primo.hosted.exlibrisgroup.com/primo-explore/search?tab=default_tab&amp;search_scope=EVERYTHING&amp;vid=01CRU&amp;lang=en_US&amp;offset=0&amp;query=any,contains,991005433039702656","Catalog Record")</f>
        <v/>
      </c>
      <c r="AT283">
        <f>HYPERLINK("http://www.worldcat.org/oclc/1584","WorldCat Record")</f>
        <v/>
      </c>
      <c r="AU283" t="inlineStr">
        <is>
          <t>458196:eng</t>
        </is>
      </c>
      <c r="AV283" t="inlineStr">
        <is>
          <t>1584</t>
        </is>
      </c>
      <c r="AW283" t="inlineStr">
        <is>
          <t>991005433039702656</t>
        </is>
      </c>
      <c r="AX283" t="inlineStr">
        <is>
          <t>991005433039702656</t>
        </is>
      </c>
      <c r="AY283" t="inlineStr">
        <is>
          <t>2271161660002656</t>
        </is>
      </c>
      <c r="AZ283" t="inlineStr">
        <is>
          <t>BOOK</t>
        </is>
      </c>
      <c r="BC283" t="inlineStr">
        <is>
          <t>32285000945831</t>
        </is>
      </c>
      <c r="BD283" t="inlineStr">
        <is>
          <t>893890231</t>
        </is>
      </c>
    </row>
    <row r="284">
      <c r="A284" t="inlineStr">
        <is>
          <t>No</t>
        </is>
      </c>
      <c r="B284" t="inlineStr">
        <is>
          <t>PS261 .M5</t>
        </is>
      </c>
      <c r="C284" t="inlineStr">
        <is>
          <t>0                      PS 0261000M  5</t>
        </is>
      </c>
      <c r="D284" t="inlineStr">
        <is>
          <t>Southern writers and the New South movement, 1865-1913 / by Wayne Mixon.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Mixon, Wayne.</t>
        </is>
      </c>
      <c r="L284" t="inlineStr">
        <is>
          <t>Chapel Hill : University of North Carolina Press, c1980.</t>
        </is>
      </c>
      <c r="M284" t="inlineStr">
        <is>
          <t>1980</t>
        </is>
      </c>
      <c r="O284" t="inlineStr">
        <is>
          <t>eng</t>
        </is>
      </c>
      <c r="P284" t="inlineStr">
        <is>
          <t>ncu</t>
        </is>
      </c>
      <c r="Q284" t="inlineStr">
        <is>
          <t>The James Sprunt studies in history and political science ; v. 57</t>
        </is>
      </c>
      <c r="R284" t="inlineStr">
        <is>
          <t xml:space="preserve">PS </t>
        </is>
      </c>
      <c r="S284" t="n">
        <v>3</v>
      </c>
      <c r="T284" t="n">
        <v>3</v>
      </c>
      <c r="U284" t="inlineStr">
        <is>
          <t>1999-01-22</t>
        </is>
      </c>
      <c r="V284" t="inlineStr">
        <is>
          <t>1999-01-22</t>
        </is>
      </c>
      <c r="W284" t="inlineStr">
        <is>
          <t>1992-02-06</t>
        </is>
      </c>
      <c r="X284" t="inlineStr">
        <is>
          <t>1992-02-06</t>
        </is>
      </c>
      <c r="Y284" t="n">
        <v>371</v>
      </c>
      <c r="Z284" t="n">
        <v>326</v>
      </c>
      <c r="AA284" t="n">
        <v>334</v>
      </c>
      <c r="AB284" t="n">
        <v>3</v>
      </c>
      <c r="AC284" t="n">
        <v>3</v>
      </c>
      <c r="AD284" t="n">
        <v>13</v>
      </c>
      <c r="AE284" t="n">
        <v>13</v>
      </c>
      <c r="AF284" t="n">
        <v>4</v>
      </c>
      <c r="AG284" t="n">
        <v>4</v>
      </c>
      <c r="AH284" t="n">
        <v>3</v>
      </c>
      <c r="AI284" t="n">
        <v>3</v>
      </c>
      <c r="AJ284" t="n">
        <v>6</v>
      </c>
      <c r="AK284" t="n">
        <v>6</v>
      </c>
      <c r="AL284" t="n">
        <v>2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HYPERLINK("http://catalog.hathitrust.org/Record/000691405","HathiTrust Record")</f>
        <v/>
      </c>
      <c r="AS284">
        <f>HYPERLINK("https://creighton-primo.hosted.exlibrisgroup.com/primo-explore/search?tab=default_tab&amp;search_scope=EVERYTHING&amp;vid=01CRU&amp;lang=en_US&amp;offset=0&amp;query=any,contains,991004792119702656","Catalog Record")</f>
        <v/>
      </c>
      <c r="AT284">
        <f>HYPERLINK("http://www.worldcat.org/oclc/5171486","WorldCat Record")</f>
        <v/>
      </c>
      <c r="AU284" t="inlineStr">
        <is>
          <t>16418875:eng</t>
        </is>
      </c>
      <c r="AV284" t="inlineStr">
        <is>
          <t>5171486</t>
        </is>
      </c>
      <c r="AW284" t="inlineStr">
        <is>
          <t>991004792119702656</t>
        </is>
      </c>
      <c r="AX284" t="inlineStr">
        <is>
          <t>991004792119702656</t>
        </is>
      </c>
      <c r="AY284" t="inlineStr">
        <is>
          <t>2259147990002656</t>
        </is>
      </c>
      <c r="AZ284" t="inlineStr">
        <is>
          <t>BOOK</t>
        </is>
      </c>
      <c r="BB284" t="inlineStr">
        <is>
          <t>9780807850572</t>
        </is>
      </c>
      <c r="BC284" t="inlineStr">
        <is>
          <t>32285000942721</t>
        </is>
      </c>
      <c r="BD284" t="inlineStr">
        <is>
          <t>893338133</t>
        </is>
      </c>
    </row>
    <row r="285">
      <c r="A285" t="inlineStr">
        <is>
          <t>No</t>
        </is>
      </c>
      <c r="B285" t="inlineStr">
        <is>
          <t>PS261 .M7</t>
        </is>
      </c>
      <c r="C285" t="inlineStr">
        <is>
          <t>0                      PS 0261000M  7</t>
        </is>
      </c>
      <c r="D285" t="inlineStr">
        <is>
          <t>The literature of the South, by Montrose J. Moses.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Moses, Montrose Jonas, 1878-1934.</t>
        </is>
      </c>
      <c r="L285" t="inlineStr">
        <is>
          <t>New York, T.Y. Crowell &amp; Company [1910]</t>
        </is>
      </c>
      <c r="M285" t="inlineStr">
        <is>
          <t>1910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PS </t>
        </is>
      </c>
      <c r="S285" t="n">
        <v>2</v>
      </c>
      <c r="T285" t="n">
        <v>2</v>
      </c>
      <c r="U285" t="inlineStr">
        <is>
          <t>1998-02-12</t>
        </is>
      </c>
      <c r="V285" t="inlineStr">
        <is>
          <t>1998-02-12</t>
        </is>
      </c>
      <c r="W285" t="inlineStr">
        <is>
          <t>1992-02-10</t>
        </is>
      </c>
      <c r="X285" t="inlineStr">
        <is>
          <t>1992-02-10</t>
        </is>
      </c>
      <c r="Y285" t="n">
        <v>200</v>
      </c>
      <c r="Z285" t="n">
        <v>191</v>
      </c>
      <c r="AA285" t="n">
        <v>216</v>
      </c>
      <c r="AB285" t="n">
        <v>2</v>
      </c>
      <c r="AC285" t="n">
        <v>3</v>
      </c>
      <c r="AD285" t="n">
        <v>7</v>
      </c>
      <c r="AE285" t="n">
        <v>9</v>
      </c>
      <c r="AF285" t="n">
        <v>1</v>
      </c>
      <c r="AG285" t="n">
        <v>1</v>
      </c>
      <c r="AH285" t="n">
        <v>3</v>
      </c>
      <c r="AI285" t="n">
        <v>4</v>
      </c>
      <c r="AJ285" t="n">
        <v>5</v>
      </c>
      <c r="AK285" t="n">
        <v>5</v>
      </c>
      <c r="AL285" t="n">
        <v>1</v>
      </c>
      <c r="AM285" t="n">
        <v>2</v>
      </c>
      <c r="AN285" t="n">
        <v>0</v>
      </c>
      <c r="AO285" t="n">
        <v>0</v>
      </c>
      <c r="AP285" t="inlineStr">
        <is>
          <t>Yes</t>
        </is>
      </c>
      <c r="AQ285" t="inlineStr">
        <is>
          <t>No</t>
        </is>
      </c>
      <c r="AR285">
        <f>HYPERLINK("http://catalog.hathitrust.org/Record/003853172","HathiTrust Record")</f>
        <v/>
      </c>
      <c r="AS285">
        <f>HYPERLINK("https://creighton-primo.hosted.exlibrisgroup.com/primo-explore/search?tab=default_tab&amp;search_scope=EVERYTHING&amp;vid=01CRU&amp;lang=en_US&amp;offset=0&amp;query=any,contains,991003823159702656","Catalog Record")</f>
        <v/>
      </c>
      <c r="AT285">
        <f>HYPERLINK("http://www.worldcat.org/oclc/1563329","WorldCat Record")</f>
        <v/>
      </c>
      <c r="AU285" t="inlineStr">
        <is>
          <t>2407101:eng</t>
        </is>
      </c>
      <c r="AV285" t="inlineStr">
        <is>
          <t>1563329</t>
        </is>
      </c>
      <c r="AW285" t="inlineStr">
        <is>
          <t>991003823159702656</t>
        </is>
      </c>
      <c r="AX285" t="inlineStr">
        <is>
          <t>991003823159702656</t>
        </is>
      </c>
      <c r="AY285" t="inlineStr">
        <is>
          <t>2263157060002656</t>
        </is>
      </c>
      <c r="AZ285" t="inlineStr">
        <is>
          <t>BOOK</t>
        </is>
      </c>
      <c r="BC285" t="inlineStr">
        <is>
          <t>32285000945856</t>
        </is>
      </c>
      <c r="BD285" t="inlineStr">
        <is>
          <t>893258906</t>
        </is>
      </c>
    </row>
    <row r="286">
      <c r="A286" t="inlineStr">
        <is>
          <t>No</t>
        </is>
      </c>
      <c r="B286" t="inlineStr">
        <is>
          <t>PS261 .N6 1986</t>
        </is>
      </c>
      <c r="C286" t="inlineStr">
        <is>
          <t>0                      PS 0261000N  6           1986</t>
        </is>
      </c>
      <c r="D286" t="inlineStr">
        <is>
          <t>No fairer land : studies in southern literature before 1900 / edited by J. Lasley Dameron and James W. Mathews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L286" t="inlineStr">
        <is>
          <t>Troy, N.Y. : Whitston Pub. Co., 1986.</t>
        </is>
      </c>
      <c r="M286" t="inlineStr">
        <is>
          <t>1986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PS </t>
        </is>
      </c>
      <c r="S286" t="n">
        <v>3</v>
      </c>
      <c r="T286" t="n">
        <v>3</v>
      </c>
      <c r="U286" t="inlineStr">
        <is>
          <t>2004-02-28</t>
        </is>
      </c>
      <c r="V286" t="inlineStr">
        <is>
          <t>2004-02-28</t>
        </is>
      </c>
      <c r="W286" t="inlineStr">
        <is>
          <t>1992-08-21</t>
        </is>
      </c>
      <c r="X286" t="inlineStr">
        <is>
          <t>1992-08-21</t>
        </is>
      </c>
      <c r="Y286" t="n">
        <v>261</v>
      </c>
      <c r="Z286" t="n">
        <v>230</v>
      </c>
      <c r="AA286" t="n">
        <v>321</v>
      </c>
      <c r="AB286" t="n">
        <v>3</v>
      </c>
      <c r="AC286" t="n">
        <v>3</v>
      </c>
      <c r="AD286" t="n">
        <v>13</v>
      </c>
      <c r="AE286" t="n">
        <v>20</v>
      </c>
      <c r="AF286" t="n">
        <v>5</v>
      </c>
      <c r="AG286" t="n">
        <v>11</v>
      </c>
      <c r="AH286" t="n">
        <v>1</v>
      </c>
      <c r="AI286" t="n">
        <v>3</v>
      </c>
      <c r="AJ286" t="n">
        <v>8</v>
      </c>
      <c r="AK286" t="n">
        <v>9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HYPERLINK("http://catalog.hathitrust.org/Record/000835319","HathiTrust Record")</f>
        <v/>
      </c>
      <c r="AS286">
        <f>HYPERLINK("https://creighton-primo.hosted.exlibrisgroup.com/primo-explore/search?tab=default_tab&amp;search_scope=EVERYTHING&amp;vid=01CRU&amp;lang=en_US&amp;offset=0&amp;query=any,contains,991001002849702656","Catalog Record")</f>
        <v/>
      </c>
      <c r="AT286">
        <f>HYPERLINK("http://www.worldcat.org/oclc/15221335","WorldCat Record")</f>
        <v/>
      </c>
      <c r="AU286" t="inlineStr">
        <is>
          <t>438879996:eng</t>
        </is>
      </c>
      <c r="AV286" t="inlineStr">
        <is>
          <t>15221335</t>
        </is>
      </c>
      <c r="AW286" t="inlineStr">
        <is>
          <t>991001002849702656</t>
        </is>
      </c>
      <c r="AX286" t="inlineStr">
        <is>
          <t>991001002849702656</t>
        </is>
      </c>
      <c r="AY286" t="inlineStr">
        <is>
          <t>2262820680002656</t>
        </is>
      </c>
      <c r="AZ286" t="inlineStr">
        <is>
          <t>BOOK</t>
        </is>
      </c>
      <c r="BB286" t="inlineStr">
        <is>
          <t>9780878753055</t>
        </is>
      </c>
      <c r="BC286" t="inlineStr">
        <is>
          <t>32285001270098</t>
        </is>
      </c>
      <c r="BD286" t="inlineStr">
        <is>
          <t>893315431</t>
        </is>
      </c>
    </row>
    <row r="287">
      <c r="A287" t="inlineStr">
        <is>
          <t>No</t>
        </is>
      </c>
      <c r="B287" t="inlineStr">
        <is>
          <t>PS261 .R68</t>
        </is>
      </c>
      <c r="C287" t="inlineStr">
        <is>
          <t>0                      PS 0261000R  68</t>
        </is>
      </c>
      <c r="D287" t="inlineStr">
        <is>
          <t>William Elliott shoots a bear : essays on the Southern Literary imagination / Louis D. Rubin, Jr.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Rubin, Louis D., Jr. (Louis Decimus), 1923-2013.</t>
        </is>
      </c>
      <c r="L287" t="inlineStr">
        <is>
          <t>Baton Rouge : Louisiana State University Press, c1975.</t>
        </is>
      </c>
      <c r="M287" t="inlineStr">
        <is>
          <t>1975</t>
        </is>
      </c>
      <c r="O287" t="inlineStr">
        <is>
          <t>eng</t>
        </is>
      </c>
      <c r="P287" t="inlineStr">
        <is>
          <t>lau</t>
        </is>
      </c>
      <c r="R287" t="inlineStr">
        <is>
          <t xml:space="preserve">PS </t>
        </is>
      </c>
      <c r="S287" t="n">
        <v>1</v>
      </c>
      <c r="T287" t="n">
        <v>1</v>
      </c>
      <c r="U287" t="inlineStr">
        <is>
          <t>1998-02-16</t>
        </is>
      </c>
      <c r="V287" t="inlineStr">
        <is>
          <t>1998-02-16</t>
        </is>
      </c>
      <c r="W287" t="inlineStr">
        <is>
          <t>1992-08-21</t>
        </is>
      </c>
      <c r="X287" t="inlineStr">
        <is>
          <t>1992-08-21</t>
        </is>
      </c>
      <c r="Y287" t="n">
        <v>828</v>
      </c>
      <c r="Z287" t="n">
        <v>746</v>
      </c>
      <c r="AA287" t="n">
        <v>747</v>
      </c>
      <c r="AB287" t="n">
        <v>8</v>
      </c>
      <c r="AC287" t="n">
        <v>8</v>
      </c>
      <c r="AD287" t="n">
        <v>31</v>
      </c>
      <c r="AE287" t="n">
        <v>31</v>
      </c>
      <c r="AF287" t="n">
        <v>11</v>
      </c>
      <c r="AG287" t="n">
        <v>11</v>
      </c>
      <c r="AH287" t="n">
        <v>6</v>
      </c>
      <c r="AI287" t="n">
        <v>6</v>
      </c>
      <c r="AJ287" t="n">
        <v>13</v>
      </c>
      <c r="AK287" t="n">
        <v>13</v>
      </c>
      <c r="AL287" t="n">
        <v>7</v>
      </c>
      <c r="AM287" t="n">
        <v>7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HYPERLINK("https://creighton-primo.hosted.exlibrisgroup.com/primo-explore/search?tab=default_tab&amp;search_scope=EVERYTHING&amp;vid=01CRU&amp;lang=en_US&amp;offset=0&amp;query=any,contains,991003998759702656","Catalog Record")</f>
        <v/>
      </c>
      <c r="AT287">
        <f>HYPERLINK("http://www.worldcat.org/oclc/2069267","WorldCat Record")</f>
        <v/>
      </c>
      <c r="AU287" t="inlineStr">
        <is>
          <t>347376016:eng</t>
        </is>
      </c>
      <c r="AV287" t="inlineStr">
        <is>
          <t>2069267</t>
        </is>
      </c>
      <c r="AW287" t="inlineStr">
        <is>
          <t>991003998759702656</t>
        </is>
      </c>
      <c r="AX287" t="inlineStr">
        <is>
          <t>991003998759702656</t>
        </is>
      </c>
      <c r="AY287" t="inlineStr">
        <is>
          <t>2265938210002656</t>
        </is>
      </c>
      <c r="AZ287" t="inlineStr">
        <is>
          <t>BOOK</t>
        </is>
      </c>
      <c r="BB287" t="inlineStr">
        <is>
          <t>9780807101605</t>
        </is>
      </c>
      <c r="BC287" t="inlineStr">
        <is>
          <t>32285001270130</t>
        </is>
      </c>
      <c r="BD287" t="inlineStr">
        <is>
          <t>893531857</t>
        </is>
      </c>
    </row>
    <row r="288">
      <c r="A288" t="inlineStr">
        <is>
          <t>No</t>
        </is>
      </c>
      <c r="B288" t="inlineStr">
        <is>
          <t>PS261 .S528</t>
        </is>
      </c>
      <c r="C288" t="inlineStr">
        <is>
          <t>0                      PS 0261000S  528</t>
        </is>
      </c>
      <c r="D288" t="inlineStr">
        <is>
          <t>Southern literary study : problems and possibilities / edited by Louis D. Rubin, Jr. and C. Hugh Holman.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Chapel Hill : University of North Carolina Press, 1975.</t>
        </is>
      </c>
      <c r="M288" t="inlineStr">
        <is>
          <t>1975</t>
        </is>
      </c>
      <c r="O288" t="inlineStr">
        <is>
          <t>eng</t>
        </is>
      </c>
      <c r="P288" t="inlineStr">
        <is>
          <t>ncu</t>
        </is>
      </c>
      <c r="R288" t="inlineStr">
        <is>
          <t xml:space="preserve">PS </t>
        </is>
      </c>
      <c r="S288" t="n">
        <v>1</v>
      </c>
      <c r="T288" t="n">
        <v>1</v>
      </c>
      <c r="U288" t="inlineStr">
        <is>
          <t>2004-02-28</t>
        </is>
      </c>
      <c r="V288" t="inlineStr">
        <is>
          <t>2004-02-28</t>
        </is>
      </c>
      <c r="W288" t="inlineStr">
        <is>
          <t>1992-08-21</t>
        </is>
      </c>
      <c r="X288" t="inlineStr">
        <is>
          <t>1992-08-21</t>
        </is>
      </c>
      <c r="Y288" t="n">
        <v>687</v>
      </c>
      <c r="Z288" t="n">
        <v>618</v>
      </c>
      <c r="AA288" t="n">
        <v>629</v>
      </c>
      <c r="AB288" t="n">
        <v>5</v>
      </c>
      <c r="AC288" t="n">
        <v>5</v>
      </c>
      <c r="AD288" t="n">
        <v>33</v>
      </c>
      <c r="AE288" t="n">
        <v>33</v>
      </c>
      <c r="AF288" t="n">
        <v>13</v>
      </c>
      <c r="AG288" t="n">
        <v>13</v>
      </c>
      <c r="AH288" t="n">
        <v>7</v>
      </c>
      <c r="AI288" t="n">
        <v>7</v>
      </c>
      <c r="AJ288" t="n">
        <v>19</v>
      </c>
      <c r="AK288" t="n">
        <v>19</v>
      </c>
      <c r="AL288" t="n">
        <v>4</v>
      </c>
      <c r="AM288" t="n">
        <v>4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HYPERLINK("http://catalog.hathitrust.org/Record/000035471","HathiTrust Record")</f>
        <v/>
      </c>
      <c r="AS288">
        <f>HYPERLINK("https://creighton-primo.hosted.exlibrisgroup.com/primo-explore/search?tab=default_tab&amp;search_scope=EVERYTHING&amp;vid=01CRU&amp;lang=en_US&amp;offset=0&amp;query=any,contains,991003691919702656","Catalog Record")</f>
        <v/>
      </c>
      <c r="AT288">
        <f>HYPERLINK("http://www.worldcat.org/oclc/1322911","WorldCat Record")</f>
        <v/>
      </c>
      <c r="AU288" t="inlineStr">
        <is>
          <t>889326265:eng</t>
        </is>
      </c>
      <c r="AV288" t="inlineStr">
        <is>
          <t>1322911</t>
        </is>
      </c>
      <c r="AW288" t="inlineStr">
        <is>
          <t>991003691919702656</t>
        </is>
      </c>
      <c r="AX288" t="inlineStr">
        <is>
          <t>991003691919702656</t>
        </is>
      </c>
      <c r="AY288" t="inlineStr">
        <is>
          <t>2254916380002656</t>
        </is>
      </c>
      <c r="AZ288" t="inlineStr">
        <is>
          <t>BOOK</t>
        </is>
      </c>
      <c r="BB288" t="inlineStr">
        <is>
          <t>9780807812525</t>
        </is>
      </c>
      <c r="BC288" t="inlineStr">
        <is>
          <t>32285001270155</t>
        </is>
      </c>
      <c r="BD288" t="inlineStr">
        <is>
          <t>893324350</t>
        </is>
      </c>
    </row>
    <row r="289">
      <c r="A289" t="inlineStr">
        <is>
          <t>No</t>
        </is>
      </c>
      <c r="B289" t="inlineStr">
        <is>
          <t>PS2618.M83 W3</t>
        </is>
      </c>
      <c r="C289" t="inlineStr">
        <is>
          <t>0                      PS 2618000M  83                 W  3</t>
        </is>
      </c>
      <c r="D289" t="inlineStr">
        <is>
          <t>Poe the detective : the curious circumstances behind The mystery of Marie Roget.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Walsh, John Evangelist, 1927-2015.</t>
        </is>
      </c>
      <c r="L289" t="inlineStr">
        <is>
          <t>New Brunswick, N.J. : Rutgers University Press, [1967, c1968]</t>
        </is>
      </c>
      <c r="M289" t="inlineStr">
        <is>
          <t>1967</t>
        </is>
      </c>
      <c r="O289" t="inlineStr">
        <is>
          <t>eng</t>
        </is>
      </c>
      <c r="P289" t="inlineStr">
        <is>
          <t>nju</t>
        </is>
      </c>
      <c r="R289" t="inlineStr">
        <is>
          <t xml:space="preserve">PS </t>
        </is>
      </c>
      <c r="S289" t="n">
        <v>6</v>
      </c>
      <c r="T289" t="n">
        <v>6</v>
      </c>
      <c r="U289" t="inlineStr">
        <is>
          <t>1999-11-05</t>
        </is>
      </c>
      <c r="V289" t="inlineStr">
        <is>
          <t>1999-11-05</t>
        </is>
      </c>
      <c r="W289" t="inlineStr">
        <is>
          <t>1990-09-14</t>
        </is>
      </c>
      <c r="X289" t="inlineStr">
        <is>
          <t>1990-09-14</t>
        </is>
      </c>
      <c r="Y289" t="n">
        <v>899</v>
      </c>
      <c r="Z289" t="n">
        <v>823</v>
      </c>
      <c r="AA289" t="n">
        <v>832</v>
      </c>
      <c r="AB289" t="n">
        <v>9</v>
      </c>
      <c r="AC289" t="n">
        <v>9</v>
      </c>
      <c r="AD289" t="n">
        <v>35</v>
      </c>
      <c r="AE289" t="n">
        <v>35</v>
      </c>
      <c r="AF289" t="n">
        <v>14</v>
      </c>
      <c r="AG289" t="n">
        <v>14</v>
      </c>
      <c r="AH289" t="n">
        <v>7</v>
      </c>
      <c r="AI289" t="n">
        <v>7</v>
      </c>
      <c r="AJ289" t="n">
        <v>19</v>
      </c>
      <c r="AK289" t="n">
        <v>19</v>
      </c>
      <c r="AL289" t="n">
        <v>6</v>
      </c>
      <c r="AM289" t="n">
        <v>6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HYPERLINK("http://catalog.hathitrust.org/Record/001376591","HathiTrust Record")</f>
        <v/>
      </c>
      <c r="AS289">
        <f>HYPERLINK("https://creighton-primo.hosted.exlibrisgroup.com/primo-explore/search?tab=default_tab&amp;search_scope=EVERYTHING&amp;vid=01CRU&amp;lang=en_US&amp;offset=0&amp;query=any,contains,991002155479702656","Catalog Record")</f>
        <v/>
      </c>
      <c r="AT289">
        <f>HYPERLINK("http://www.worldcat.org/oclc/272729","WorldCat Record")</f>
        <v/>
      </c>
      <c r="AU289" t="inlineStr">
        <is>
          <t>1403577:eng</t>
        </is>
      </c>
      <c r="AV289" t="inlineStr">
        <is>
          <t>272729</t>
        </is>
      </c>
      <c r="AW289" t="inlineStr">
        <is>
          <t>991002155479702656</t>
        </is>
      </c>
      <c r="AX289" t="inlineStr">
        <is>
          <t>991002155479702656</t>
        </is>
      </c>
      <c r="AY289" t="inlineStr">
        <is>
          <t>2262338560002656</t>
        </is>
      </c>
      <c r="AZ289" t="inlineStr">
        <is>
          <t>BOOK</t>
        </is>
      </c>
      <c r="BC289" t="inlineStr">
        <is>
          <t>32285000303940</t>
        </is>
      </c>
      <c r="BD289" t="inlineStr">
        <is>
          <t>893334990</t>
        </is>
      </c>
    </row>
    <row r="290">
      <c r="A290" t="inlineStr">
        <is>
          <t>No</t>
        </is>
      </c>
      <c r="B290" t="inlineStr">
        <is>
          <t>PS2619 .C65</t>
        </is>
      </c>
      <c r="C290" t="inlineStr">
        <is>
          <t>0                      PS 2619000C  65</t>
        </is>
      </c>
      <c r="D290" t="inlineStr">
        <is>
          <t>Comic tales of Edgar Allan Poe, edited and with an introduction by Angus Wolfe Murray; illustrated by Stephen McKeown.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Poe, Edgar Allan, 1809-1849.</t>
        </is>
      </c>
      <c r="L290" t="inlineStr">
        <is>
          <t>Edinburgh, Canongate Publishing Ltd., 1973.</t>
        </is>
      </c>
      <c r="M290" t="inlineStr">
        <is>
          <t>1973</t>
        </is>
      </c>
      <c r="O290" t="inlineStr">
        <is>
          <t>eng</t>
        </is>
      </c>
      <c r="P290" t="inlineStr">
        <is>
          <t>stk</t>
        </is>
      </c>
      <c r="R290" t="inlineStr">
        <is>
          <t xml:space="preserve">PS </t>
        </is>
      </c>
      <c r="S290" t="n">
        <v>6</v>
      </c>
      <c r="T290" t="n">
        <v>6</v>
      </c>
      <c r="U290" t="inlineStr">
        <is>
          <t>1999-01-28</t>
        </is>
      </c>
      <c r="V290" t="inlineStr">
        <is>
          <t>1999-01-28</t>
        </is>
      </c>
      <c r="W290" t="inlineStr">
        <is>
          <t>1997-05-21</t>
        </is>
      </c>
      <c r="X290" t="inlineStr">
        <is>
          <t>1997-05-21</t>
        </is>
      </c>
      <c r="Y290" t="n">
        <v>102</v>
      </c>
      <c r="Z290" t="n">
        <v>33</v>
      </c>
      <c r="AA290" t="n">
        <v>33</v>
      </c>
      <c r="AB290" t="n">
        <v>1</v>
      </c>
      <c r="AC290" t="n">
        <v>1</v>
      </c>
      <c r="AD290" t="n">
        <v>4</v>
      </c>
      <c r="AE290" t="n">
        <v>4</v>
      </c>
      <c r="AF290" t="n">
        <v>1</v>
      </c>
      <c r="AG290" t="n">
        <v>1</v>
      </c>
      <c r="AH290" t="n">
        <v>1</v>
      </c>
      <c r="AI290" t="n">
        <v>1</v>
      </c>
      <c r="AJ290" t="n">
        <v>4</v>
      </c>
      <c r="AK290" t="n">
        <v>4</v>
      </c>
      <c r="AL290" t="n">
        <v>0</v>
      </c>
      <c r="AM290" t="n">
        <v>0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HYPERLINK("https://creighton-primo.hosted.exlibrisgroup.com/primo-explore/search?tab=default_tab&amp;search_scope=EVERYTHING&amp;vid=01CRU&amp;lang=en_US&amp;offset=0&amp;query=any,contains,991003496899702656","Catalog Record")</f>
        <v/>
      </c>
      <c r="AT290">
        <f>HYPERLINK("http://www.worldcat.org/oclc/1047101","WorldCat Record")</f>
        <v/>
      </c>
      <c r="AU290" t="inlineStr">
        <is>
          <t>5090485487:eng</t>
        </is>
      </c>
      <c r="AV290" t="inlineStr">
        <is>
          <t>1047101</t>
        </is>
      </c>
      <c r="AW290" t="inlineStr">
        <is>
          <t>991003496899702656</t>
        </is>
      </c>
      <c r="AX290" t="inlineStr">
        <is>
          <t>991003496899702656</t>
        </is>
      </c>
      <c r="AY290" t="inlineStr">
        <is>
          <t>2267631880002656</t>
        </is>
      </c>
      <c r="AZ290" t="inlineStr">
        <is>
          <t>BOOK</t>
        </is>
      </c>
      <c r="BB290" t="inlineStr">
        <is>
          <t>9780903937016</t>
        </is>
      </c>
      <c r="BC290" t="inlineStr">
        <is>
          <t>32285002714706</t>
        </is>
      </c>
      <c r="BD290" t="inlineStr">
        <is>
          <t>893900030</t>
        </is>
      </c>
    </row>
    <row r="291">
      <c r="A291" t="inlineStr">
        <is>
          <t>No</t>
        </is>
      </c>
      <c r="B291" t="inlineStr">
        <is>
          <t>PS2630.5 .M5</t>
        </is>
      </c>
      <c r="C291" t="inlineStr">
        <is>
          <t>0                      PS 2630500M  5</t>
        </is>
      </c>
      <c r="D291" t="inlineStr">
        <is>
          <t>Building Poe biography / John Carl Miller.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Miller, John Carl.</t>
        </is>
      </c>
      <c r="L291" t="inlineStr">
        <is>
          <t>Baton Rouge : Louisiana State University Press, c1977.</t>
        </is>
      </c>
      <c r="M291" t="inlineStr">
        <is>
          <t>1977</t>
        </is>
      </c>
      <c r="O291" t="inlineStr">
        <is>
          <t>eng</t>
        </is>
      </c>
      <c r="P291" t="inlineStr">
        <is>
          <t>lau</t>
        </is>
      </c>
      <c r="Q291" t="inlineStr">
        <is>
          <t>Southern literary studies</t>
        </is>
      </c>
      <c r="R291" t="inlineStr">
        <is>
          <t xml:space="preserve">PS </t>
        </is>
      </c>
      <c r="S291" t="n">
        <v>3</v>
      </c>
      <c r="T291" t="n">
        <v>3</v>
      </c>
      <c r="U291" t="inlineStr">
        <is>
          <t>1992-04-08</t>
        </is>
      </c>
      <c r="V291" t="inlineStr">
        <is>
          <t>1992-04-08</t>
        </is>
      </c>
      <c r="W291" t="inlineStr">
        <is>
          <t>1990-09-14</t>
        </is>
      </c>
      <c r="X291" t="inlineStr">
        <is>
          <t>1990-09-14</t>
        </is>
      </c>
      <c r="Y291" t="n">
        <v>658</v>
      </c>
      <c r="Z291" t="n">
        <v>585</v>
      </c>
      <c r="AA291" t="n">
        <v>602</v>
      </c>
      <c r="AB291" t="n">
        <v>6</v>
      </c>
      <c r="AC291" t="n">
        <v>6</v>
      </c>
      <c r="AD291" t="n">
        <v>30</v>
      </c>
      <c r="AE291" t="n">
        <v>32</v>
      </c>
      <c r="AF291" t="n">
        <v>13</v>
      </c>
      <c r="AG291" t="n">
        <v>14</v>
      </c>
      <c r="AH291" t="n">
        <v>7</v>
      </c>
      <c r="AI291" t="n">
        <v>8</v>
      </c>
      <c r="AJ291" t="n">
        <v>11</v>
      </c>
      <c r="AK291" t="n">
        <v>13</v>
      </c>
      <c r="AL291" t="n">
        <v>5</v>
      </c>
      <c r="AM291" t="n">
        <v>5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HYPERLINK("https://creighton-primo.hosted.exlibrisgroup.com/primo-explore/search?tab=default_tab&amp;search_scope=EVERYTHING&amp;vid=01CRU&amp;lang=en_US&amp;offset=0&amp;query=any,contains,991004150419702656","Catalog Record")</f>
        <v/>
      </c>
      <c r="AT291">
        <f>HYPERLINK("http://www.worldcat.org/oclc/2523531","WorldCat Record")</f>
        <v/>
      </c>
      <c r="AU291" t="inlineStr">
        <is>
          <t>5385073:eng</t>
        </is>
      </c>
      <c r="AV291" t="inlineStr">
        <is>
          <t>2523531</t>
        </is>
      </c>
      <c r="AW291" t="inlineStr">
        <is>
          <t>991004150419702656</t>
        </is>
      </c>
      <c r="AX291" t="inlineStr">
        <is>
          <t>991004150419702656</t>
        </is>
      </c>
      <c r="AY291" t="inlineStr">
        <is>
          <t>2267606410002656</t>
        </is>
      </c>
      <c r="AZ291" t="inlineStr">
        <is>
          <t>BOOK</t>
        </is>
      </c>
      <c r="BB291" t="inlineStr">
        <is>
          <t>9780807101957</t>
        </is>
      </c>
      <c r="BC291" t="inlineStr">
        <is>
          <t>32285000303908</t>
        </is>
      </c>
      <c r="BD291" t="inlineStr">
        <is>
          <t>893869346</t>
        </is>
      </c>
    </row>
    <row r="292">
      <c r="A292" t="inlineStr">
        <is>
          <t>No</t>
        </is>
      </c>
      <c r="B292" t="inlineStr">
        <is>
          <t>PS2631 .A7</t>
        </is>
      </c>
      <c r="C292" t="inlineStr">
        <is>
          <t>0                      PS 2631000A  7</t>
        </is>
      </c>
      <c r="D292" t="inlineStr">
        <is>
          <t>Israfel : the life and times of Edgar Allan Poe / by Hervey Allen.</t>
        </is>
      </c>
      <c r="E292" t="inlineStr">
        <is>
          <t>V.1</t>
        </is>
      </c>
      <c r="F292" t="inlineStr">
        <is>
          <t>Yes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Allen, Hervey, 1889-1949.</t>
        </is>
      </c>
      <c r="L292" t="inlineStr">
        <is>
          <t>New York : H. Doran Co., 1927, [c1926]</t>
        </is>
      </c>
      <c r="M292" t="inlineStr">
        <is>
          <t>1927</t>
        </is>
      </c>
      <c r="N292" t="inlineStr">
        <is>
          <t>[2d ed.]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PS </t>
        </is>
      </c>
      <c r="S292" t="n">
        <v>0</v>
      </c>
      <c r="T292" t="n">
        <v>1</v>
      </c>
      <c r="V292" t="inlineStr">
        <is>
          <t>1992-03-23</t>
        </is>
      </c>
      <c r="W292" t="inlineStr">
        <is>
          <t>1997-09-15</t>
        </is>
      </c>
      <c r="X292" t="inlineStr">
        <is>
          <t>1997-09-15</t>
        </is>
      </c>
      <c r="Y292" t="n">
        <v>245</v>
      </c>
      <c r="Z292" t="n">
        <v>231</v>
      </c>
      <c r="AA292" t="n">
        <v>1563</v>
      </c>
      <c r="AB292" t="n">
        <v>2</v>
      </c>
      <c r="AC292" t="n">
        <v>17</v>
      </c>
      <c r="AD292" t="n">
        <v>9</v>
      </c>
      <c r="AE292" t="n">
        <v>57</v>
      </c>
      <c r="AF292" t="n">
        <v>1</v>
      </c>
      <c r="AG292" t="n">
        <v>25</v>
      </c>
      <c r="AH292" t="n">
        <v>3</v>
      </c>
      <c r="AI292" t="n">
        <v>9</v>
      </c>
      <c r="AJ292" t="n">
        <v>6</v>
      </c>
      <c r="AK292" t="n">
        <v>25</v>
      </c>
      <c r="AL292" t="n">
        <v>1</v>
      </c>
      <c r="AM292" t="n">
        <v>11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HYPERLINK("http://catalog.hathitrust.org/Record/101865410","HathiTrust Record")</f>
        <v/>
      </c>
      <c r="AS292">
        <f>HYPERLINK("https://creighton-primo.hosted.exlibrisgroup.com/primo-explore/search?tab=default_tab&amp;search_scope=EVERYTHING&amp;vid=01CRU&amp;lang=en_US&amp;offset=0&amp;query=any,contains,991003035949702656","Catalog Record")</f>
        <v/>
      </c>
      <c r="AT292">
        <f>HYPERLINK("http://www.worldcat.org/oclc/598954","WorldCat Record")</f>
        <v/>
      </c>
      <c r="AU292" t="inlineStr">
        <is>
          <t>1408989:eng</t>
        </is>
      </c>
      <c r="AV292" t="inlineStr">
        <is>
          <t>598954</t>
        </is>
      </c>
      <c r="AW292" t="inlineStr">
        <is>
          <t>991003035949702656</t>
        </is>
      </c>
      <c r="AX292" t="inlineStr">
        <is>
          <t>991003035949702656</t>
        </is>
      </c>
      <c r="AY292" t="inlineStr">
        <is>
          <t>2267415950002656</t>
        </is>
      </c>
      <c r="AZ292" t="inlineStr">
        <is>
          <t>BOOK</t>
        </is>
      </c>
      <c r="BC292" t="inlineStr">
        <is>
          <t>32285003171435</t>
        </is>
      </c>
      <c r="BD292" t="inlineStr">
        <is>
          <t>893598197</t>
        </is>
      </c>
    </row>
    <row r="293">
      <c r="A293" t="inlineStr">
        <is>
          <t>No</t>
        </is>
      </c>
      <c r="B293" t="inlineStr">
        <is>
          <t>PS2631 .A7</t>
        </is>
      </c>
      <c r="C293" t="inlineStr">
        <is>
          <t>0                      PS 2631000A  7</t>
        </is>
      </c>
      <c r="D293" t="inlineStr">
        <is>
          <t>Israfel : the life and times of Edgar Allan Poe / by Hervey Allen.</t>
        </is>
      </c>
      <c r="E293" t="inlineStr">
        <is>
          <t>V.2</t>
        </is>
      </c>
      <c r="F293" t="inlineStr">
        <is>
          <t>Yes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Allen, Hervey, 1889-1949.</t>
        </is>
      </c>
      <c r="L293" t="inlineStr">
        <is>
          <t>New York : H. Doran Co., 1927, [c1926]</t>
        </is>
      </c>
      <c r="M293" t="inlineStr">
        <is>
          <t>1927</t>
        </is>
      </c>
      <c r="N293" t="inlineStr">
        <is>
          <t>[2d ed.]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PS </t>
        </is>
      </c>
      <c r="S293" t="n">
        <v>1</v>
      </c>
      <c r="T293" t="n">
        <v>1</v>
      </c>
      <c r="U293" t="inlineStr">
        <is>
          <t>1992-03-23</t>
        </is>
      </c>
      <c r="V293" t="inlineStr">
        <is>
          <t>1992-03-23</t>
        </is>
      </c>
      <c r="W293" t="inlineStr">
        <is>
          <t>1992-02-27</t>
        </is>
      </c>
      <c r="X293" t="inlineStr">
        <is>
          <t>1997-09-15</t>
        </is>
      </c>
      <c r="Y293" t="n">
        <v>245</v>
      </c>
      <c r="Z293" t="n">
        <v>231</v>
      </c>
      <c r="AA293" t="n">
        <v>1563</v>
      </c>
      <c r="AB293" t="n">
        <v>2</v>
      </c>
      <c r="AC293" t="n">
        <v>17</v>
      </c>
      <c r="AD293" t="n">
        <v>9</v>
      </c>
      <c r="AE293" t="n">
        <v>57</v>
      </c>
      <c r="AF293" t="n">
        <v>1</v>
      </c>
      <c r="AG293" t="n">
        <v>25</v>
      </c>
      <c r="AH293" t="n">
        <v>3</v>
      </c>
      <c r="AI293" t="n">
        <v>9</v>
      </c>
      <c r="AJ293" t="n">
        <v>6</v>
      </c>
      <c r="AK293" t="n">
        <v>25</v>
      </c>
      <c r="AL293" t="n">
        <v>1</v>
      </c>
      <c r="AM293" t="n">
        <v>11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HYPERLINK("http://catalog.hathitrust.org/Record/101865410","HathiTrust Record")</f>
        <v/>
      </c>
      <c r="AS293">
        <f>HYPERLINK("https://creighton-primo.hosted.exlibrisgroup.com/primo-explore/search?tab=default_tab&amp;search_scope=EVERYTHING&amp;vid=01CRU&amp;lang=en_US&amp;offset=0&amp;query=any,contains,991003035949702656","Catalog Record")</f>
        <v/>
      </c>
      <c r="AT293">
        <f>HYPERLINK("http://www.worldcat.org/oclc/598954","WorldCat Record")</f>
        <v/>
      </c>
      <c r="AU293" t="inlineStr">
        <is>
          <t>1408989:eng</t>
        </is>
      </c>
      <c r="AV293" t="inlineStr">
        <is>
          <t>598954</t>
        </is>
      </c>
      <c r="AW293" t="inlineStr">
        <is>
          <t>991003035949702656</t>
        </is>
      </c>
      <c r="AX293" t="inlineStr">
        <is>
          <t>991003035949702656</t>
        </is>
      </c>
      <c r="AY293" t="inlineStr">
        <is>
          <t>2267415950002656</t>
        </is>
      </c>
      <c r="AZ293" t="inlineStr">
        <is>
          <t>BOOK</t>
        </is>
      </c>
      <c r="BC293" t="inlineStr">
        <is>
          <t>32285000977081</t>
        </is>
      </c>
      <c r="BD293" t="inlineStr">
        <is>
          <t>893604371</t>
        </is>
      </c>
    </row>
    <row r="294">
      <c r="A294" t="inlineStr">
        <is>
          <t>No</t>
        </is>
      </c>
      <c r="B294" t="inlineStr">
        <is>
          <t>PS2631 .B55 1963</t>
        </is>
      </c>
      <c r="C294" t="inlineStr">
        <is>
          <t>0                      PS 2631000B  55          1963</t>
        </is>
      </c>
      <c r="D294" t="inlineStr">
        <is>
          <t>Poe, a biography / by William Bittner.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Bittner, William Robert.</t>
        </is>
      </c>
      <c r="L294" t="inlineStr">
        <is>
          <t>London : Elek Books, 1963.</t>
        </is>
      </c>
      <c r="M294" t="inlineStr">
        <is>
          <t>1963</t>
        </is>
      </c>
      <c r="O294" t="inlineStr">
        <is>
          <t>eng</t>
        </is>
      </c>
      <c r="P294" t="inlineStr">
        <is>
          <t>enk</t>
        </is>
      </c>
      <c r="R294" t="inlineStr">
        <is>
          <t xml:space="preserve">PS </t>
        </is>
      </c>
      <c r="S294" t="n">
        <v>3</v>
      </c>
      <c r="T294" t="n">
        <v>3</v>
      </c>
      <c r="U294" t="inlineStr">
        <is>
          <t>1996-04-23</t>
        </is>
      </c>
      <c r="V294" t="inlineStr">
        <is>
          <t>1996-04-23</t>
        </is>
      </c>
      <c r="W294" t="inlineStr">
        <is>
          <t>1992-02-19</t>
        </is>
      </c>
      <c r="X294" t="inlineStr">
        <is>
          <t>1992-02-19</t>
        </is>
      </c>
      <c r="Y294" t="n">
        <v>177</v>
      </c>
      <c r="Z294" t="n">
        <v>116</v>
      </c>
      <c r="AA294" t="n">
        <v>992</v>
      </c>
      <c r="AB294" t="n">
        <v>1</v>
      </c>
      <c r="AC294" t="n">
        <v>6</v>
      </c>
      <c r="AD294" t="n">
        <v>6</v>
      </c>
      <c r="AE294" t="n">
        <v>30</v>
      </c>
      <c r="AF294" t="n">
        <v>1</v>
      </c>
      <c r="AG294" t="n">
        <v>11</v>
      </c>
      <c r="AH294" t="n">
        <v>2</v>
      </c>
      <c r="AI294" t="n">
        <v>8</v>
      </c>
      <c r="AJ294" t="n">
        <v>4</v>
      </c>
      <c r="AK294" t="n">
        <v>16</v>
      </c>
      <c r="AL294" t="n">
        <v>0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HYPERLINK("https://creighton-primo.hosted.exlibrisgroup.com/primo-explore/search?tab=default_tab&amp;search_scope=EVERYTHING&amp;vid=01CRU&amp;lang=en_US&amp;offset=0&amp;query=any,contains,991004106649702656","Catalog Record")</f>
        <v/>
      </c>
      <c r="AT294">
        <f>HYPERLINK("http://www.worldcat.org/oclc/2386860","WorldCat Record")</f>
        <v/>
      </c>
      <c r="AU294" t="inlineStr">
        <is>
          <t>102966791:eng</t>
        </is>
      </c>
      <c r="AV294" t="inlineStr">
        <is>
          <t>2386860</t>
        </is>
      </c>
      <c r="AW294" t="inlineStr">
        <is>
          <t>991004106649702656</t>
        </is>
      </c>
      <c r="AX294" t="inlineStr">
        <is>
          <t>991004106649702656</t>
        </is>
      </c>
      <c r="AY294" t="inlineStr">
        <is>
          <t>2255832230002656</t>
        </is>
      </c>
      <c r="AZ294" t="inlineStr">
        <is>
          <t>BOOK</t>
        </is>
      </c>
      <c r="BC294" t="inlineStr">
        <is>
          <t>32285000948033</t>
        </is>
      </c>
      <c r="BD294" t="inlineStr">
        <is>
          <t>893611929</t>
        </is>
      </c>
    </row>
    <row r="295">
      <c r="A295" t="inlineStr">
        <is>
          <t>No</t>
        </is>
      </c>
      <c r="B295" t="inlineStr">
        <is>
          <t>PS2631 .B7 1968</t>
        </is>
      </c>
      <c r="C295" t="inlineStr">
        <is>
          <t>0                      PS 2631000B  7           1968</t>
        </is>
      </c>
      <c r="D295" t="inlineStr">
        <is>
          <t>Glorious incense : the fulfillment of Edgar Allan Poe.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Braddy, Haldeen, 1908-1980.</t>
        </is>
      </c>
      <c r="L295" t="inlineStr">
        <is>
          <t>Port Washington, N.Y. : Kennikat Press, [1968, c1953]</t>
        </is>
      </c>
      <c r="M295" t="inlineStr">
        <is>
          <t>1968</t>
        </is>
      </c>
      <c r="N295" t="inlineStr">
        <is>
          <t>2d ed.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PS </t>
        </is>
      </c>
      <c r="S295" t="n">
        <v>2</v>
      </c>
      <c r="T295" t="n">
        <v>2</v>
      </c>
      <c r="U295" t="inlineStr">
        <is>
          <t>1994-04-14</t>
        </is>
      </c>
      <c r="V295" t="inlineStr">
        <is>
          <t>1994-04-14</t>
        </is>
      </c>
      <c r="W295" t="inlineStr">
        <is>
          <t>1990-09-14</t>
        </is>
      </c>
      <c r="X295" t="inlineStr">
        <is>
          <t>1990-09-14</t>
        </is>
      </c>
      <c r="Y295" t="n">
        <v>323</v>
      </c>
      <c r="Z295" t="n">
        <v>289</v>
      </c>
      <c r="AA295" t="n">
        <v>450</v>
      </c>
      <c r="AB295" t="n">
        <v>3</v>
      </c>
      <c r="AC295" t="n">
        <v>5</v>
      </c>
      <c r="AD295" t="n">
        <v>8</v>
      </c>
      <c r="AE295" t="n">
        <v>18</v>
      </c>
      <c r="AF295" t="n">
        <v>2</v>
      </c>
      <c r="AG295" t="n">
        <v>7</v>
      </c>
      <c r="AH295" t="n">
        <v>2</v>
      </c>
      <c r="AI295" t="n">
        <v>4</v>
      </c>
      <c r="AJ295" t="n">
        <v>3</v>
      </c>
      <c r="AK295" t="n">
        <v>7</v>
      </c>
      <c r="AL295" t="n">
        <v>2</v>
      </c>
      <c r="AM295" t="n">
        <v>4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HYPERLINK("http://catalog.hathitrust.org/Record/007592340","HathiTrust Record")</f>
        <v/>
      </c>
      <c r="AS295">
        <f>HYPERLINK("https://creighton-primo.hosted.exlibrisgroup.com/primo-explore/search?tab=default_tab&amp;search_scope=EVERYTHING&amp;vid=01CRU&amp;lang=en_US&amp;offset=0&amp;query=any,contains,991002225329702656","Catalog Record")</f>
        <v/>
      </c>
      <c r="AT295">
        <f>HYPERLINK("http://www.worldcat.org/oclc/291386","WorldCat Record")</f>
        <v/>
      </c>
      <c r="AU295" t="inlineStr">
        <is>
          <t>429720866:eng</t>
        </is>
      </c>
      <c r="AV295" t="inlineStr">
        <is>
          <t>291386</t>
        </is>
      </c>
      <c r="AW295" t="inlineStr">
        <is>
          <t>991002225329702656</t>
        </is>
      </c>
      <c r="AX295" t="inlineStr">
        <is>
          <t>991002225329702656</t>
        </is>
      </c>
      <c r="AY295" t="inlineStr">
        <is>
          <t>2268036260002656</t>
        </is>
      </c>
      <c r="AZ295" t="inlineStr">
        <is>
          <t>BOOK</t>
        </is>
      </c>
      <c r="BC295" t="inlineStr">
        <is>
          <t>32285000303890</t>
        </is>
      </c>
      <c r="BD295" t="inlineStr">
        <is>
          <t>893316542</t>
        </is>
      </c>
    </row>
    <row r="296">
      <c r="A296" t="inlineStr">
        <is>
          <t>No</t>
        </is>
      </c>
      <c r="B296" t="inlineStr">
        <is>
          <t>PS2631 .B8</t>
        </is>
      </c>
      <c r="C296" t="inlineStr">
        <is>
          <t>0                      PS 2631000B  8</t>
        </is>
      </c>
      <c r="D296" t="inlineStr">
        <is>
          <t>Edgar Allan Poe.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Yes</t>
        </is>
      </c>
      <c r="J296" t="inlineStr">
        <is>
          <t>0</t>
        </is>
      </c>
      <c r="K296" t="inlineStr">
        <is>
          <t>Buranelli, Vincent.</t>
        </is>
      </c>
      <c r="L296" t="inlineStr">
        <is>
          <t>New York : Twayne Publishers, [1961]</t>
        </is>
      </c>
      <c r="M296" t="inlineStr">
        <is>
          <t>1961</t>
        </is>
      </c>
      <c r="O296" t="inlineStr">
        <is>
          <t>eng</t>
        </is>
      </c>
      <c r="P296" t="inlineStr">
        <is>
          <t>nyu</t>
        </is>
      </c>
      <c r="Q296" t="inlineStr">
        <is>
          <t>Twayne's United States authors series, 4</t>
        </is>
      </c>
      <c r="R296" t="inlineStr">
        <is>
          <t xml:space="preserve">PS </t>
        </is>
      </c>
      <c r="S296" t="n">
        <v>7</v>
      </c>
      <c r="T296" t="n">
        <v>7</v>
      </c>
      <c r="U296" t="inlineStr">
        <is>
          <t>2001-10-08</t>
        </is>
      </c>
      <c r="V296" t="inlineStr">
        <is>
          <t>2001-10-08</t>
        </is>
      </c>
      <c r="W296" t="inlineStr">
        <is>
          <t>1992-02-28</t>
        </is>
      </c>
      <c r="X296" t="inlineStr">
        <is>
          <t>1992-02-28</t>
        </is>
      </c>
      <c r="Y296" t="n">
        <v>1453</v>
      </c>
      <c r="Z296" t="n">
        <v>1323</v>
      </c>
      <c r="AA296" t="n">
        <v>2367</v>
      </c>
      <c r="AB296" t="n">
        <v>16</v>
      </c>
      <c r="AC296" t="n">
        <v>21</v>
      </c>
      <c r="AD296" t="n">
        <v>44</v>
      </c>
      <c r="AE296" t="n">
        <v>59</v>
      </c>
      <c r="AF296" t="n">
        <v>19</v>
      </c>
      <c r="AG296" t="n">
        <v>24</v>
      </c>
      <c r="AH296" t="n">
        <v>9</v>
      </c>
      <c r="AI296" t="n">
        <v>10</v>
      </c>
      <c r="AJ296" t="n">
        <v>15</v>
      </c>
      <c r="AK296" t="n">
        <v>25</v>
      </c>
      <c r="AL296" t="n">
        <v>10</v>
      </c>
      <c r="AM296" t="n">
        <v>13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HYPERLINK("http://catalog.hathitrust.org/Record/001398815","HathiTrust Record")</f>
        <v/>
      </c>
      <c r="AS296">
        <f>HYPERLINK("https://creighton-primo.hosted.exlibrisgroup.com/primo-explore/search?tab=default_tab&amp;search_scope=EVERYTHING&amp;vid=01CRU&amp;lang=en_US&amp;offset=0&amp;query=any,contains,991002164899702656","Catalog Record")</f>
        <v/>
      </c>
      <c r="AT296">
        <f>HYPERLINK("http://www.worldcat.org/oclc/274906","WorldCat Record")</f>
        <v/>
      </c>
      <c r="AU296" t="inlineStr">
        <is>
          <t>3901112392:eng</t>
        </is>
      </c>
      <c r="AV296" t="inlineStr">
        <is>
          <t>274906</t>
        </is>
      </c>
      <c r="AW296" t="inlineStr">
        <is>
          <t>991002164899702656</t>
        </is>
      </c>
      <c r="AX296" t="inlineStr">
        <is>
          <t>991002164899702656</t>
        </is>
      </c>
      <c r="AY296" t="inlineStr">
        <is>
          <t>2263866540002656</t>
        </is>
      </c>
      <c r="AZ296" t="inlineStr">
        <is>
          <t>BOOK</t>
        </is>
      </c>
      <c r="BC296" t="inlineStr">
        <is>
          <t>32285000978592</t>
        </is>
      </c>
      <c r="BD296" t="inlineStr">
        <is>
          <t>893347186</t>
        </is>
      </c>
    </row>
    <row r="297">
      <c r="A297" t="inlineStr">
        <is>
          <t>No</t>
        </is>
      </c>
      <c r="B297" t="inlineStr">
        <is>
          <t>PS2631 .C3 1962</t>
        </is>
      </c>
      <c r="C297" t="inlineStr">
        <is>
          <t>0                      PS 2631000C  3           1962</t>
        </is>
      </c>
      <c r="D297" t="inlineStr">
        <is>
          <t>The mind of Poe, and other studies.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Campbell, Killis, 1872-1937.</t>
        </is>
      </c>
      <c r="L297" t="inlineStr">
        <is>
          <t>New York : Russell &amp; Russell, 1962.</t>
        </is>
      </c>
      <c r="M297" t="inlineStr">
        <is>
          <t>1962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PS </t>
        </is>
      </c>
      <c r="S297" t="n">
        <v>7</v>
      </c>
      <c r="T297" t="n">
        <v>7</v>
      </c>
      <c r="U297" t="inlineStr">
        <is>
          <t>1998-03-31</t>
        </is>
      </c>
      <c r="V297" t="inlineStr">
        <is>
          <t>1998-03-31</t>
        </is>
      </c>
      <c r="W297" t="inlineStr">
        <is>
          <t>1994-05-06</t>
        </is>
      </c>
      <c r="X297" t="inlineStr">
        <is>
          <t>1994-05-06</t>
        </is>
      </c>
      <c r="Y297" t="n">
        <v>639</v>
      </c>
      <c r="Z297" t="n">
        <v>561</v>
      </c>
      <c r="AA297" t="n">
        <v>773</v>
      </c>
      <c r="AB297" t="n">
        <v>7</v>
      </c>
      <c r="AC297" t="n">
        <v>8</v>
      </c>
      <c r="AD297" t="n">
        <v>33</v>
      </c>
      <c r="AE297" t="n">
        <v>42</v>
      </c>
      <c r="AF297" t="n">
        <v>15</v>
      </c>
      <c r="AG297" t="n">
        <v>20</v>
      </c>
      <c r="AH297" t="n">
        <v>6</v>
      </c>
      <c r="AI297" t="n">
        <v>8</v>
      </c>
      <c r="AJ297" t="n">
        <v>14</v>
      </c>
      <c r="AK297" t="n">
        <v>19</v>
      </c>
      <c r="AL297" t="n">
        <v>6</v>
      </c>
      <c r="AM297" t="n">
        <v>7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HYPERLINK("http://catalog.hathitrust.org/Record/001910754","HathiTrust Record")</f>
        <v/>
      </c>
      <c r="AS297">
        <f>HYPERLINK("https://creighton-primo.hosted.exlibrisgroup.com/primo-explore/search?tab=default_tab&amp;search_scope=EVERYTHING&amp;vid=01CRU&amp;lang=en_US&amp;offset=0&amp;query=any,contains,991001871689702656","Catalog Record")</f>
        <v/>
      </c>
      <c r="AT297">
        <f>HYPERLINK("http://www.worldcat.org/oclc/23648294","WorldCat Record")</f>
        <v/>
      </c>
      <c r="AU297" t="inlineStr">
        <is>
          <t>25712594:eng</t>
        </is>
      </c>
      <c r="AV297" t="inlineStr">
        <is>
          <t>23648294</t>
        </is>
      </c>
      <c r="AW297" t="inlineStr">
        <is>
          <t>991001871689702656</t>
        </is>
      </c>
      <c r="AX297" t="inlineStr">
        <is>
          <t>991001871689702656</t>
        </is>
      </c>
      <c r="AY297" t="inlineStr">
        <is>
          <t>2260260040002656</t>
        </is>
      </c>
      <c r="AZ297" t="inlineStr">
        <is>
          <t>BOOK</t>
        </is>
      </c>
      <c r="BC297" t="inlineStr">
        <is>
          <t>32285001907327</t>
        </is>
      </c>
      <c r="BD297" t="inlineStr">
        <is>
          <t>893602948</t>
        </is>
      </c>
    </row>
    <row r="298">
      <c r="A298" t="inlineStr">
        <is>
          <t>No</t>
        </is>
      </c>
      <c r="B298" t="inlineStr">
        <is>
          <t>PS2631 .F3</t>
        </is>
      </c>
      <c r="C298" t="inlineStr">
        <is>
          <t>0                      PS 2631000F  3</t>
        </is>
      </c>
      <c r="D298" t="inlineStr">
        <is>
          <t>The histrionic Mr. Poe.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Fagin, N. Bryllion (Nathan Bryllion), 1892-1971.</t>
        </is>
      </c>
      <c r="L298" t="inlineStr">
        <is>
          <t>Baltimore : Johns Hopkins Press, 1949.</t>
        </is>
      </c>
      <c r="M298" t="inlineStr">
        <is>
          <t>1949</t>
        </is>
      </c>
      <c r="O298" t="inlineStr">
        <is>
          <t>eng</t>
        </is>
      </c>
      <c r="P298" t="inlineStr">
        <is>
          <t>mdu</t>
        </is>
      </c>
      <c r="R298" t="inlineStr">
        <is>
          <t xml:space="preserve">PS </t>
        </is>
      </c>
      <c r="S298" t="n">
        <v>3</v>
      </c>
      <c r="T298" t="n">
        <v>3</v>
      </c>
      <c r="U298" t="inlineStr">
        <is>
          <t>1994-04-14</t>
        </is>
      </c>
      <c r="V298" t="inlineStr">
        <is>
          <t>1994-04-14</t>
        </is>
      </c>
      <c r="W298" t="inlineStr">
        <is>
          <t>1990-09-14</t>
        </is>
      </c>
      <c r="X298" t="inlineStr">
        <is>
          <t>1990-09-14</t>
        </is>
      </c>
      <c r="Y298" t="n">
        <v>983</v>
      </c>
      <c r="Z298" t="n">
        <v>898</v>
      </c>
      <c r="AA298" t="n">
        <v>941</v>
      </c>
      <c r="AB298" t="n">
        <v>11</v>
      </c>
      <c r="AC298" t="n">
        <v>12</v>
      </c>
      <c r="AD298" t="n">
        <v>49</v>
      </c>
      <c r="AE298" t="n">
        <v>50</v>
      </c>
      <c r="AF298" t="n">
        <v>22</v>
      </c>
      <c r="AG298" t="n">
        <v>22</v>
      </c>
      <c r="AH298" t="n">
        <v>7</v>
      </c>
      <c r="AI298" t="n">
        <v>7</v>
      </c>
      <c r="AJ298" t="n">
        <v>21</v>
      </c>
      <c r="AK298" t="n">
        <v>21</v>
      </c>
      <c r="AL298" t="n">
        <v>10</v>
      </c>
      <c r="AM298" t="n">
        <v>11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HYPERLINK("http://catalog.hathitrust.org/Record/001027761","HathiTrust Record")</f>
        <v/>
      </c>
      <c r="AS298">
        <f>HYPERLINK("https://creighton-primo.hosted.exlibrisgroup.com/primo-explore/search?tab=default_tab&amp;search_scope=EVERYTHING&amp;vid=01CRU&amp;lang=en_US&amp;offset=0&amp;query=any,contains,991002164929702656","Catalog Record")</f>
        <v/>
      </c>
      <c r="AT298">
        <f>HYPERLINK("http://www.worldcat.org/oclc/274912","WorldCat Record")</f>
        <v/>
      </c>
      <c r="AU298" t="inlineStr">
        <is>
          <t>1408996:eng</t>
        </is>
      </c>
      <c r="AV298" t="inlineStr">
        <is>
          <t>274912</t>
        </is>
      </c>
      <c r="AW298" t="inlineStr">
        <is>
          <t>991002164929702656</t>
        </is>
      </c>
      <c r="AX298" t="inlineStr">
        <is>
          <t>991002164929702656</t>
        </is>
      </c>
      <c r="AY298" t="inlineStr">
        <is>
          <t>2263862220002656</t>
        </is>
      </c>
      <c r="AZ298" t="inlineStr">
        <is>
          <t>BOOK</t>
        </is>
      </c>
      <c r="BC298" t="inlineStr">
        <is>
          <t>32285000303882</t>
        </is>
      </c>
      <c r="BD298" t="inlineStr">
        <is>
          <t>893328759</t>
        </is>
      </c>
    </row>
    <row r="299">
      <c r="A299" t="inlineStr">
        <is>
          <t>No</t>
        </is>
      </c>
      <c r="B299" t="inlineStr">
        <is>
          <t>PS2631 .L49</t>
        </is>
      </c>
      <c r="C299" t="inlineStr">
        <is>
          <t>0                      PS 2631000L  49</t>
        </is>
      </c>
      <c r="D299" t="inlineStr">
        <is>
          <t>The haunted man : a portrait of Edgar Allan Poe.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Lindsay, Philip, 1906-1958.</t>
        </is>
      </c>
      <c r="L299" t="inlineStr">
        <is>
          <t>London : Hutchinson, [1953]</t>
        </is>
      </c>
      <c r="M299" t="inlineStr">
        <is>
          <t>1953</t>
        </is>
      </c>
      <c r="O299" t="inlineStr">
        <is>
          <t>eng</t>
        </is>
      </c>
      <c r="P299" t="inlineStr">
        <is>
          <t>enk</t>
        </is>
      </c>
      <c r="R299" t="inlineStr">
        <is>
          <t xml:space="preserve">PS </t>
        </is>
      </c>
      <c r="S299" t="n">
        <v>10</v>
      </c>
      <c r="T299" t="n">
        <v>10</v>
      </c>
      <c r="U299" t="inlineStr">
        <is>
          <t>1998-03-31</t>
        </is>
      </c>
      <c r="V299" t="inlineStr">
        <is>
          <t>1998-03-31</t>
        </is>
      </c>
      <c r="W299" t="inlineStr">
        <is>
          <t>1990-09-14</t>
        </is>
      </c>
      <c r="X299" t="inlineStr">
        <is>
          <t>1990-09-14</t>
        </is>
      </c>
      <c r="Y299" t="n">
        <v>254</v>
      </c>
      <c r="Z299" t="n">
        <v>178</v>
      </c>
      <c r="AA299" t="n">
        <v>424</v>
      </c>
      <c r="AB299" t="n">
        <v>4</v>
      </c>
      <c r="AC299" t="n">
        <v>4</v>
      </c>
      <c r="AD299" t="n">
        <v>10</v>
      </c>
      <c r="AE299" t="n">
        <v>21</v>
      </c>
      <c r="AF299" t="n">
        <v>3</v>
      </c>
      <c r="AG299" t="n">
        <v>7</v>
      </c>
      <c r="AH299" t="n">
        <v>1</v>
      </c>
      <c r="AI299" t="n">
        <v>3</v>
      </c>
      <c r="AJ299" t="n">
        <v>5</v>
      </c>
      <c r="AK299" t="n">
        <v>13</v>
      </c>
      <c r="AL299" t="n">
        <v>3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HYPERLINK("http://catalog.hathitrust.org/Record/001027763","HathiTrust Record")</f>
        <v/>
      </c>
      <c r="AS299">
        <f>HYPERLINK("https://creighton-primo.hosted.exlibrisgroup.com/primo-explore/search?tab=default_tab&amp;search_scope=EVERYTHING&amp;vid=01CRU&amp;lang=en_US&amp;offset=0&amp;query=any,contains,991003093159702656","Catalog Record")</f>
        <v/>
      </c>
      <c r="AT299">
        <f>HYPERLINK("http://www.worldcat.org/oclc/643400","WorldCat Record")</f>
        <v/>
      </c>
      <c r="AU299" t="inlineStr">
        <is>
          <t>1765774:eng</t>
        </is>
      </c>
      <c r="AV299" t="inlineStr">
        <is>
          <t>643400</t>
        </is>
      </c>
      <c r="AW299" t="inlineStr">
        <is>
          <t>991003093159702656</t>
        </is>
      </c>
      <c r="AX299" t="inlineStr">
        <is>
          <t>991003093159702656</t>
        </is>
      </c>
      <c r="AY299" t="inlineStr">
        <is>
          <t>2258249470002656</t>
        </is>
      </c>
      <c r="AZ299" t="inlineStr">
        <is>
          <t>BOOK</t>
        </is>
      </c>
      <c r="BC299" t="inlineStr">
        <is>
          <t>32285000303932</t>
        </is>
      </c>
      <c r="BD299" t="inlineStr">
        <is>
          <t>893786956</t>
        </is>
      </c>
    </row>
    <row r="300">
      <c r="A300" t="inlineStr">
        <is>
          <t>No</t>
        </is>
      </c>
      <c r="B300" t="inlineStr">
        <is>
          <t>PS2631 .M6 1966</t>
        </is>
      </c>
      <c r="C300" t="inlineStr">
        <is>
          <t>0                      PS 2631000M  6           1966</t>
        </is>
      </c>
      <c r="D300" t="inlineStr">
        <is>
          <t>A defense of Edgar Allan Poe : life, character and dying declarations of the poet : an official account of his death / by his attending physician, John J. Moran. Washington, W. F. Boogher, 1885.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Moran, John J.</t>
        </is>
      </c>
      <c r="L300" t="inlineStr">
        <is>
          <t>New York : AMS Press, 1966.</t>
        </is>
      </c>
      <c r="M300" t="inlineStr">
        <is>
          <t>1966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PS </t>
        </is>
      </c>
      <c r="S300" t="n">
        <v>12</v>
      </c>
      <c r="T300" t="n">
        <v>12</v>
      </c>
      <c r="U300" t="inlineStr">
        <is>
          <t>1999-01-28</t>
        </is>
      </c>
      <c r="V300" t="inlineStr">
        <is>
          <t>1999-01-28</t>
        </is>
      </c>
      <c r="W300" t="inlineStr">
        <is>
          <t>1990-09-14</t>
        </is>
      </c>
      <c r="X300" t="inlineStr">
        <is>
          <t>1990-09-14</t>
        </is>
      </c>
      <c r="Y300" t="n">
        <v>219</v>
      </c>
      <c r="Z300" t="n">
        <v>199</v>
      </c>
      <c r="AA300" t="n">
        <v>385</v>
      </c>
      <c r="AB300" t="n">
        <v>3</v>
      </c>
      <c r="AC300" t="n">
        <v>5</v>
      </c>
      <c r="AD300" t="n">
        <v>9</v>
      </c>
      <c r="AE300" t="n">
        <v>20</v>
      </c>
      <c r="AF300" t="n">
        <v>5</v>
      </c>
      <c r="AG300" t="n">
        <v>7</v>
      </c>
      <c r="AH300" t="n">
        <v>1</v>
      </c>
      <c r="AI300" t="n">
        <v>4</v>
      </c>
      <c r="AJ300" t="n">
        <v>4</v>
      </c>
      <c r="AK300" t="n">
        <v>9</v>
      </c>
      <c r="AL300" t="n">
        <v>2</v>
      </c>
      <c r="AM300" t="n">
        <v>4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HYPERLINK("http://catalog.hathitrust.org/Record/001376632","HathiTrust Record")</f>
        <v/>
      </c>
      <c r="AS300">
        <f>HYPERLINK("https://creighton-primo.hosted.exlibrisgroup.com/primo-explore/search?tab=default_tab&amp;search_scope=EVERYTHING&amp;vid=01CRU&amp;lang=en_US&amp;offset=0&amp;query=any,contains,991001252379702656","Catalog Record")</f>
        <v/>
      </c>
      <c r="AT300">
        <f>HYPERLINK("http://www.worldcat.org/oclc/208625","WorldCat Record")</f>
        <v/>
      </c>
      <c r="AU300" t="inlineStr">
        <is>
          <t>422667269:eng</t>
        </is>
      </c>
      <c r="AV300" t="inlineStr">
        <is>
          <t>208625</t>
        </is>
      </c>
      <c r="AW300" t="inlineStr">
        <is>
          <t>991001252379702656</t>
        </is>
      </c>
      <c r="AX300" t="inlineStr">
        <is>
          <t>991001252379702656</t>
        </is>
      </c>
      <c r="AY300" t="inlineStr">
        <is>
          <t>2270186540002656</t>
        </is>
      </c>
      <c r="AZ300" t="inlineStr">
        <is>
          <t>BOOK</t>
        </is>
      </c>
      <c r="BB300" t="inlineStr">
        <is>
          <t>9780404043995</t>
        </is>
      </c>
      <c r="BC300" t="inlineStr">
        <is>
          <t>32285000303924</t>
        </is>
      </c>
      <c r="BD300" t="inlineStr">
        <is>
          <t>893346359</t>
        </is>
      </c>
    </row>
    <row r="301">
      <c r="A301" t="inlineStr">
        <is>
          <t>No</t>
        </is>
      </c>
      <c r="B301" t="inlineStr">
        <is>
          <t>PS2631 .Q5 1969</t>
        </is>
      </c>
      <c r="C301" t="inlineStr">
        <is>
          <t>0                      PS 2631000Q  5           1969</t>
        </is>
      </c>
      <c r="D301" t="inlineStr">
        <is>
          <t>Edgar Allan Poe, a critical biography / by Arthur Hobson Quinn.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Quinn, Arthur Hobson, 1875-1960.</t>
        </is>
      </c>
      <c r="L301" t="inlineStr">
        <is>
          <t>New York : Cooper Square, 1969, [c1941].</t>
        </is>
      </c>
      <c r="M301" t="inlineStr">
        <is>
          <t>1969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PS </t>
        </is>
      </c>
      <c r="S301" t="n">
        <v>8</v>
      </c>
      <c r="T301" t="n">
        <v>8</v>
      </c>
      <c r="U301" t="inlineStr">
        <is>
          <t>1996-11-06</t>
        </is>
      </c>
      <c r="V301" t="inlineStr">
        <is>
          <t>1996-11-06</t>
        </is>
      </c>
      <c r="W301" t="inlineStr">
        <is>
          <t>1990-07-16</t>
        </is>
      </c>
      <c r="X301" t="inlineStr">
        <is>
          <t>1990-07-16</t>
        </is>
      </c>
      <c r="Y301" t="n">
        <v>504</v>
      </c>
      <c r="Z301" t="n">
        <v>434</v>
      </c>
      <c r="AA301" t="n">
        <v>1500</v>
      </c>
      <c r="AB301" t="n">
        <v>4</v>
      </c>
      <c r="AC301" t="n">
        <v>11</v>
      </c>
      <c r="AD301" t="n">
        <v>12</v>
      </c>
      <c r="AE301" t="n">
        <v>49</v>
      </c>
      <c r="AF301" t="n">
        <v>4</v>
      </c>
      <c r="AG301" t="n">
        <v>22</v>
      </c>
      <c r="AH301" t="n">
        <v>3</v>
      </c>
      <c r="AI301" t="n">
        <v>9</v>
      </c>
      <c r="AJ301" t="n">
        <v>4</v>
      </c>
      <c r="AK301" t="n">
        <v>23</v>
      </c>
      <c r="AL301" t="n">
        <v>3</v>
      </c>
      <c r="AM301" t="n">
        <v>7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HYPERLINK("https://creighton-primo.hosted.exlibrisgroup.com/primo-explore/search?tab=default_tab&amp;search_scope=EVERYTHING&amp;vid=01CRU&amp;lang=en_US&amp;offset=0&amp;query=any,contains,991000141639702656","Catalog Record")</f>
        <v/>
      </c>
      <c r="AT301">
        <f>HYPERLINK("http://www.worldcat.org/oclc/57975","WorldCat Record")</f>
        <v/>
      </c>
      <c r="AU301" t="inlineStr">
        <is>
          <t>477185:eng</t>
        </is>
      </c>
      <c r="AV301" t="inlineStr">
        <is>
          <t>57975</t>
        </is>
      </c>
      <c r="AW301" t="inlineStr">
        <is>
          <t>991000141639702656</t>
        </is>
      </c>
      <c r="AX301" t="inlineStr">
        <is>
          <t>991000141639702656</t>
        </is>
      </c>
      <c r="AY301" t="inlineStr">
        <is>
          <t>2259769380002656</t>
        </is>
      </c>
      <c r="AZ301" t="inlineStr">
        <is>
          <t>BOOK</t>
        </is>
      </c>
      <c r="BB301" t="inlineStr">
        <is>
          <t>9780815403135</t>
        </is>
      </c>
      <c r="BC301" t="inlineStr">
        <is>
          <t>32285000208099</t>
        </is>
      </c>
      <c r="BD301" t="inlineStr">
        <is>
          <t>893431731</t>
        </is>
      </c>
    </row>
    <row r="302">
      <c r="A302" t="inlineStr">
        <is>
          <t>No</t>
        </is>
      </c>
      <c r="B302" t="inlineStr">
        <is>
          <t>PS2631 .S53 1977</t>
        </is>
      </c>
      <c r="C302" t="inlineStr">
        <is>
          <t>0                      PS 2631000S  53          1977</t>
        </is>
      </c>
      <c r="D302" t="inlineStr">
        <is>
          <t>Edgar Allan Poe / David Sinclair.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Sinclair, David, 1945-</t>
        </is>
      </c>
      <c r="L302" t="inlineStr">
        <is>
          <t>Totowa, N.J. : Rowman and Littlefield, 1977.</t>
        </is>
      </c>
      <c r="M302" t="inlineStr">
        <is>
          <t>1977</t>
        </is>
      </c>
      <c r="O302" t="inlineStr">
        <is>
          <t>eng</t>
        </is>
      </c>
      <c r="P302" t="inlineStr">
        <is>
          <t>nju</t>
        </is>
      </c>
      <c r="R302" t="inlineStr">
        <is>
          <t xml:space="preserve">PS </t>
        </is>
      </c>
      <c r="S302" t="n">
        <v>3</v>
      </c>
      <c r="T302" t="n">
        <v>3</v>
      </c>
      <c r="U302" t="inlineStr">
        <is>
          <t>1992-11-17</t>
        </is>
      </c>
      <c r="V302" t="inlineStr">
        <is>
          <t>1992-11-17</t>
        </is>
      </c>
      <c r="W302" t="inlineStr">
        <is>
          <t>1991-10-31</t>
        </is>
      </c>
      <c r="X302" t="inlineStr">
        <is>
          <t>1991-10-31</t>
        </is>
      </c>
      <c r="Y302" t="n">
        <v>282</v>
      </c>
      <c r="Z302" t="n">
        <v>261</v>
      </c>
      <c r="AA302" t="n">
        <v>330</v>
      </c>
      <c r="AB302" t="n">
        <v>1</v>
      </c>
      <c r="AC302" t="n">
        <v>1</v>
      </c>
      <c r="AD302" t="n">
        <v>11</v>
      </c>
      <c r="AE302" t="n">
        <v>12</v>
      </c>
      <c r="AF302" t="n">
        <v>6</v>
      </c>
      <c r="AG302" t="n">
        <v>6</v>
      </c>
      <c r="AH302" t="n">
        <v>6</v>
      </c>
      <c r="AI302" t="n">
        <v>6</v>
      </c>
      <c r="AJ302" t="n">
        <v>6</v>
      </c>
      <c r="AK302" t="n">
        <v>7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HYPERLINK("https://creighton-primo.hosted.exlibrisgroup.com/primo-explore/search?tab=default_tab&amp;search_scope=EVERYTHING&amp;vid=01CRU&amp;lang=en_US&amp;offset=0&amp;query=any,contains,991004377029702656","Catalog Record")</f>
        <v/>
      </c>
      <c r="AT302">
        <f>HYPERLINK("http://www.worldcat.org/oclc/3205497","WorldCat Record")</f>
        <v/>
      </c>
      <c r="AU302" t="inlineStr">
        <is>
          <t>1862640594:eng</t>
        </is>
      </c>
      <c r="AV302" t="inlineStr">
        <is>
          <t>3205497</t>
        </is>
      </c>
      <c r="AW302" t="inlineStr">
        <is>
          <t>991004377029702656</t>
        </is>
      </c>
      <c r="AX302" t="inlineStr">
        <is>
          <t>991004377029702656</t>
        </is>
      </c>
      <c r="AY302" t="inlineStr">
        <is>
          <t>2269210890002656</t>
        </is>
      </c>
      <c r="AZ302" t="inlineStr">
        <is>
          <t>BOOK</t>
        </is>
      </c>
      <c r="BB302" t="inlineStr">
        <is>
          <t>9780847660087</t>
        </is>
      </c>
      <c r="BC302" t="inlineStr">
        <is>
          <t>32285000803014</t>
        </is>
      </c>
      <c r="BD302" t="inlineStr">
        <is>
          <t>893888629</t>
        </is>
      </c>
    </row>
    <row r="303">
      <c r="A303" t="inlineStr">
        <is>
          <t>No</t>
        </is>
      </c>
      <c r="B303" t="inlineStr">
        <is>
          <t>PS2631 .T47 1987</t>
        </is>
      </c>
      <c r="C303" t="inlineStr">
        <is>
          <t>0                      PS 2631000T  47          1987</t>
        </is>
      </c>
      <c r="D303" t="inlineStr">
        <is>
          <t>The Poe log : a documentary life of Edgar Allan Poe, 1809-1849 / Dwight Thomas and David K. Jackson.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Thomas, Dwight.</t>
        </is>
      </c>
      <c r="L303" t="inlineStr">
        <is>
          <t>Boston : G.K. Hall, 1987.</t>
        </is>
      </c>
      <c r="M303" t="inlineStr">
        <is>
          <t>1987</t>
        </is>
      </c>
      <c r="O303" t="inlineStr">
        <is>
          <t>eng</t>
        </is>
      </c>
      <c r="P303" t="inlineStr">
        <is>
          <t>mau</t>
        </is>
      </c>
      <c r="R303" t="inlineStr">
        <is>
          <t xml:space="preserve">PS </t>
        </is>
      </c>
      <c r="S303" t="n">
        <v>8</v>
      </c>
      <c r="T303" t="n">
        <v>8</v>
      </c>
      <c r="U303" t="inlineStr">
        <is>
          <t>1999-05-23</t>
        </is>
      </c>
      <c r="V303" t="inlineStr">
        <is>
          <t>1999-05-23</t>
        </is>
      </c>
      <c r="W303" t="inlineStr">
        <is>
          <t>1990-03-20</t>
        </is>
      </c>
      <c r="X303" t="inlineStr">
        <is>
          <t>1990-03-20</t>
        </is>
      </c>
      <c r="Y303" t="n">
        <v>725</v>
      </c>
      <c r="Z303" t="n">
        <v>633</v>
      </c>
      <c r="AA303" t="n">
        <v>668</v>
      </c>
      <c r="AB303" t="n">
        <v>6</v>
      </c>
      <c r="AC303" t="n">
        <v>6</v>
      </c>
      <c r="AD303" t="n">
        <v>35</v>
      </c>
      <c r="AE303" t="n">
        <v>37</v>
      </c>
      <c r="AF303" t="n">
        <v>15</v>
      </c>
      <c r="AG303" t="n">
        <v>17</v>
      </c>
      <c r="AH303" t="n">
        <v>8</v>
      </c>
      <c r="AI303" t="n">
        <v>8</v>
      </c>
      <c r="AJ303" t="n">
        <v>18</v>
      </c>
      <c r="AK303" t="n">
        <v>18</v>
      </c>
      <c r="AL303" t="n">
        <v>5</v>
      </c>
      <c r="AM303" t="n">
        <v>5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HYPERLINK("http://catalog.hathitrust.org/Record/007105327","HathiTrust Record")</f>
        <v/>
      </c>
      <c r="AS303">
        <f>HYPERLINK("https://creighton-primo.hosted.exlibrisgroup.com/primo-explore/search?tab=default_tab&amp;search_scope=EVERYTHING&amp;vid=01CRU&amp;lang=en_US&amp;offset=0&amp;query=any,contains,991000913999702656","Catalog Record")</f>
        <v/>
      </c>
      <c r="AT303">
        <f>HYPERLINK("http://www.worldcat.org/oclc/14165545","WorldCat Record")</f>
        <v/>
      </c>
      <c r="AU303" t="inlineStr">
        <is>
          <t>7168784:eng</t>
        </is>
      </c>
      <c r="AV303" t="inlineStr">
        <is>
          <t>14165545</t>
        </is>
      </c>
      <c r="AW303" t="inlineStr">
        <is>
          <t>991000913999702656</t>
        </is>
      </c>
      <c r="AX303" t="inlineStr">
        <is>
          <t>991000913999702656</t>
        </is>
      </c>
      <c r="AY303" t="inlineStr">
        <is>
          <t>2270241500002656</t>
        </is>
      </c>
      <c r="AZ303" t="inlineStr">
        <is>
          <t>BOOK</t>
        </is>
      </c>
      <c r="BB303" t="inlineStr">
        <is>
          <t>9780816187348</t>
        </is>
      </c>
      <c r="BC303" t="inlineStr">
        <is>
          <t>32285000088384</t>
        </is>
      </c>
      <c r="BD303" t="inlineStr">
        <is>
          <t>893237719</t>
        </is>
      </c>
    </row>
    <row r="304">
      <c r="A304" t="inlineStr">
        <is>
          <t>No</t>
        </is>
      </c>
      <c r="B304" t="inlineStr">
        <is>
          <t>PS2631 .W3</t>
        </is>
      </c>
      <c r="C304" t="inlineStr">
        <is>
          <t>0                      PS 2631000W  3</t>
        </is>
      </c>
      <c r="D304" t="inlineStr">
        <is>
          <t>Edgar Allan Poe : the man behind the legend.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Wagenknecht, Edward, 1900-2004.</t>
        </is>
      </c>
      <c r="L304" t="inlineStr">
        <is>
          <t>New York : Oxford University Press, 1963.</t>
        </is>
      </c>
      <c r="M304" t="inlineStr">
        <is>
          <t>1963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PS </t>
        </is>
      </c>
      <c r="S304" t="n">
        <v>15</v>
      </c>
      <c r="T304" t="n">
        <v>15</v>
      </c>
      <c r="U304" t="inlineStr">
        <is>
          <t>1999-04-07</t>
        </is>
      </c>
      <c r="V304" t="inlineStr">
        <is>
          <t>1999-04-07</t>
        </is>
      </c>
      <c r="W304" t="inlineStr">
        <is>
          <t>1992-03-11</t>
        </is>
      </c>
      <c r="X304" t="inlineStr">
        <is>
          <t>1992-03-11</t>
        </is>
      </c>
      <c r="Y304" t="n">
        <v>1446</v>
      </c>
      <c r="Z304" t="n">
        <v>1283</v>
      </c>
      <c r="AA304" t="n">
        <v>1292</v>
      </c>
      <c r="AB304" t="n">
        <v>15</v>
      </c>
      <c r="AC304" t="n">
        <v>15</v>
      </c>
      <c r="AD304" t="n">
        <v>46</v>
      </c>
      <c r="AE304" t="n">
        <v>46</v>
      </c>
      <c r="AF304" t="n">
        <v>18</v>
      </c>
      <c r="AG304" t="n">
        <v>18</v>
      </c>
      <c r="AH304" t="n">
        <v>7</v>
      </c>
      <c r="AI304" t="n">
        <v>7</v>
      </c>
      <c r="AJ304" t="n">
        <v>20</v>
      </c>
      <c r="AK304" t="n">
        <v>20</v>
      </c>
      <c r="AL304" t="n">
        <v>10</v>
      </c>
      <c r="AM304" t="n">
        <v>10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HYPERLINK("http://catalog.hathitrust.org/Record/001113106","HathiTrust Record")</f>
        <v/>
      </c>
      <c r="AS304">
        <f>HYPERLINK("https://creighton-primo.hosted.exlibrisgroup.com/primo-explore/search?tab=default_tab&amp;search_scope=EVERYTHING&amp;vid=01CRU&amp;lang=en_US&amp;offset=0&amp;query=any,contains,991002902389702656","Catalog Record")</f>
        <v/>
      </c>
      <c r="AT304">
        <f>HYPERLINK("http://www.worldcat.org/oclc/517876","WorldCat Record")</f>
        <v/>
      </c>
      <c r="AU304" t="inlineStr">
        <is>
          <t>198965003:eng</t>
        </is>
      </c>
      <c r="AV304" t="inlineStr">
        <is>
          <t>517876</t>
        </is>
      </c>
      <c r="AW304" t="inlineStr">
        <is>
          <t>991002902389702656</t>
        </is>
      </c>
      <c r="AX304" t="inlineStr">
        <is>
          <t>991002902389702656</t>
        </is>
      </c>
      <c r="AY304" t="inlineStr">
        <is>
          <t>2254731430002656</t>
        </is>
      </c>
      <c r="AZ304" t="inlineStr">
        <is>
          <t>BOOK</t>
        </is>
      </c>
      <c r="BC304" t="inlineStr">
        <is>
          <t>32285000995687</t>
        </is>
      </c>
      <c r="BD304" t="inlineStr">
        <is>
          <t>893598045</t>
        </is>
      </c>
    </row>
    <row r="305">
      <c r="A305" t="inlineStr">
        <is>
          <t>No</t>
        </is>
      </c>
      <c r="B305" t="inlineStr">
        <is>
          <t>PS2631 .W5 1980</t>
        </is>
      </c>
      <c r="C305" t="inlineStr">
        <is>
          <t>0                      PS 2631000W  5           1980</t>
        </is>
      </c>
      <c r="D305" t="inlineStr">
        <is>
          <t>Edgar Poe and his critics / by Sarah Helen Whitman.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Whitman, Sarah Helen, 1803-1878.</t>
        </is>
      </c>
      <c r="L305" t="inlineStr">
        <is>
          <t>[S.l. : s.n., 198-?]</t>
        </is>
      </c>
      <c r="M305" t="inlineStr">
        <is>
          <t>1980</t>
        </is>
      </c>
      <c r="O305" t="inlineStr">
        <is>
          <t>eng</t>
        </is>
      </c>
      <c r="P305" t="inlineStr">
        <is>
          <t xml:space="preserve">xx </t>
        </is>
      </c>
      <c r="R305" t="inlineStr">
        <is>
          <t xml:space="preserve">PS </t>
        </is>
      </c>
      <c r="S305" t="n">
        <v>7</v>
      </c>
      <c r="T305" t="n">
        <v>7</v>
      </c>
      <c r="U305" t="inlineStr">
        <is>
          <t>1999-04-07</t>
        </is>
      </c>
      <c r="V305" t="inlineStr">
        <is>
          <t>1999-04-07</t>
        </is>
      </c>
      <c r="W305" t="inlineStr">
        <is>
          <t>1990-10-30</t>
        </is>
      </c>
      <c r="X305" t="inlineStr">
        <is>
          <t>1990-10-30</t>
        </is>
      </c>
      <c r="Y305" t="n">
        <v>22</v>
      </c>
      <c r="Z305" t="n">
        <v>22</v>
      </c>
      <c r="AA305" t="n">
        <v>649</v>
      </c>
      <c r="AB305" t="n">
        <v>1</v>
      </c>
      <c r="AC305" t="n">
        <v>6</v>
      </c>
      <c r="AD305" t="n">
        <v>1</v>
      </c>
      <c r="AE305" t="n">
        <v>31</v>
      </c>
      <c r="AF305" t="n">
        <v>1</v>
      </c>
      <c r="AG305" t="n">
        <v>12</v>
      </c>
      <c r="AH305" t="n">
        <v>0</v>
      </c>
      <c r="AI305" t="n">
        <v>8</v>
      </c>
      <c r="AJ305" t="n">
        <v>0</v>
      </c>
      <c r="AK305" t="n">
        <v>13</v>
      </c>
      <c r="AL305" t="n">
        <v>0</v>
      </c>
      <c r="AM305" t="n">
        <v>5</v>
      </c>
      <c r="AN305" t="n">
        <v>0</v>
      </c>
      <c r="AO305" t="n">
        <v>1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HYPERLINK("https://creighton-primo.hosted.exlibrisgroup.com/primo-explore/search?tab=default_tab&amp;search_scope=EVERYTHING&amp;vid=01CRU&amp;lang=en_US&amp;offset=0&amp;query=any,contains,991000380789702656","Catalog Record")</f>
        <v/>
      </c>
      <c r="AT305">
        <f>HYPERLINK("http://www.worldcat.org/oclc/10488529","WorldCat Record")</f>
        <v/>
      </c>
      <c r="AU305" t="inlineStr">
        <is>
          <t>536265:eng</t>
        </is>
      </c>
      <c r="AV305" t="inlineStr">
        <is>
          <t>10488529</t>
        </is>
      </c>
      <c r="AW305" t="inlineStr">
        <is>
          <t>991000380789702656</t>
        </is>
      </c>
      <c r="AX305" t="inlineStr">
        <is>
          <t>991000380789702656</t>
        </is>
      </c>
      <c r="AY305" t="inlineStr">
        <is>
          <t>2259576000002656</t>
        </is>
      </c>
      <c r="AZ305" t="inlineStr">
        <is>
          <t>BOOK</t>
        </is>
      </c>
      <c r="BC305" t="inlineStr">
        <is>
          <t>32285000364967</t>
        </is>
      </c>
      <c r="BD305" t="inlineStr">
        <is>
          <t>893777885</t>
        </is>
      </c>
    </row>
    <row r="306">
      <c r="A306" t="inlineStr">
        <is>
          <t>No</t>
        </is>
      </c>
      <c r="B306" t="inlineStr">
        <is>
          <t>PS2636 .P6</t>
        </is>
      </c>
      <c r="C306" t="inlineStr">
        <is>
          <t>0                      PS 2636000P  6</t>
        </is>
      </c>
      <c r="D306" t="inlineStr">
        <is>
          <t>Discoveries in Poe / [by] Burton R. Pollin.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Pollin, Burton R. (Burton Ralph)</t>
        </is>
      </c>
      <c r="L306" t="inlineStr">
        <is>
          <t>Notre Dame : University of Notre Dame Press, [1970]</t>
        </is>
      </c>
      <c r="M306" t="inlineStr">
        <is>
          <t>1970</t>
        </is>
      </c>
      <c r="O306" t="inlineStr">
        <is>
          <t>eng</t>
        </is>
      </c>
      <c r="P306" t="inlineStr">
        <is>
          <t>inu</t>
        </is>
      </c>
      <c r="R306" t="inlineStr">
        <is>
          <t xml:space="preserve">PS </t>
        </is>
      </c>
      <c r="S306" t="n">
        <v>9</v>
      </c>
      <c r="T306" t="n">
        <v>9</v>
      </c>
      <c r="U306" t="inlineStr">
        <is>
          <t>1999-04-07</t>
        </is>
      </c>
      <c r="V306" t="inlineStr">
        <is>
          <t>1999-04-07</t>
        </is>
      </c>
      <c r="W306" t="inlineStr">
        <is>
          <t>1990-03-14</t>
        </is>
      </c>
      <c r="X306" t="inlineStr">
        <is>
          <t>1990-03-14</t>
        </is>
      </c>
      <c r="Y306" t="n">
        <v>805</v>
      </c>
      <c r="Z306" t="n">
        <v>680</v>
      </c>
      <c r="AA306" t="n">
        <v>687</v>
      </c>
      <c r="AB306" t="n">
        <v>9</v>
      </c>
      <c r="AC306" t="n">
        <v>9</v>
      </c>
      <c r="AD306" t="n">
        <v>34</v>
      </c>
      <c r="AE306" t="n">
        <v>34</v>
      </c>
      <c r="AF306" t="n">
        <v>12</v>
      </c>
      <c r="AG306" t="n">
        <v>12</v>
      </c>
      <c r="AH306" t="n">
        <v>9</v>
      </c>
      <c r="AI306" t="n">
        <v>9</v>
      </c>
      <c r="AJ306" t="n">
        <v>15</v>
      </c>
      <c r="AK306" t="n">
        <v>15</v>
      </c>
      <c r="AL306" t="n">
        <v>7</v>
      </c>
      <c r="AM306" t="n">
        <v>7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HYPERLINK("http://catalog.hathitrust.org/Record/001376639","HathiTrust Record")</f>
        <v/>
      </c>
      <c r="AS306">
        <f>HYPERLINK("https://creighton-primo.hosted.exlibrisgroup.com/primo-explore/search?tab=default_tab&amp;search_scope=EVERYTHING&amp;vid=01CRU&amp;lang=en_US&amp;offset=0&amp;query=any,contains,991000426799702656","Catalog Record")</f>
        <v/>
      </c>
      <c r="AT306">
        <f>HYPERLINK("http://www.worldcat.org/oclc/75370","WorldCat Record")</f>
        <v/>
      </c>
      <c r="AU306" t="inlineStr">
        <is>
          <t>430431:eng</t>
        </is>
      </c>
      <c r="AV306" t="inlineStr">
        <is>
          <t>75370</t>
        </is>
      </c>
      <c r="AW306" t="inlineStr">
        <is>
          <t>991000426799702656</t>
        </is>
      </c>
      <c r="AX306" t="inlineStr">
        <is>
          <t>991000426799702656</t>
        </is>
      </c>
      <c r="AY306" t="inlineStr">
        <is>
          <t>2256036810002656</t>
        </is>
      </c>
      <c r="AZ306" t="inlineStr">
        <is>
          <t>BOOK</t>
        </is>
      </c>
      <c r="BC306" t="inlineStr">
        <is>
          <t>32285000082981</t>
        </is>
      </c>
      <c r="BD306" t="inlineStr">
        <is>
          <t>893255412</t>
        </is>
      </c>
    </row>
    <row r="307">
      <c r="A307" t="inlineStr">
        <is>
          <t>No</t>
        </is>
      </c>
      <c r="B307" t="inlineStr">
        <is>
          <t>PS2638 .A45</t>
        </is>
      </c>
      <c r="C307" t="inlineStr">
        <is>
          <t>0                      PS 2638000A  45</t>
        </is>
      </c>
      <c r="D307" t="inlineStr">
        <is>
          <t>Affidavits of genius : Edgar Allan Poe and the French critics, 1847-1924.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Alexander, Jean, 1926-, compiler.</t>
        </is>
      </c>
      <c r="L307" t="inlineStr">
        <is>
          <t>Port Washington, N.Y. : Kennikat Press, [1971]</t>
        </is>
      </c>
      <c r="M307" t="inlineStr">
        <is>
          <t>1971</t>
        </is>
      </c>
      <c r="O307" t="inlineStr">
        <is>
          <t>eng</t>
        </is>
      </c>
      <c r="P307" t="inlineStr">
        <is>
          <t>nyu</t>
        </is>
      </c>
      <c r="Q307" t="inlineStr">
        <is>
          <t>Kennikat Press national university publications. Series on literary criticism</t>
        </is>
      </c>
      <c r="R307" t="inlineStr">
        <is>
          <t xml:space="preserve">PS </t>
        </is>
      </c>
      <c r="S307" t="n">
        <v>7</v>
      </c>
      <c r="T307" t="n">
        <v>7</v>
      </c>
      <c r="U307" t="inlineStr">
        <is>
          <t>1999-05-23</t>
        </is>
      </c>
      <c r="V307" t="inlineStr">
        <is>
          <t>1999-05-23</t>
        </is>
      </c>
      <c r="W307" t="inlineStr">
        <is>
          <t>1990-09-14</t>
        </is>
      </c>
      <c r="X307" t="inlineStr">
        <is>
          <t>1990-09-14</t>
        </is>
      </c>
      <c r="Y307" t="n">
        <v>955</v>
      </c>
      <c r="Z307" t="n">
        <v>863</v>
      </c>
      <c r="AA307" t="n">
        <v>909</v>
      </c>
      <c r="AB307" t="n">
        <v>10</v>
      </c>
      <c r="AC307" t="n">
        <v>11</v>
      </c>
      <c r="AD307" t="n">
        <v>39</v>
      </c>
      <c r="AE307" t="n">
        <v>41</v>
      </c>
      <c r="AF307" t="n">
        <v>15</v>
      </c>
      <c r="AG307" t="n">
        <v>16</v>
      </c>
      <c r="AH307" t="n">
        <v>7</v>
      </c>
      <c r="AI307" t="n">
        <v>7</v>
      </c>
      <c r="AJ307" t="n">
        <v>17</v>
      </c>
      <c r="AK307" t="n">
        <v>18</v>
      </c>
      <c r="AL307" t="n">
        <v>8</v>
      </c>
      <c r="AM307" t="n">
        <v>9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HYPERLINK("http://catalog.hathitrust.org/Record/001376595","HathiTrust Record")</f>
        <v/>
      </c>
      <c r="AS307">
        <f>HYPERLINK("https://creighton-primo.hosted.exlibrisgroup.com/primo-explore/search?tab=default_tab&amp;search_scope=EVERYTHING&amp;vid=01CRU&amp;lang=en_US&amp;offset=0&amp;query=any,contains,991000908809702656","Catalog Record")</f>
        <v/>
      </c>
      <c r="AT307">
        <f>HYPERLINK("http://www.worldcat.org/oclc/158839","WorldCat Record")</f>
        <v/>
      </c>
      <c r="AU307" t="inlineStr">
        <is>
          <t>198924272:eng</t>
        </is>
      </c>
      <c r="AV307" t="inlineStr">
        <is>
          <t>158839</t>
        </is>
      </c>
      <c r="AW307" t="inlineStr">
        <is>
          <t>991000908809702656</t>
        </is>
      </c>
      <c r="AX307" t="inlineStr">
        <is>
          <t>991000908809702656</t>
        </is>
      </c>
      <c r="AY307" t="inlineStr">
        <is>
          <t>2258594020002656</t>
        </is>
      </c>
      <c r="AZ307" t="inlineStr">
        <is>
          <t>BOOK</t>
        </is>
      </c>
      <c r="BB307" t="inlineStr">
        <is>
          <t>9780804690157</t>
        </is>
      </c>
      <c r="BC307" t="inlineStr">
        <is>
          <t>32285000303916</t>
        </is>
      </c>
      <c r="BD307" t="inlineStr">
        <is>
          <t>893509216</t>
        </is>
      </c>
    </row>
    <row r="308">
      <c r="A308" t="inlineStr">
        <is>
          <t>No</t>
        </is>
      </c>
      <c r="B308" t="inlineStr">
        <is>
          <t>PS2638 .A5 1965</t>
        </is>
      </c>
      <c r="C308" t="inlineStr">
        <is>
          <t>0                      PS 2638000A  5           1965</t>
        </is>
      </c>
      <c r="D308" t="inlineStr">
        <is>
          <t>Origins of Poe's critical theory.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Alterton, Margaret, 1877-1934.</t>
        </is>
      </c>
      <c r="L308" t="inlineStr">
        <is>
          <t>New York : Russell &amp; Russell, 1965.</t>
        </is>
      </c>
      <c r="M308" t="inlineStr">
        <is>
          <t>1965</t>
        </is>
      </c>
      <c r="O308" t="inlineStr">
        <is>
          <t>eng</t>
        </is>
      </c>
      <c r="P308" t="inlineStr">
        <is>
          <t>nyu</t>
        </is>
      </c>
      <c r="R308" t="inlineStr">
        <is>
          <t xml:space="preserve">PS </t>
        </is>
      </c>
      <c r="S308" t="n">
        <v>2</v>
      </c>
      <c r="T308" t="n">
        <v>2</v>
      </c>
      <c r="U308" t="inlineStr">
        <is>
          <t>2004-09-30</t>
        </is>
      </c>
      <c r="V308" t="inlineStr">
        <is>
          <t>2004-09-30</t>
        </is>
      </c>
      <c r="W308" t="inlineStr">
        <is>
          <t>1990-09-14</t>
        </is>
      </c>
      <c r="X308" t="inlineStr">
        <is>
          <t>1990-09-14</t>
        </is>
      </c>
      <c r="Y308" t="n">
        <v>496</v>
      </c>
      <c r="Z308" t="n">
        <v>444</v>
      </c>
      <c r="AA308" t="n">
        <v>459</v>
      </c>
      <c r="AB308" t="n">
        <v>2</v>
      </c>
      <c r="AC308" t="n">
        <v>2</v>
      </c>
      <c r="AD308" t="n">
        <v>16</v>
      </c>
      <c r="AE308" t="n">
        <v>16</v>
      </c>
      <c r="AF308" t="n">
        <v>6</v>
      </c>
      <c r="AG308" t="n">
        <v>6</v>
      </c>
      <c r="AH308" t="n">
        <v>2</v>
      </c>
      <c r="AI308" t="n">
        <v>2</v>
      </c>
      <c r="AJ308" t="n">
        <v>10</v>
      </c>
      <c r="AK308" t="n">
        <v>10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HYPERLINK("http://catalog.hathitrust.org/Record/001958330","HathiTrust Record")</f>
        <v/>
      </c>
      <c r="AS308">
        <f>HYPERLINK("https://creighton-primo.hosted.exlibrisgroup.com/primo-explore/search?tab=default_tab&amp;search_scope=EVERYTHING&amp;vid=01CRU&amp;lang=en_US&amp;offset=0&amp;query=any,contains,991002164849702656","Catalog Record")</f>
        <v/>
      </c>
      <c r="AT308">
        <f>HYPERLINK("http://www.worldcat.org/oclc/274903","WorldCat Record")</f>
        <v/>
      </c>
      <c r="AU308" t="inlineStr">
        <is>
          <t>1408981:eng</t>
        </is>
      </c>
      <c r="AV308" t="inlineStr">
        <is>
          <t>274903</t>
        </is>
      </c>
      <c r="AW308" t="inlineStr">
        <is>
          <t>991002164849702656</t>
        </is>
      </c>
      <c r="AX308" t="inlineStr">
        <is>
          <t>991002164849702656</t>
        </is>
      </c>
      <c r="AY308" t="inlineStr">
        <is>
          <t>2263866730002656</t>
        </is>
      </c>
      <c r="AZ308" t="inlineStr">
        <is>
          <t>BOOK</t>
        </is>
      </c>
      <c r="BC308" t="inlineStr">
        <is>
          <t>32285000303874</t>
        </is>
      </c>
      <c r="BD308" t="inlineStr">
        <is>
          <t>893898440</t>
        </is>
      </c>
    </row>
    <row r="309">
      <c r="A309" t="inlineStr">
        <is>
          <t>No</t>
        </is>
      </c>
      <c r="B309" t="inlineStr">
        <is>
          <t>PS2638 .A6</t>
        </is>
      </c>
      <c r="C309" t="inlineStr">
        <is>
          <t>0                      PS 2638000A  6</t>
        </is>
      </c>
      <c r="D309" t="inlineStr">
        <is>
          <t>Poe in northlight : the Scandinavian response to his life and work / [by] Carl L. Anderson.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Anderson, Carl L.</t>
        </is>
      </c>
      <c r="L309" t="inlineStr">
        <is>
          <t>Durham, N.C. : Duke University Press, 1973.</t>
        </is>
      </c>
      <c r="M309" t="inlineStr">
        <is>
          <t>1973</t>
        </is>
      </c>
      <c r="O309" t="inlineStr">
        <is>
          <t>eng</t>
        </is>
      </c>
      <c r="P309" t="inlineStr">
        <is>
          <t>ncu</t>
        </is>
      </c>
      <c r="R309" t="inlineStr">
        <is>
          <t xml:space="preserve">PS </t>
        </is>
      </c>
      <c r="S309" t="n">
        <v>2</v>
      </c>
      <c r="T309" t="n">
        <v>2</v>
      </c>
      <c r="U309" t="inlineStr">
        <is>
          <t>1992-11-16</t>
        </is>
      </c>
      <c r="V309" t="inlineStr">
        <is>
          <t>1992-11-16</t>
        </is>
      </c>
      <c r="W309" t="inlineStr">
        <is>
          <t>1990-09-14</t>
        </is>
      </c>
      <c r="X309" t="inlineStr">
        <is>
          <t>1990-09-14</t>
        </is>
      </c>
      <c r="Y309" t="n">
        <v>534</v>
      </c>
      <c r="Z309" t="n">
        <v>449</v>
      </c>
      <c r="AA309" t="n">
        <v>455</v>
      </c>
      <c r="AB309" t="n">
        <v>6</v>
      </c>
      <c r="AC309" t="n">
        <v>6</v>
      </c>
      <c r="AD309" t="n">
        <v>23</v>
      </c>
      <c r="AE309" t="n">
        <v>23</v>
      </c>
      <c r="AF309" t="n">
        <v>7</v>
      </c>
      <c r="AG309" t="n">
        <v>7</v>
      </c>
      <c r="AH309" t="n">
        <v>3</v>
      </c>
      <c r="AI309" t="n">
        <v>3</v>
      </c>
      <c r="AJ309" t="n">
        <v>12</v>
      </c>
      <c r="AK309" t="n">
        <v>12</v>
      </c>
      <c r="AL309" t="n">
        <v>5</v>
      </c>
      <c r="AM309" t="n">
        <v>5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HYPERLINK("http://catalog.hathitrust.org/Record/006230253","HathiTrust Record")</f>
        <v/>
      </c>
      <c r="AS309">
        <f>HYPERLINK("https://creighton-primo.hosted.exlibrisgroup.com/primo-explore/search?tab=default_tab&amp;search_scope=EVERYTHING&amp;vid=01CRU&amp;lang=en_US&amp;offset=0&amp;query=any,contains,991003019499702656","Catalog Record")</f>
        <v/>
      </c>
      <c r="AT309">
        <f>HYPERLINK("http://www.worldcat.org/oclc/584097","WorldCat Record")</f>
        <v/>
      </c>
      <c r="AU309" t="inlineStr">
        <is>
          <t>309085450:eng</t>
        </is>
      </c>
      <c r="AV309" t="inlineStr">
        <is>
          <t>584097</t>
        </is>
      </c>
      <c r="AW309" t="inlineStr">
        <is>
          <t>991003019499702656</t>
        </is>
      </c>
      <c r="AX309" t="inlineStr">
        <is>
          <t>991003019499702656</t>
        </is>
      </c>
      <c r="AY309" t="inlineStr">
        <is>
          <t>2269016940002656</t>
        </is>
      </c>
      <c r="AZ309" t="inlineStr">
        <is>
          <t>BOOK</t>
        </is>
      </c>
      <c r="BB309" t="inlineStr">
        <is>
          <t>9780822302759</t>
        </is>
      </c>
      <c r="BC309" t="inlineStr">
        <is>
          <t>32285000303866</t>
        </is>
      </c>
      <c r="BD309" t="inlineStr">
        <is>
          <t>893721758</t>
        </is>
      </c>
    </row>
    <row r="310">
      <c r="A310" t="inlineStr">
        <is>
          <t>No</t>
        </is>
      </c>
      <c r="B310" t="inlineStr">
        <is>
          <t>PS2638 .B38</t>
        </is>
      </c>
      <c r="C310" t="inlineStr">
        <is>
          <t>0                      PS 2638000B  38</t>
        </is>
      </c>
      <c r="D310" t="inlineStr">
        <is>
          <t>Fatal destinies : the Edgar Poe essays / Charles Baudelaire ; translated by Joan Fiedler Mele.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Baudelaire, Charles, 1821-1867.</t>
        </is>
      </c>
      <c r="L310" t="inlineStr">
        <is>
          <t>Woodhaven, N.Y. : Cross Country Press, c1981.</t>
        </is>
      </c>
      <c r="M310" t="inlineStr">
        <is>
          <t>1981</t>
        </is>
      </c>
      <c r="O310" t="inlineStr">
        <is>
          <t>eng</t>
        </is>
      </c>
      <c r="P310" t="inlineStr">
        <is>
          <t>nyu</t>
        </is>
      </c>
      <c r="R310" t="inlineStr">
        <is>
          <t xml:space="preserve">PS </t>
        </is>
      </c>
      <c r="S310" t="n">
        <v>8</v>
      </c>
      <c r="T310" t="n">
        <v>8</v>
      </c>
      <c r="U310" t="inlineStr">
        <is>
          <t>1998-03-31</t>
        </is>
      </c>
      <c r="V310" t="inlineStr">
        <is>
          <t>1998-03-31</t>
        </is>
      </c>
      <c r="W310" t="inlineStr">
        <is>
          <t>1990-10-30</t>
        </is>
      </c>
      <c r="X310" t="inlineStr">
        <is>
          <t>1990-10-30</t>
        </is>
      </c>
      <c r="Y310" t="n">
        <v>148</v>
      </c>
      <c r="Z310" t="n">
        <v>118</v>
      </c>
      <c r="AA310" t="n">
        <v>120</v>
      </c>
      <c r="AB310" t="n">
        <v>2</v>
      </c>
      <c r="AC310" t="n">
        <v>2</v>
      </c>
      <c r="AD310" t="n">
        <v>3</v>
      </c>
      <c r="AE310" t="n">
        <v>3</v>
      </c>
      <c r="AF310" t="n">
        <v>2</v>
      </c>
      <c r="AG310" t="n">
        <v>2</v>
      </c>
      <c r="AH310" t="n">
        <v>0</v>
      </c>
      <c r="AI310" t="n">
        <v>0</v>
      </c>
      <c r="AJ310" t="n">
        <v>0</v>
      </c>
      <c r="AK310" t="n">
        <v>0</v>
      </c>
      <c r="AL310" t="n">
        <v>1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HYPERLINK("http://catalog.hathitrust.org/Record/005149190","HathiTrust Record")</f>
        <v/>
      </c>
      <c r="AS310">
        <f>HYPERLINK("https://creighton-primo.hosted.exlibrisgroup.com/primo-explore/search?tab=default_tab&amp;search_scope=EVERYTHING&amp;vid=01CRU&amp;lang=en_US&amp;offset=0&amp;query=any,contains,991005184479702656","Catalog Record")</f>
        <v/>
      </c>
      <c r="AT310">
        <f>HYPERLINK("http://www.worldcat.org/oclc/7963186","WorldCat Record")</f>
        <v/>
      </c>
      <c r="AU310" t="inlineStr">
        <is>
          <t>427512775:eng</t>
        </is>
      </c>
      <c r="AV310" t="inlineStr">
        <is>
          <t>7963186</t>
        </is>
      </c>
      <c r="AW310" t="inlineStr">
        <is>
          <t>991005184479702656</t>
        </is>
      </c>
      <c r="AX310" t="inlineStr">
        <is>
          <t>991005184479702656</t>
        </is>
      </c>
      <c r="AY310" t="inlineStr">
        <is>
          <t>2265945890002656</t>
        </is>
      </c>
      <c r="AZ310" t="inlineStr">
        <is>
          <t>BOOK</t>
        </is>
      </c>
      <c r="BB310" t="inlineStr">
        <is>
          <t>9780916696160</t>
        </is>
      </c>
      <c r="BC310" t="inlineStr">
        <is>
          <t>32285000364983</t>
        </is>
      </c>
      <c r="BD310" t="inlineStr">
        <is>
          <t>893431001</t>
        </is>
      </c>
    </row>
    <row r="311">
      <c r="A311" t="inlineStr">
        <is>
          <t>No</t>
        </is>
      </c>
      <c r="B311" t="inlineStr">
        <is>
          <t>PS2638 .B87 1977</t>
        </is>
      </c>
      <c r="C311" t="inlineStr">
        <is>
          <t>0                      PS 2638000B  87          1977</t>
        </is>
      </c>
      <c r="D311" t="inlineStr">
        <is>
          <t>Edgar Allan Poe / by Vincent Buranelli.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Yes</t>
        </is>
      </c>
      <c r="J311" t="inlineStr">
        <is>
          <t>0</t>
        </is>
      </c>
      <c r="K311" t="inlineStr">
        <is>
          <t>Buranelli, Vincent.</t>
        </is>
      </c>
      <c r="L311" t="inlineStr">
        <is>
          <t>Boston : Twayne, c1977.</t>
        </is>
      </c>
      <c r="M311" t="inlineStr">
        <is>
          <t>1977</t>
        </is>
      </c>
      <c r="N311" t="inlineStr">
        <is>
          <t>2d ed.</t>
        </is>
      </c>
      <c r="O311" t="inlineStr">
        <is>
          <t>eng</t>
        </is>
      </c>
      <c r="P311" t="inlineStr">
        <is>
          <t>mau</t>
        </is>
      </c>
      <c r="Q311" t="inlineStr">
        <is>
          <t>Twayne's United States author series ; TUSAS 4</t>
        </is>
      </c>
      <c r="R311" t="inlineStr">
        <is>
          <t xml:space="preserve">PS </t>
        </is>
      </c>
      <c r="S311" t="n">
        <v>7</v>
      </c>
      <c r="T311" t="n">
        <v>7</v>
      </c>
      <c r="U311" t="inlineStr">
        <is>
          <t>1992-08-17</t>
        </is>
      </c>
      <c r="V311" t="inlineStr">
        <is>
          <t>1992-08-17</t>
        </is>
      </c>
      <c r="W311" t="inlineStr">
        <is>
          <t>1991-03-26</t>
        </is>
      </c>
      <c r="X311" t="inlineStr">
        <is>
          <t>1991-03-26</t>
        </is>
      </c>
      <c r="Y311" t="n">
        <v>1608</v>
      </c>
      <c r="Z311" t="n">
        <v>1484</v>
      </c>
      <c r="AA311" t="n">
        <v>2367</v>
      </c>
      <c r="AB311" t="n">
        <v>9</v>
      </c>
      <c r="AC311" t="n">
        <v>21</v>
      </c>
      <c r="AD311" t="n">
        <v>37</v>
      </c>
      <c r="AE311" t="n">
        <v>59</v>
      </c>
      <c r="AF311" t="n">
        <v>16</v>
      </c>
      <c r="AG311" t="n">
        <v>24</v>
      </c>
      <c r="AH311" t="n">
        <v>5</v>
      </c>
      <c r="AI311" t="n">
        <v>10</v>
      </c>
      <c r="AJ311" t="n">
        <v>17</v>
      </c>
      <c r="AK311" t="n">
        <v>25</v>
      </c>
      <c r="AL311" t="n">
        <v>6</v>
      </c>
      <c r="AM311" t="n">
        <v>13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HYPERLINK("https://creighton-primo.hosted.exlibrisgroup.com/primo-explore/search?tab=default_tab&amp;search_scope=EVERYTHING&amp;vid=01CRU&amp;lang=en_US&amp;offset=0&amp;query=any,contains,991004296539702656","Catalog Record")</f>
        <v/>
      </c>
      <c r="AT311">
        <f>HYPERLINK("http://www.worldcat.org/oclc/2965163","WorldCat Record")</f>
        <v/>
      </c>
      <c r="AU311" t="inlineStr">
        <is>
          <t>3901112392:eng</t>
        </is>
      </c>
      <c r="AV311" t="inlineStr">
        <is>
          <t>2965163</t>
        </is>
      </c>
      <c r="AW311" t="inlineStr">
        <is>
          <t>991004296539702656</t>
        </is>
      </c>
      <c r="AX311" t="inlineStr">
        <is>
          <t>991004296539702656</t>
        </is>
      </c>
      <c r="AY311" t="inlineStr">
        <is>
          <t>2270272610002656</t>
        </is>
      </c>
      <c r="AZ311" t="inlineStr">
        <is>
          <t>BOOK</t>
        </is>
      </c>
      <c r="BB311" t="inlineStr">
        <is>
          <t>9780805771893</t>
        </is>
      </c>
      <c r="BC311" t="inlineStr">
        <is>
          <t>32285000531169</t>
        </is>
      </c>
      <c r="BD311" t="inlineStr">
        <is>
          <t>893894819</t>
        </is>
      </c>
    </row>
    <row r="312">
      <c r="A312" t="inlineStr">
        <is>
          <t>No</t>
        </is>
      </c>
      <c r="B312" t="inlineStr">
        <is>
          <t>PS2638 .C6</t>
        </is>
      </c>
      <c r="C312" t="inlineStr">
        <is>
          <t>0                      PS 2638000C  6</t>
        </is>
      </c>
      <c r="D312" t="inlineStr">
        <is>
          <t>Poe as a literary critic / by John Esten Cooke, edited with an introduction and notes by N. Bryllion Fagin.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Cooke, John Esten, 1830-1886.</t>
        </is>
      </c>
      <c r="L312" t="inlineStr">
        <is>
          <t>Baltimore : The Johns Hopkins press, 1946.</t>
        </is>
      </c>
      <c r="M312" t="inlineStr">
        <is>
          <t>1946</t>
        </is>
      </c>
      <c r="O312" t="inlineStr">
        <is>
          <t>eng</t>
        </is>
      </c>
      <c r="P312" t="inlineStr">
        <is>
          <t>mdu</t>
        </is>
      </c>
      <c r="R312" t="inlineStr">
        <is>
          <t xml:space="preserve">PS </t>
        </is>
      </c>
      <c r="S312" t="n">
        <v>3</v>
      </c>
      <c r="T312" t="n">
        <v>3</v>
      </c>
      <c r="U312" t="inlineStr">
        <is>
          <t>1998-03-31</t>
        </is>
      </c>
      <c r="V312" t="inlineStr">
        <is>
          <t>1998-03-31</t>
        </is>
      </c>
      <c r="W312" t="inlineStr">
        <is>
          <t>1990-09-14</t>
        </is>
      </c>
      <c r="X312" t="inlineStr">
        <is>
          <t>1990-09-14</t>
        </is>
      </c>
      <c r="Y312" t="n">
        <v>212</v>
      </c>
      <c r="Z312" t="n">
        <v>194</v>
      </c>
      <c r="AA312" t="n">
        <v>201</v>
      </c>
      <c r="AB312" t="n">
        <v>2</v>
      </c>
      <c r="AC312" t="n">
        <v>2</v>
      </c>
      <c r="AD312" t="n">
        <v>14</v>
      </c>
      <c r="AE312" t="n">
        <v>14</v>
      </c>
      <c r="AF312" t="n">
        <v>4</v>
      </c>
      <c r="AG312" t="n">
        <v>4</v>
      </c>
      <c r="AH312" t="n">
        <v>4</v>
      </c>
      <c r="AI312" t="n">
        <v>4</v>
      </c>
      <c r="AJ312" t="n">
        <v>8</v>
      </c>
      <c r="AK312" t="n">
        <v>8</v>
      </c>
      <c r="AL312" t="n">
        <v>1</v>
      </c>
      <c r="AM312" t="n">
        <v>1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HYPERLINK("http://catalog.hathitrust.org/Record/001376607","HathiTrust Record")</f>
        <v/>
      </c>
      <c r="AS312">
        <f>HYPERLINK("https://creighton-primo.hosted.exlibrisgroup.com/primo-explore/search?tab=default_tab&amp;search_scope=EVERYTHING&amp;vid=01CRU&amp;lang=en_US&amp;offset=0&amp;query=any,contains,991003992679702656","Catalog Record")</f>
        <v/>
      </c>
      <c r="AT312">
        <f>HYPERLINK("http://www.worldcat.org/oclc/2050709","WorldCat Record")</f>
        <v/>
      </c>
      <c r="AU312" t="inlineStr">
        <is>
          <t>3421555:eng</t>
        </is>
      </c>
      <c r="AV312" t="inlineStr">
        <is>
          <t>2050709</t>
        </is>
      </c>
      <c r="AW312" t="inlineStr">
        <is>
          <t>991003992679702656</t>
        </is>
      </c>
      <c r="AX312" t="inlineStr">
        <is>
          <t>991003992679702656</t>
        </is>
      </c>
      <c r="AY312" t="inlineStr">
        <is>
          <t>2261928470002656</t>
        </is>
      </c>
      <c r="AZ312" t="inlineStr">
        <is>
          <t>BOOK</t>
        </is>
      </c>
      <c r="BC312" t="inlineStr">
        <is>
          <t>32285000303858</t>
        </is>
      </c>
      <c r="BD312" t="inlineStr">
        <is>
          <t>893618086</t>
        </is>
      </c>
    </row>
    <row r="313">
      <c r="A313" t="inlineStr">
        <is>
          <t>No</t>
        </is>
      </c>
      <c r="B313" t="inlineStr">
        <is>
          <t>PS2638 .E36 1987</t>
        </is>
      </c>
      <c r="C313" t="inlineStr">
        <is>
          <t>0                      PS 2638000E  36          1987</t>
        </is>
      </c>
      <c r="D313" t="inlineStr">
        <is>
          <t>Edgar Allan Poe : the design of order / edited by A. Robert Lee.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London : Vision ; Totowa, NJ : Barnes &amp; Noble, 1987.</t>
        </is>
      </c>
      <c r="M313" t="inlineStr">
        <is>
          <t>1987</t>
        </is>
      </c>
      <c r="O313" t="inlineStr">
        <is>
          <t>eng</t>
        </is>
      </c>
      <c r="P313" t="inlineStr">
        <is>
          <t>enk</t>
        </is>
      </c>
      <c r="Q313" t="inlineStr">
        <is>
          <t>Critical studies series</t>
        </is>
      </c>
      <c r="R313" t="inlineStr">
        <is>
          <t xml:space="preserve">PS </t>
        </is>
      </c>
      <c r="S313" t="n">
        <v>8</v>
      </c>
      <c r="T313" t="n">
        <v>8</v>
      </c>
      <c r="U313" t="inlineStr">
        <is>
          <t>1994-01-24</t>
        </is>
      </c>
      <c r="V313" t="inlineStr">
        <is>
          <t>1994-01-24</t>
        </is>
      </c>
      <c r="W313" t="inlineStr">
        <is>
          <t>1991-01-08</t>
        </is>
      </c>
      <c r="X313" t="inlineStr">
        <is>
          <t>1991-01-08</t>
        </is>
      </c>
      <c r="Y313" t="n">
        <v>690</v>
      </c>
      <c r="Z313" t="n">
        <v>613</v>
      </c>
      <c r="AA313" t="n">
        <v>615</v>
      </c>
      <c r="AB313" t="n">
        <v>6</v>
      </c>
      <c r="AC313" t="n">
        <v>6</v>
      </c>
      <c r="AD313" t="n">
        <v>28</v>
      </c>
      <c r="AE313" t="n">
        <v>28</v>
      </c>
      <c r="AF313" t="n">
        <v>11</v>
      </c>
      <c r="AG313" t="n">
        <v>11</v>
      </c>
      <c r="AH313" t="n">
        <v>7</v>
      </c>
      <c r="AI313" t="n">
        <v>7</v>
      </c>
      <c r="AJ313" t="n">
        <v>12</v>
      </c>
      <c r="AK313" t="n">
        <v>12</v>
      </c>
      <c r="AL313" t="n">
        <v>5</v>
      </c>
      <c r="AM313" t="n">
        <v>5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HYPERLINK("http://catalog.hathitrust.org/Record/000823738","HathiTrust Record")</f>
        <v/>
      </c>
      <c r="AS313">
        <f>HYPERLINK("https://creighton-primo.hosted.exlibrisgroup.com/primo-explore/search?tab=default_tab&amp;search_scope=EVERYTHING&amp;vid=01CRU&amp;lang=en_US&amp;offset=0&amp;query=any,contains,991000840979702656","Catalog Record")</f>
        <v/>
      </c>
      <c r="AT313">
        <f>HYPERLINK("http://www.worldcat.org/oclc/13525627","WorldCat Record")</f>
        <v/>
      </c>
      <c r="AU313" t="inlineStr">
        <is>
          <t>836639056:eng</t>
        </is>
      </c>
      <c r="AV313" t="inlineStr">
        <is>
          <t>13525627</t>
        </is>
      </c>
      <c r="AW313" t="inlineStr">
        <is>
          <t>991000840979702656</t>
        </is>
      </c>
      <c r="AX313" t="inlineStr">
        <is>
          <t>991000840979702656</t>
        </is>
      </c>
      <c r="AY313" t="inlineStr">
        <is>
          <t>2262365330002656</t>
        </is>
      </c>
      <c r="AZ313" t="inlineStr">
        <is>
          <t>BOOK</t>
        </is>
      </c>
      <c r="BB313" t="inlineStr">
        <is>
          <t>9780389206484</t>
        </is>
      </c>
      <c r="BC313" t="inlineStr">
        <is>
          <t>32285000454776</t>
        </is>
      </c>
      <c r="BD313" t="inlineStr">
        <is>
          <t>893339937</t>
        </is>
      </c>
    </row>
    <row r="314">
      <c r="A314" t="inlineStr">
        <is>
          <t>No</t>
        </is>
      </c>
      <c r="B314" t="inlineStr">
        <is>
          <t>PS2638 .F7</t>
        </is>
      </c>
      <c r="C314" t="inlineStr">
        <is>
          <t>0                      PS 2638000F  7</t>
        </is>
      </c>
      <c r="D314" t="inlineStr">
        <is>
          <t>The mind and art of Poe's poetry.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Fruit, John Phelps, 1855-1938.</t>
        </is>
      </c>
      <c r="L314" t="inlineStr">
        <is>
          <t>New York : AMS Press, 1966.</t>
        </is>
      </c>
      <c r="M314" t="inlineStr">
        <is>
          <t>1966</t>
        </is>
      </c>
      <c r="O314" t="inlineStr">
        <is>
          <t>eng</t>
        </is>
      </c>
      <c r="P314" t="inlineStr">
        <is>
          <t xml:space="preserve">xx </t>
        </is>
      </c>
      <c r="R314" t="inlineStr">
        <is>
          <t xml:space="preserve">PS </t>
        </is>
      </c>
      <c r="S314" t="n">
        <v>8</v>
      </c>
      <c r="T314" t="n">
        <v>8</v>
      </c>
      <c r="U314" t="inlineStr">
        <is>
          <t>1996-09-11</t>
        </is>
      </c>
      <c r="V314" t="inlineStr">
        <is>
          <t>1996-09-11</t>
        </is>
      </c>
      <c r="W314" t="inlineStr">
        <is>
          <t>1992-03-12</t>
        </is>
      </c>
      <c r="X314" t="inlineStr">
        <is>
          <t>1992-03-12</t>
        </is>
      </c>
      <c r="Y314" t="n">
        <v>143</v>
      </c>
      <c r="Z314" t="n">
        <v>133</v>
      </c>
      <c r="AA314" t="n">
        <v>354</v>
      </c>
      <c r="AB314" t="n">
        <v>1</v>
      </c>
      <c r="AC314" t="n">
        <v>1</v>
      </c>
      <c r="AD314" t="n">
        <v>5</v>
      </c>
      <c r="AE314" t="n">
        <v>11</v>
      </c>
      <c r="AF314" t="n">
        <v>2</v>
      </c>
      <c r="AG314" t="n">
        <v>5</v>
      </c>
      <c r="AH314" t="n">
        <v>1</v>
      </c>
      <c r="AI314" t="n">
        <v>2</v>
      </c>
      <c r="AJ314" t="n">
        <v>4</v>
      </c>
      <c r="AK314" t="n">
        <v>8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HYPERLINK("https://creighton-primo.hosted.exlibrisgroup.com/primo-explore/search?tab=default_tab&amp;search_scope=EVERYTHING&amp;vid=01CRU&amp;lang=en_US&amp;offset=0&amp;query=any,contains,991002164789702656","Catalog Record")</f>
        <v/>
      </c>
      <c r="AT314">
        <f>HYPERLINK("http://www.worldcat.org/oclc/274895","WorldCat Record")</f>
        <v/>
      </c>
      <c r="AU314" t="inlineStr">
        <is>
          <t>1408968:eng</t>
        </is>
      </c>
      <c r="AV314" t="inlineStr">
        <is>
          <t>274895</t>
        </is>
      </c>
      <c r="AW314" t="inlineStr">
        <is>
          <t>991002164789702656</t>
        </is>
      </c>
      <c r="AX314" t="inlineStr">
        <is>
          <t>991002164789702656</t>
        </is>
      </c>
      <c r="AY314" t="inlineStr">
        <is>
          <t>2260853670002656</t>
        </is>
      </c>
      <c r="AZ314" t="inlineStr">
        <is>
          <t>BOOK</t>
        </is>
      </c>
      <c r="BC314" t="inlineStr">
        <is>
          <t>32285000998301</t>
        </is>
      </c>
      <c r="BD314" t="inlineStr">
        <is>
          <t>893244837</t>
        </is>
      </c>
    </row>
    <row r="315">
      <c r="A315" t="inlineStr">
        <is>
          <t>No</t>
        </is>
      </c>
      <c r="B315" t="inlineStr">
        <is>
          <t>PS2638 .K7 1965</t>
        </is>
      </c>
      <c r="C315" t="inlineStr">
        <is>
          <t>0                      PS 2638000K  7           1965</t>
        </is>
      </c>
      <c r="D315" t="inlineStr">
        <is>
          <t>Edgar Allan Poe, a study in genius.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Krutch, Joseph Wood, 1893-1970.</t>
        </is>
      </c>
      <c r="L315" t="inlineStr">
        <is>
          <t>New York : Russell &amp; Russell, 1965 [c1926]</t>
        </is>
      </c>
      <c r="M315" t="inlineStr">
        <is>
          <t>1965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PS </t>
        </is>
      </c>
      <c r="S315" t="n">
        <v>2</v>
      </c>
      <c r="T315" t="n">
        <v>2</v>
      </c>
      <c r="U315" t="inlineStr">
        <is>
          <t>1993-09-02</t>
        </is>
      </c>
      <c r="V315" t="inlineStr">
        <is>
          <t>1993-09-02</t>
        </is>
      </c>
      <c r="W315" t="inlineStr">
        <is>
          <t>1990-09-14</t>
        </is>
      </c>
      <c r="X315" t="inlineStr">
        <is>
          <t>1990-09-14</t>
        </is>
      </c>
      <c r="Y315" t="n">
        <v>758</v>
      </c>
      <c r="Z315" t="n">
        <v>675</v>
      </c>
      <c r="AA315" t="n">
        <v>1055</v>
      </c>
      <c r="AB315" t="n">
        <v>6</v>
      </c>
      <c r="AC315" t="n">
        <v>11</v>
      </c>
      <c r="AD315" t="n">
        <v>25</v>
      </c>
      <c r="AE315" t="n">
        <v>44</v>
      </c>
      <c r="AF315" t="n">
        <v>11</v>
      </c>
      <c r="AG315" t="n">
        <v>17</v>
      </c>
      <c r="AH315" t="n">
        <v>3</v>
      </c>
      <c r="AI315" t="n">
        <v>7</v>
      </c>
      <c r="AJ315" t="n">
        <v>13</v>
      </c>
      <c r="AK315" t="n">
        <v>22</v>
      </c>
      <c r="AL315" t="n">
        <v>5</v>
      </c>
      <c r="AM315" t="n">
        <v>9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HYPERLINK("https://creighton-primo.hosted.exlibrisgroup.com/primo-explore/search?tab=default_tab&amp;search_scope=EVERYTHING&amp;vid=01CRU&amp;lang=en_US&amp;offset=0&amp;query=any,contains,991002164709702656","Catalog Record")</f>
        <v/>
      </c>
      <c r="AT315">
        <f>HYPERLINK("http://www.worldcat.org/oclc/274892","WorldCat Record")</f>
        <v/>
      </c>
      <c r="AU315" t="inlineStr">
        <is>
          <t>1408963:eng</t>
        </is>
      </c>
      <c r="AV315" t="inlineStr">
        <is>
          <t>274892</t>
        </is>
      </c>
      <c r="AW315" t="inlineStr">
        <is>
          <t>991002164709702656</t>
        </is>
      </c>
      <c r="AX315" t="inlineStr">
        <is>
          <t>991002164709702656</t>
        </is>
      </c>
      <c r="AY315" t="inlineStr">
        <is>
          <t>2260852320002656</t>
        </is>
      </c>
      <c r="AZ315" t="inlineStr">
        <is>
          <t>BOOK</t>
        </is>
      </c>
      <c r="BC315" t="inlineStr">
        <is>
          <t>32285000303825</t>
        </is>
      </c>
      <c r="BD315" t="inlineStr">
        <is>
          <t>893408764</t>
        </is>
      </c>
    </row>
    <row r="316">
      <c r="A316" t="inlineStr">
        <is>
          <t>No</t>
        </is>
      </c>
      <c r="B316" t="inlineStr">
        <is>
          <t>PS2638 .O5 1993</t>
        </is>
      </c>
      <c r="C316" t="inlineStr">
        <is>
          <t>0                      PS 2638000O  5           1993</t>
        </is>
      </c>
      <c r="D316" t="inlineStr">
        <is>
          <t>On Poe / edited by Louis J. Budd and Edwin H. Cady.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Durham : Duke University Press, 1993.</t>
        </is>
      </c>
      <c r="M316" t="inlineStr">
        <is>
          <t>1993</t>
        </is>
      </c>
      <c r="O316" t="inlineStr">
        <is>
          <t>eng</t>
        </is>
      </c>
      <c r="P316" t="inlineStr">
        <is>
          <t>ncu</t>
        </is>
      </c>
      <c r="Q316" t="inlineStr">
        <is>
          <t>The Best from American literature</t>
        </is>
      </c>
      <c r="R316" t="inlineStr">
        <is>
          <t xml:space="preserve">PS </t>
        </is>
      </c>
      <c r="S316" t="n">
        <v>5</v>
      </c>
      <c r="T316" t="n">
        <v>5</v>
      </c>
      <c r="U316" t="inlineStr">
        <is>
          <t>2001-10-27</t>
        </is>
      </c>
      <c r="V316" t="inlineStr">
        <is>
          <t>2001-10-27</t>
        </is>
      </c>
      <c r="W316" t="inlineStr">
        <is>
          <t>1993-08-30</t>
        </is>
      </c>
      <c r="X316" t="inlineStr">
        <is>
          <t>1993-08-30</t>
        </is>
      </c>
      <c r="Y316" t="n">
        <v>282</v>
      </c>
      <c r="Z316" t="n">
        <v>242</v>
      </c>
      <c r="AA316" t="n">
        <v>255</v>
      </c>
      <c r="AB316" t="n">
        <v>2</v>
      </c>
      <c r="AC316" t="n">
        <v>3</v>
      </c>
      <c r="AD316" t="n">
        <v>11</v>
      </c>
      <c r="AE316" t="n">
        <v>13</v>
      </c>
      <c r="AF316" t="n">
        <v>3</v>
      </c>
      <c r="AG316" t="n">
        <v>3</v>
      </c>
      <c r="AH316" t="n">
        <v>2</v>
      </c>
      <c r="AI316" t="n">
        <v>3</v>
      </c>
      <c r="AJ316" t="n">
        <v>9</v>
      </c>
      <c r="AK316" t="n">
        <v>9</v>
      </c>
      <c r="AL316" t="n">
        <v>1</v>
      </c>
      <c r="AM316" t="n">
        <v>2</v>
      </c>
      <c r="AN316" t="n">
        <v>0</v>
      </c>
      <c r="AO316" t="n">
        <v>0</v>
      </c>
      <c r="AP316" t="inlineStr">
        <is>
          <t>Yes</t>
        </is>
      </c>
      <c r="AQ316" t="inlineStr">
        <is>
          <t>No</t>
        </is>
      </c>
      <c r="AR316">
        <f>HYPERLINK("http://catalog.hathitrust.org/Record/002627803","HathiTrust Record")</f>
        <v/>
      </c>
      <c r="AS316">
        <f>HYPERLINK("https://creighton-primo.hosted.exlibrisgroup.com/primo-explore/search?tab=default_tab&amp;search_scope=EVERYTHING&amp;vid=01CRU&amp;lang=en_US&amp;offset=0&amp;query=any,contains,991002062699702656","Catalog Record")</f>
        <v/>
      </c>
      <c r="AT316">
        <f>HYPERLINK("http://www.worldcat.org/oclc/26397797","WorldCat Record")</f>
        <v/>
      </c>
      <c r="AU316" t="inlineStr">
        <is>
          <t>365434470:eng</t>
        </is>
      </c>
      <c r="AV316" t="inlineStr">
        <is>
          <t>26397797</t>
        </is>
      </c>
      <c r="AW316" t="inlineStr">
        <is>
          <t>991002062699702656</t>
        </is>
      </c>
      <c r="AX316" t="inlineStr">
        <is>
          <t>991002062699702656</t>
        </is>
      </c>
      <c r="AY316" t="inlineStr">
        <is>
          <t>2255835120002656</t>
        </is>
      </c>
      <c r="AZ316" t="inlineStr">
        <is>
          <t>BOOK</t>
        </is>
      </c>
      <c r="BB316" t="inlineStr">
        <is>
          <t>9780822313113</t>
        </is>
      </c>
      <c r="BC316" t="inlineStr">
        <is>
          <t>32285001729218</t>
        </is>
      </c>
      <c r="BD316" t="inlineStr">
        <is>
          <t>893510245</t>
        </is>
      </c>
    </row>
    <row r="317">
      <c r="A317" t="inlineStr">
        <is>
          <t>No</t>
        </is>
      </c>
      <c r="B317" t="inlineStr">
        <is>
          <t>PS2638 .P3</t>
        </is>
      </c>
      <c r="C317" t="inlineStr">
        <is>
          <t>0                      PS 2638000P  3</t>
        </is>
      </c>
      <c r="D317" t="inlineStr">
        <is>
          <t>Edgar Allan Poe as literary critic.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Parks, Edd Winfield, 1906-1968.</t>
        </is>
      </c>
      <c r="L317" t="inlineStr">
        <is>
          <t>Athens, University of Georgia Press [1964]</t>
        </is>
      </c>
      <c r="M317" t="inlineStr">
        <is>
          <t>1964</t>
        </is>
      </c>
      <c r="O317" t="inlineStr">
        <is>
          <t>eng</t>
        </is>
      </c>
      <c r="P317" t="inlineStr">
        <is>
          <t>gau</t>
        </is>
      </c>
      <c r="Q317" t="inlineStr">
        <is>
          <t>Eugenia Dorothy Blount Lamar memorial lectures ; 1964</t>
        </is>
      </c>
      <c r="R317" t="inlineStr">
        <is>
          <t xml:space="preserve">PS </t>
        </is>
      </c>
      <c r="S317" t="n">
        <v>2</v>
      </c>
      <c r="T317" t="n">
        <v>2</v>
      </c>
      <c r="U317" t="inlineStr">
        <is>
          <t>1998-03-31</t>
        </is>
      </c>
      <c r="V317" t="inlineStr">
        <is>
          <t>1998-03-31</t>
        </is>
      </c>
      <c r="W317" t="inlineStr">
        <is>
          <t>1997-05-21</t>
        </is>
      </c>
      <c r="X317" t="inlineStr">
        <is>
          <t>1997-05-21</t>
        </is>
      </c>
      <c r="Y317" t="n">
        <v>755</v>
      </c>
      <c r="Z317" t="n">
        <v>691</v>
      </c>
      <c r="AA317" t="n">
        <v>693</v>
      </c>
      <c r="AB317" t="n">
        <v>7</v>
      </c>
      <c r="AC317" t="n">
        <v>7</v>
      </c>
      <c r="AD317" t="n">
        <v>37</v>
      </c>
      <c r="AE317" t="n">
        <v>37</v>
      </c>
      <c r="AF317" t="n">
        <v>16</v>
      </c>
      <c r="AG317" t="n">
        <v>16</v>
      </c>
      <c r="AH317" t="n">
        <v>8</v>
      </c>
      <c r="AI317" t="n">
        <v>8</v>
      </c>
      <c r="AJ317" t="n">
        <v>16</v>
      </c>
      <c r="AK317" t="n">
        <v>16</v>
      </c>
      <c r="AL317" t="n">
        <v>6</v>
      </c>
      <c r="AM317" t="n">
        <v>6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HYPERLINK("https://creighton-primo.hosted.exlibrisgroup.com/primo-explore/search?tab=default_tab&amp;search_scope=EVERYTHING&amp;vid=01CRU&amp;lang=en_US&amp;offset=0&amp;query=any,contains,991002170319702656","Catalog Record")</f>
        <v/>
      </c>
      <c r="AT317">
        <f>HYPERLINK("http://www.worldcat.org/oclc/276624","WorldCat Record")</f>
        <v/>
      </c>
      <c r="AU317" t="inlineStr">
        <is>
          <t>1413464:eng</t>
        </is>
      </c>
      <c r="AV317" t="inlineStr">
        <is>
          <t>276624</t>
        </is>
      </c>
      <c r="AW317" t="inlineStr">
        <is>
          <t>991002170319702656</t>
        </is>
      </c>
      <c r="AX317" t="inlineStr">
        <is>
          <t>991002170319702656</t>
        </is>
      </c>
      <c r="AY317" t="inlineStr">
        <is>
          <t>2259871590002656</t>
        </is>
      </c>
      <c r="AZ317" t="inlineStr">
        <is>
          <t>BOOK</t>
        </is>
      </c>
      <c r="BC317" t="inlineStr">
        <is>
          <t>32285002714771</t>
        </is>
      </c>
      <c r="BD317" t="inlineStr">
        <is>
          <t>893804305</t>
        </is>
      </c>
    </row>
    <row r="318">
      <c r="A318" t="inlineStr">
        <is>
          <t>No</t>
        </is>
      </c>
      <c r="B318" t="inlineStr">
        <is>
          <t>PS2638 .P47 1979</t>
        </is>
      </c>
      <c r="C318" t="inlineStr">
        <is>
          <t>0                      PS 2638000P  47          1979</t>
        </is>
      </c>
      <c r="D318" t="inlineStr">
        <is>
          <t>Edgar Allan Poe, an American imagination : three essays / Elizabeth Phillips.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Phillips, Elizabeth, 1919-</t>
        </is>
      </c>
      <c r="L318" t="inlineStr">
        <is>
          <t>Millwood, NY : Associated Faculty Press, Inc. ; Port Washington, N.Y. : Kennikat Press, c1979, 1986 printing.</t>
        </is>
      </c>
      <c r="M318" t="inlineStr">
        <is>
          <t>1979</t>
        </is>
      </c>
      <c r="O318" t="inlineStr">
        <is>
          <t>eng</t>
        </is>
      </c>
      <c r="P318" t="inlineStr">
        <is>
          <t>nyu</t>
        </is>
      </c>
      <c r="Q318" t="inlineStr">
        <is>
          <t>Literary criticism series</t>
        </is>
      </c>
      <c r="R318" t="inlineStr">
        <is>
          <t xml:space="preserve">PS </t>
        </is>
      </c>
      <c r="S318" t="n">
        <v>5</v>
      </c>
      <c r="T318" t="n">
        <v>5</v>
      </c>
      <c r="U318" t="inlineStr">
        <is>
          <t>2005-04-07</t>
        </is>
      </c>
      <c r="V318" t="inlineStr">
        <is>
          <t>2005-04-07</t>
        </is>
      </c>
      <c r="W318" t="inlineStr">
        <is>
          <t>1991-01-08</t>
        </is>
      </c>
      <c r="X318" t="inlineStr">
        <is>
          <t>1991-01-08</t>
        </is>
      </c>
      <c r="Y318" t="n">
        <v>508</v>
      </c>
      <c r="Z318" t="n">
        <v>435</v>
      </c>
      <c r="AA318" t="n">
        <v>462</v>
      </c>
      <c r="AB318" t="n">
        <v>4</v>
      </c>
      <c r="AC318" t="n">
        <v>4</v>
      </c>
      <c r="AD318" t="n">
        <v>16</v>
      </c>
      <c r="AE318" t="n">
        <v>16</v>
      </c>
      <c r="AF318" t="n">
        <v>3</v>
      </c>
      <c r="AG318" t="n">
        <v>3</v>
      </c>
      <c r="AH318" t="n">
        <v>5</v>
      </c>
      <c r="AI318" t="n">
        <v>5</v>
      </c>
      <c r="AJ318" t="n">
        <v>9</v>
      </c>
      <c r="AK318" t="n">
        <v>9</v>
      </c>
      <c r="AL318" t="n">
        <v>3</v>
      </c>
      <c r="AM318" t="n">
        <v>3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HYPERLINK("http://catalog.hathitrust.org/Record/000085229","HathiTrust Record")</f>
        <v/>
      </c>
      <c r="AS318">
        <f>HYPERLINK("https://creighton-primo.hosted.exlibrisgroup.com/primo-explore/search?tab=default_tab&amp;search_scope=EVERYTHING&amp;vid=01CRU&amp;lang=en_US&amp;offset=0&amp;query=any,contains,991004716359702656","Catalog Record")</f>
        <v/>
      </c>
      <c r="AT318">
        <f>HYPERLINK("http://www.worldcat.org/oclc/4776337","WorldCat Record")</f>
        <v/>
      </c>
      <c r="AU318" t="inlineStr">
        <is>
          <t>2260830375:eng</t>
        </is>
      </c>
      <c r="AV318" t="inlineStr">
        <is>
          <t>4776337</t>
        </is>
      </c>
      <c r="AW318" t="inlineStr">
        <is>
          <t>991004716359702656</t>
        </is>
      </c>
      <c r="AX318" t="inlineStr">
        <is>
          <t>991004716359702656</t>
        </is>
      </c>
      <c r="AY318" t="inlineStr">
        <is>
          <t>2256557390002656</t>
        </is>
      </c>
      <c r="AZ318" t="inlineStr">
        <is>
          <t>BOOK</t>
        </is>
      </c>
      <c r="BB318" t="inlineStr">
        <is>
          <t>9780804692168</t>
        </is>
      </c>
      <c r="BC318" t="inlineStr">
        <is>
          <t>32285000454784</t>
        </is>
      </c>
      <c r="BD318" t="inlineStr">
        <is>
          <t>893901670</t>
        </is>
      </c>
    </row>
    <row r="319">
      <c r="A319" t="inlineStr">
        <is>
          <t>No</t>
        </is>
      </c>
      <c r="B319" t="inlineStr">
        <is>
          <t>PS2645 .B6</t>
        </is>
      </c>
      <c r="C319" t="inlineStr">
        <is>
          <t>0                      PS 2645000B  6</t>
        </is>
      </c>
      <c r="D319" t="inlineStr">
        <is>
          <t>A concordance of the poetical works of Edgar Allan Poe / by Bradford A. Booth and Claude E. Jones.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Booth, Bradford Allen, 1909-</t>
        </is>
      </c>
      <c r="L319" t="inlineStr">
        <is>
          <t>Gloucester, Mass. : P. Smith, 1967 [c1941]</t>
        </is>
      </c>
      <c r="M319" t="inlineStr">
        <is>
          <t>1967</t>
        </is>
      </c>
      <c r="O319" t="inlineStr">
        <is>
          <t>eng</t>
        </is>
      </c>
      <c r="P319" t="inlineStr">
        <is>
          <t>mau</t>
        </is>
      </c>
      <c r="R319" t="inlineStr">
        <is>
          <t xml:space="preserve">PS </t>
        </is>
      </c>
      <c r="S319" t="n">
        <v>3</v>
      </c>
      <c r="T319" t="n">
        <v>3</v>
      </c>
      <c r="U319" t="inlineStr">
        <is>
          <t>1999-04-07</t>
        </is>
      </c>
      <c r="V319" t="inlineStr">
        <is>
          <t>1999-04-07</t>
        </is>
      </c>
      <c r="W319" t="inlineStr">
        <is>
          <t>1990-09-14</t>
        </is>
      </c>
      <c r="X319" t="inlineStr">
        <is>
          <t>1990-09-14</t>
        </is>
      </c>
      <c r="Y319" t="n">
        <v>339</v>
      </c>
      <c r="Z319" t="n">
        <v>306</v>
      </c>
      <c r="AA319" t="n">
        <v>545</v>
      </c>
      <c r="AB319" t="n">
        <v>3</v>
      </c>
      <c r="AC319" t="n">
        <v>5</v>
      </c>
      <c r="AD319" t="n">
        <v>13</v>
      </c>
      <c r="AE319" t="n">
        <v>30</v>
      </c>
      <c r="AF319" t="n">
        <v>6</v>
      </c>
      <c r="AG319" t="n">
        <v>10</v>
      </c>
      <c r="AH319" t="n">
        <v>1</v>
      </c>
      <c r="AI319" t="n">
        <v>7</v>
      </c>
      <c r="AJ319" t="n">
        <v>7</v>
      </c>
      <c r="AK319" t="n">
        <v>17</v>
      </c>
      <c r="AL319" t="n">
        <v>2</v>
      </c>
      <c r="AM319" t="n">
        <v>4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HYPERLINK("https://creighton-primo.hosted.exlibrisgroup.com/primo-explore/search?tab=default_tab&amp;search_scope=EVERYTHING&amp;vid=01CRU&amp;lang=en_US&amp;offset=0&amp;query=any,contains,991003559329702656","Catalog Record")</f>
        <v/>
      </c>
      <c r="AT319">
        <f>HYPERLINK("http://www.worldcat.org/oclc/1129518","WorldCat Record")</f>
        <v/>
      </c>
      <c r="AU319" t="inlineStr">
        <is>
          <t>1915616:eng</t>
        </is>
      </c>
      <c r="AV319" t="inlineStr">
        <is>
          <t>1129518</t>
        </is>
      </c>
      <c r="AW319" t="inlineStr">
        <is>
          <t>991003559329702656</t>
        </is>
      </c>
      <c r="AX319" t="inlineStr">
        <is>
          <t>991003559329702656</t>
        </is>
      </c>
      <c r="AY319" t="inlineStr">
        <is>
          <t>2272395660002656</t>
        </is>
      </c>
      <c r="AZ319" t="inlineStr">
        <is>
          <t>BOOK</t>
        </is>
      </c>
      <c r="BC319" t="inlineStr">
        <is>
          <t>32285000303817</t>
        </is>
      </c>
      <c r="BD319" t="inlineStr">
        <is>
          <t>893717790</t>
        </is>
      </c>
    </row>
    <row r="320">
      <c r="A320" t="inlineStr">
        <is>
          <t>No</t>
        </is>
      </c>
      <c r="B320" t="inlineStr">
        <is>
          <t>PS2649.P5 Z8</t>
        </is>
      </c>
      <c r="C320" t="inlineStr">
        <is>
          <t>0                      PS 2649000P  5                  Z  8</t>
        </is>
      </c>
      <c r="D320" t="inlineStr">
        <is>
          <t>O. Henry biography, by C. Alphonso Smith ...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Smith, C. Alphonso (Charles Alphonso), 1864-1924.</t>
        </is>
      </c>
      <c r="L320" t="inlineStr">
        <is>
          <t>Garden City, N.Y., Doubleday, Page &amp; Company, 1916.</t>
        </is>
      </c>
      <c r="M320" t="inlineStr">
        <is>
          <t>1916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PS </t>
        </is>
      </c>
      <c r="S320" t="n">
        <v>2</v>
      </c>
      <c r="T320" t="n">
        <v>2</v>
      </c>
      <c r="U320" t="inlineStr">
        <is>
          <t>2004-09-16</t>
        </is>
      </c>
      <c r="V320" t="inlineStr">
        <is>
          <t>2004-09-16</t>
        </is>
      </c>
      <c r="W320" t="inlineStr">
        <is>
          <t>1997-05-21</t>
        </is>
      </c>
      <c r="X320" t="inlineStr">
        <is>
          <t>1997-05-21</t>
        </is>
      </c>
      <c r="Y320" t="n">
        <v>625</v>
      </c>
      <c r="Z320" t="n">
        <v>588</v>
      </c>
      <c r="AA320" t="n">
        <v>679</v>
      </c>
      <c r="AB320" t="n">
        <v>7</v>
      </c>
      <c r="AC320" t="n">
        <v>7</v>
      </c>
      <c r="AD320" t="n">
        <v>30</v>
      </c>
      <c r="AE320" t="n">
        <v>31</v>
      </c>
      <c r="AF320" t="n">
        <v>10</v>
      </c>
      <c r="AG320" t="n">
        <v>10</v>
      </c>
      <c r="AH320" t="n">
        <v>6</v>
      </c>
      <c r="AI320" t="n">
        <v>7</v>
      </c>
      <c r="AJ320" t="n">
        <v>19</v>
      </c>
      <c r="AK320" t="n">
        <v>19</v>
      </c>
      <c r="AL320" t="n">
        <v>3</v>
      </c>
      <c r="AM320" t="n">
        <v>3</v>
      </c>
      <c r="AN320" t="n">
        <v>0</v>
      </c>
      <c r="AO320" t="n">
        <v>0</v>
      </c>
      <c r="AP320" t="inlineStr">
        <is>
          <t>Yes</t>
        </is>
      </c>
      <c r="AQ320" t="inlineStr">
        <is>
          <t>No</t>
        </is>
      </c>
      <c r="AR320">
        <f>HYPERLINK("http://catalog.hathitrust.org/Record/001376756","HathiTrust Record")</f>
        <v/>
      </c>
      <c r="AS320">
        <f>HYPERLINK("https://creighton-primo.hosted.exlibrisgroup.com/primo-explore/search?tab=default_tab&amp;search_scope=EVERYTHING&amp;vid=01CRU&amp;lang=en_US&amp;offset=0&amp;query=any,contains,991002192019702656","Catalog Record")</f>
        <v/>
      </c>
      <c r="AT320">
        <f>HYPERLINK("http://www.worldcat.org/oclc/281055","WorldCat Record")</f>
        <v/>
      </c>
      <c r="AU320" t="inlineStr">
        <is>
          <t>536339:eng</t>
        </is>
      </c>
      <c r="AV320" t="inlineStr">
        <is>
          <t>281055</t>
        </is>
      </c>
      <c r="AW320" t="inlineStr">
        <is>
          <t>991002192019702656</t>
        </is>
      </c>
      <c r="AX320" t="inlineStr">
        <is>
          <t>991002192019702656</t>
        </is>
      </c>
      <c r="AY320" t="inlineStr">
        <is>
          <t>2264636250002656</t>
        </is>
      </c>
      <c r="AZ320" t="inlineStr">
        <is>
          <t>BOOK</t>
        </is>
      </c>
      <c r="BC320" t="inlineStr">
        <is>
          <t>32285002714920</t>
        </is>
      </c>
      <c r="BD320" t="inlineStr">
        <is>
          <t>893721325</t>
        </is>
      </c>
    </row>
    <row r="321">
      <c r="A321" t="inlineStr">
        <is>
          <t>No</t>
        </is>
      </c>
      <c r="B321" t="inlineStr">
        <is>
          <t>PS2657 .T5</t>
        </is>
      </c>
      <c r="C321" t="inlineStr">
        <is>
          <t>0                      PS 2657000T  5</t>
        </is>
      </c>
      <c r="D321" t="inlineStr">
        <is>
          <t>Life of William Hickling Prescott / by George Ticknor.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Ticknor, George, 1791-1871.</t>
        </is>
      </c>
      <c r="L321" t="inlineStr">
        <is>
          <t>Philadelphia : Lippincott, 1863.</t>
        </is>
      </c>
      <c r="M321" t="inlineStr">
        <is>
          <t>1863</t>
        </is>
      </c>
      <c r="O321" t="inlineStr">
        <is>
          <t>eng</t>
        </is>
      </c>
      <c r="P321" t="inlineStr">
        <is>
          <t>pau</t>
        </is>
      </c>
      <c r="R321" t="inlineStr">
        <is>
          <t xml:space="preserve">PS </t>
        </is>
      </c>
      <c r="S321" t="n">
        <v>1</v>
      </c>
      <c r="T321" t="n">
        <v>1</v>
      </c>
      <c r="U321" t="inlineStr">
        <is>
          <t>2005-09-24</t>
        </is>
      </c>
      <c r="V321" t="inlineStr">
        <is>
          <t>2005-09-24</t>
        </is>
      </c>
      <c r="W321" t="inlineStr">
        <is>
          <t>1997-05-21</t>
        </is>
      </c>
      <c r="X321" t="inlineStr">
        <is>
          <t>1997-05-21</t>
        </is>
      </c>
      <c r="Y321" t="n">
        <v>88</v>
      </c>
      <c r="Z321" t="n">
        <v>82</v>
      </c>
      <c r="AA321" t="n">
        <v>644</v>
      </c>
      <c r="AB321" t="n">
        <v>3</v>
      </c>
      <c r="AC321" t="n">
        <v>5</v>
      </c>
      <c r="AD321" t="n">
        <v>6</v>
      </c>
      <c r="AE321" t="n">
        <v>30</v>
      </c>
      <c r="AF321" t="n">
        <v>3</v>
      </c>
      <c r="AG321" t="n">
        <v>11</v>
      </c>
      <c r="AH321" t="n">
        <v>1</v>
      </c>
      <c r="AI321" t="n">
        <v>7</v>
      </c>
      <c r="AJ321" t="n">
        <v>1</v>
      </c>
      <c r="AK321" t="n">
        <v>15</v>
      </c>
      <c r="AL321" t="n">
        <v>2</v>
      </c>
      <c r="AM321" t="n">
        <v>4</v>
      </c>
      <c r="AN321" t="n">
        <v>0</v>
      </c>
      <c r="AO321" t="n">
        <v>0</v>
      </c>
      <c r="AP321" t="inlineStr">
        <is>
          <t>Yes</t>
        </is>
      </c>
      <c r="AQ321" t="inlineStr">
        <is>
          <t>No</t>
        </is>
      </c>
      <c r="AR321">
        <f>HYPERLINK("http://catalog.hathitrust.org/Record/008639983","HathiTrust Record")</f>
        <v/>
      </c>
      <c r="AS321">
        <f>HYPERLINK("https://creighton-primo.hosted.exlibrisgroup.com/primo-explore/search?tab=default_tab&amp;search_scope=EVERYTHING&amp;vid=01CRU&amp;lang=en_US&amp;offset=0&amp;query=any,contains,991004261329702656","Catalog Record")</f>
        <v/>
      </c>
      <c r="AT321">
        <f>HYPERLINK("http://www.worldcat.org/oclc/2845437","WorldCat Record")</f>
        <v/>
      </c>
      <c r="AU321" t="inlineStr">
        <is>
          <t>1485814:eng</t>
        </is>
      </c>
      <c r="AV321" t="inlineStr">
        <is>
          <t>2845437</t>
        </is>
      </c>
      <c r="AW321" t="inlineStr">
        <is>
          <t>991004261329702656</t>
        </is>
      </c>
      <c r="AX321" t="inlineStr">
        <is>
          <t>991004261329702656</t>
        </is>
      </c>
      <c r="AY321" t="inlineStr">
        <is>
          <t>2263103030002656</t>
        </is>
      </c>
      <c r="AZ321" t="inlineStr">
        <is>
          <t>BOOK</t>
        </is>
      </c>
      <c r="BC321" t="inlineStr">
        <is>
          <t>32285002714961</t>
        </is>
      </c>
      <c r="BD321" t="inlineStr">
        <is>
          <t>893506640</t>
        </is>
      </c>
    </row>
    <row r="322">
      <c r="A322" t="inlineStr">
        <is>
          <t>No</t>
        </is>
      </c>
      <c r="B322" t="inlineStr">
        <is>
          <t>PS267 .D3 1916</t>
        </is>
      </c>
      <c r="C322" t="inlineStr">
        <is>
          <t>0                      PS 0267000D  3           1916</t>
        </is>
      </c>
      <c r="D322" t="inlineStr">
        <is>
          <t>Dante, and collected verse, by George Lansing Raymond.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Raymond, George Lansing, 1839-1929.</t>
        </is>
      </c>
      <c r="L322" t="inlineStr">
        <is>
          <t>New York and London, G.P. Putnam's sons [c1916]</t>
        </is>
      </c>
      <c r="M322" t="inlineStr">
        <is>
          <t>1916</t>
        </is>
      </c>
      <c r="N322" t="inlineStr">
        <is>
          <t>2d ed., rev.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PS </t>
        </is>
      </c>
      <c r="S322" t="n">
        <v>2</v>
      </c>
      <c r="T322" t="n">
        <v>2</v>
      </c>
      <c r="U322" t="inlineStr">
        <is>
          <t>2004-09-14</t>
        </is>
      </c>
      <c r="V322" t="inlineStr">
        <is>
          <t>2004-09-14</t>
        </is>
      </c>
      <c r="W322" t="inlineStr">
        <is>
          <t>1997-05-02</t>
        </is>
      </c>
      <c r="X322" t="inlineStr">
        <is>
          <t>1997-05-02</t>
        </is>
      </c>
      <c r="Y322" t="n">
        <v>257</v>
      </c>
      <c r="Z322" t="n">
        <v>214</v>
      </c>
      <c r="AA322" t="n">
        <v>434</v>
      </c>
      <c r="AB322" t="n">
        <v>4</v>
      </c>
      <c r="AC322" t="n">
        <v>6</v>
      </c>
      <c r="AD322" t="n">
        <v>14</v>
      </c>
      <c r="AE322" t="n">
        <v>22</v>
      </c>
      <c r="AF322" t="n">
        <v>5</v>
      </c>
      <c r="AG322" t="n">
        <v>6</v>
      </c>
      <c r="AH322" t="n">
        <v>1</v>
      </c>
      <c r="AI322" t="n">
        <v>4</v>
      </c>
      <c r="AJ322" t="n">
        <v>8</v>
      </c>
      <c r="AK322" t="n">
        <v>12</v>
      </c>
      <c r="AL322" t="n">
        <v>2</v>
      </c>
      <c r="AM322" t="n">
        <v>4</v>
      </c>
      <c r="AN322" t="n">
        <v>0</v>
      </c>
      <c r="AO322" t="n">
        <v>0</v>
      </c>
      <c r="AP322" t="inlineStr">
        <is>
          <t>Yes</t>
        </is>
      </c>
      <c r="AQ322" t="inlineStr">
        <is>
          <t>No</t>
        </is>
      </c>
      <c r="AR322">
        <f>HYPERLINK("http://catalog.hathitrust.org/Record/009410256","HathiTrust Record")</f>
        <v/>
      </c>
      <c r="AS322">
        <f>HYPERLINK("https://creighton-primo.hosted.exlibrisgroup.com/primo-explore/search?tab=default_tab&amp;search_scope=EVERYTHING&amp;vid=01CRU&amp;lang=en_US&amp;offset=0&amp;query=any,contains,991002224939702656","Catalog Record")</f>
        <v/>
      </c>
      <c r="AT322">
        <f>HYPERLINK("http://www.worldcat.org/oclc/291256","WorldCat Record")</f>
        <v/>
      </c>
      <c r="AU322" t="inlineStr">
        <is>
          <t>1413599:eng</t>
        </is>
      </c>
      <c r="AV322" t="inlineStr">
        <is>
          <t>291256</t>
        </is>
      </c>
      <c r="AW322" t="inlineStr">
        <is>
          <t>991002224939702656</t>
        </is>
      </c>
      <c r="AX322" t="inlineStr">
        <is>
          <t>991002224939702656</t>
        </is>
      </c>
      <c r="AY322" t="inlineStr">
        <is>
          <t>2268072880002656</t>
        </is>
      </c>
      <c r="AZ322" t="inlineStr">
        <is>
          <t>BOOK</t>
        </is>
      </c>
      <c r="BC322" t="inlineStr">
        <is>
          <t>32285002636149</t>
        </is>
      </c>
      <c r="BD322" t="inlineStr">
        <is>
          <t>893710025</t>
        </is>
      </c>
    </row>
    <row r="323">
      <c r="A323" t="inlineStr">
        <is>
          <t>No</t>
        </is>
      </c>
      <c r="B323" t="inlineStr">
        <is>
          <t>PS2696 .H3</t>
        </is>
      </c>
      <c r="C323" t="inlineStr">
        <is>
          <t>0                      PS 2696000H  3</t>
        </is>
      </c>
      <c r="D323" t="inlineStr">
        <is>
          <t>A happy half-century, and other essays, by Agnes Repplier, LITT. D.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Repplier, Agnes, 1855-1950.</t>
        </is>
      </c>
      <c r="L323" t="inlineStr">
        <is>
          <t>Boston, New York, Houghton Mifflin company, 1908.</t>
        </is>
      </c>
      <c r="M323" t="inlineStr">
        <is>
          <t>1908</t>
        </is>
      </c>
      <c r="O323" t="inlineStr">
        <is>
          <t>eng</t>
        </is>
      </c>
      <c r="P323" t="inlineStr">
        <is>
          <t>mau</t>
        </is>
      </c>
      <c r="R323" t="inlineStr">
        <is>
          <t xml:space="preserve">PS </t>
        </is>
      </c>
      <c r="S323" t="n">
        <v>2</v>
      </c>
      <c r="T323" t="n">
        <v>2</v>
      </c>
      <c r="U323" t="inlineStr">
        <is>
          <t>2004-04-01</t>
        </is>
      </c>
      <c r="V323" t="inlineStr">
        <is>
          <t>2004-04-01</t>
        </is>
      </c>
      <c r="W323" t="inlineStr">
        <is>
          <t>1997-05-21</t>
        </is>
      </c>
      <c r="X323" t="inlineStr">
        <is>
          <t>1997-05-21</t>
        </is>
      </c>
      <c r="Y323" t="n">
        <v>428</v>
      </c>
      <c r="Z323" t="n">
        <v>404</v>
      </c>
      <c r="AA323" t="n">
        <v>446</v>
      </c>
      <c r="AB323" t="n">
        <v>1</v>
      </c>
      <c r="AC323" t="n">
        <v>3</v>
      </c>
      <c r="AD323" t="n">
        <v>24</v>
      </c>
      <c r="AE323" t="n">
        <v>28</v>
      </c>
      <c r="AF323" t="n">
        <v>6</v>
      </c>
      <c r="AG323" t="n">
        <v>8</v>
      </c>
      <c r="AH323" t="n">
        <v>8</v>
      </c>
      <c r="AI323" t="n">
        <v>8</v>
      </c>
      <c r="AJ323" t="n">
        <v>16</v>
      </c>
      <c r="AK323" t="n">
        <v>17</v>
      </c>
      <c r="AL323" t="n">
        <v>0</v>
      </c>
      <c r="AM323" t="n">
        <v>2</v>
      </c>
      <c r="AN323" t="n">
        <v>0</v>
      </c>
      <c r="AO323" t="n">
        <v>0</v>
      </c>
      <c r="AP323" t="inlineStr">
        <is>
          <t>Yes</t>
        </is>
      </c>
      <c r="AQ323" t="inlineStr">
        <is>
          <t>No</t>
        </is>
      </c>
      <c r="AR323">
        <f>HYPERLINK("http://catalog.hathitrust.org/Record/001377211","HathiTrust Record")</f>
        <v/>
      </c>
      <c r="AS323">
        <f>HYPERLINK("https://creighton-primo.hosted.exlibrisgroup.com/primo-explore/search?tab=default_tab&amp;search_scope=EVERYTHING&amp;vid=01CRU&amp;lang=en_US&amp;offset=0&amp;query=any,contains,991003827969702656","Catalog Record")</f>
        <v/>
      </c>
      <c r="AT323">
        <f>HYPERLINK("http://www.worldcat.org/oclc/47183470","WorldCat Record")</f>
        <v/>
      </c>
      <c r="AU323" t="inlineStr">
        <is>
          <t>36532449:eng</t>
        </is>
      </c>
      <c r="AV323" t="inlineStr">
        <is>
          <t>47183470</t>
        </is>
      </c>
      <c r="AW323" t="inlineStr">
        <is>
          <t>991003827969702656</t>
        </is>
      </c>
      <c r="AX323" t="inlineStr">
        <is>
          <t>991003827969702656</t>
        </is>
      </c>
      <c r="AY323" t="inlineStr">
        <is>
          <t>2270607960002656</t>
        </is>
      </c>
      <c r="AZ323" t="inlineStr">
        <is>
          <t>BOOK</t>
        </is>
      </c>
      <c r="BC323" t="inlineStr">
        <is>
          <t>32285002715125</t>
        </is>
      </c>
      <c r="BD323" t="inlineStr">
        <is>
          <t>893611497</t>
        </is>
      </c>
    </row>
    <row r="324">
      <c r="A324" t="inlineStr">
        <is>
          <t>No</t>
        </is>
      </c>
      <c r="B324" t="inlineStr">
        <is>
          <t>PS271 .M45 1985</t>
        </is>
      </c>
      <c r="C324" t="inlineStr">
        <is>
          <t>0                      PS 0271000M  45          1985</t>
        </is>
      </c>
      <c r="D324" t="inlineStr">
        <is>
          <t>Under the sun : myth and realism in western American literature / by Barbara Howard Meldrum.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Meldrum, Barbara Howard.</t>
        </is>
      </c>
      <c r="L324" t="inlineStr">
        <is>
          <t>Troy, N.Y. : Whitston Pub. Co., 1985.</t>
        </is>
      </c>
      <c r="M324" t="inlineStr">
        <is>
          <t>1985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PS </t>
        </is>
      </c>
      <c r="S324" t="n">
        <v>2</v>
      </c>
      <c r="T324" t="n">
        <v>2</v>
      </c>
      <c r="U324" t="inlineStr">
        <is>
          <t>2001-02-12</t>
        </is>
      </c>
      <c r="V324" t="inlineStr">
        <is>
          <t>2001-02-12</t>
        </is>
      </c>
      <c r="W324" t="inlineStr">
        <is>
          <t>1992-04-27</t>
        </is>
      </c>
      <c r="X324" t="inlineStr">
        <is>
          <t>1992-04-27</t>
        </is>
      </c>
      <c r="Y324" t="n">
        <v>352</v>
      </c>
      <c r="Z324" t="n">
        <v>313</v>
      </c>
      <c r="AA324" t="n">
        <v>400</v>
      </c>
      <c r="AB324" t="n">
        <v>8</v>
      </c>
      <c r="AC324" t="n">
        <v>8</v>
      </c>
      <c r="AD324" t="n">
        <v>24</v>
      </c>
      <c r="AE324" t="n">
        <v>30</v>
      </c>
      <c r="AF324" t="n">
        <v>9</v>
      </c>
      <c r="AG324" t="n">
        <v>14</v>
      </c>
      <c r="AH324" t="n">
        <v>5</v>
      </c>
      <c r="AI324" t="n">
        <v>6</v>
      </c>
      <c r="AJ324" t="n">
        <v>10</v>
      </c>
      <c r="AK324" t="n">
        <v>11</v>
      </c>
      <c r="AL324" t="n">
        <v>7</v>
      </c>
      <c r="AM324" t="n">
        <v>7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HYPERLINK("http://catalog.hathitrust.org/Record/000439186","HathiTrust Record")</f>
        <v/>
      </c>
      <c r="AS324">
        <f>HYPERLINK("https://creighton-primo.hosted.exlibrisgroup.com/primo-explore/search?tab=default_tab&amp;search_scope=EVERYTHING&amp;vid=01CRU&amp;lang=en_US&amp;offset=0&amp;query=any,contains,991000819099702656","Catalog Record")</f>
        <v/>
      </c>
      <c r="AT324">
        <f>HYPERLINK("http://www.worldcat.org/oclc/13370293","WorldCat Record")</f>
        <v/>
      </c>
      <c r="AU324" t="inlineStr">
        <is>
          <t>435661297:eng</t>
        </is>
      </c>
      <c r="AV324" t="inlineStr">
        <is>
          <t>13370293</t>
        </is>
      </c>
      <c r="AW324" t="inlineStr">
        <is>
          <t>991000819099702656</t>
        </is>
      </c>
      <c r="AX324" t="inlineStr">
        <is>
          <t>991000819099702656</t>
        </is>
      </c>
      <c r="AY324" t="inlineStr">
        <is>
          <t>2266578000002656</t>
        </is>
      </c>
      <c r="AZ324" t="inlineStr">
        <is>
          <t>BOOK</t>
        </is>
      </c>
      <c r="BB324" t="inlineStr">
        <is>
          <t>9780878753031</t>
        </is>
      </c>
      <c r="BC324" t="inlineStr">
        <is>
          <t>32285001072197</t>
        </is>
      </c>
      <c r="BD324" t="inlineStr">
        <is>
          <t>893683782</t>
        </is>
      </c>
    </row>
    <row r="325">
      <c r="A325" t="inlineStr">
        <is>
          <t>No</t>
        </is>
      </c>
      <c r="B325" t="inlineStr">
        <is>
          <t>PS2713 .C7</t>
        </is>
      </c>
      <c r="C325" t="inlineStr">
        <is>
          <t>0                      PS 2713000C  7</t>
        </is>
      </c>
      <c r="D325" t="inlineStr">
        <is>
          <t>George Ripley, transcendentalist and utopian socialist, by Charles Crowe.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Crowe, Charles Robert, 1928-</t>
        </is>
      </c>
      <c r="L325" t="inlineStr">
        <is>
          <t>Athens, University of Georgia Press [1967]</t>
        </is>
      </c>
      <c r="M325" t="inlineStr">
        <is>
          <t>1967</t>
        </is>
      </c>
      <c r="O325" t="inlineStr">
        <is>
          <t>eng</t>
        </is>
      </c>
      <c r="P325" t="inlineStr">
        <is>
          <t>gau</t>
        </is>
      </c>
      <c r="R325" t="inlineStr">
        <is>
          <t xml:space="preserve">PS </t>
        </is>
      </c>
      <c r="S325" t="n">
        <v>1</v>
      </c>
      <c r="T325" t="n">
        <v>1</v>
      </c>
      <c r="U325" t="inlineStr">
        <is>
          <t>2002-09-04</t>
        </is>
      </c>
      <c r="V325" t="inlineStr">
        <is>
          <t>2002-09-04</t>
        </is>
      </c>
      <c r="W325" t="inlineStr">
        <is>
          <t>1997-05-21</t>
        </is>
      </c>
      <c r="X325" t="inlineStr">
        <is>
          <t>1997-05-21</t>
        </is>
      </c>
      <c r="Y325" t="n">
        <v>641</v>
      </c>
      <c r="Z325" t="n">
        <v>589</v>
      </c>
      <c r="AA325" t="n">
        <v>590</v>
      </c>
      <c r="AB325" t="n">
        <v>6</v>
      </c>
      <c r="AC325" t="n">
        <v>6</v>
      </c>
      <c r="AD325" t="n">
        <v>33</v>
      </c>
      <c r="AE325" t="n">
        <v>33</v>
      </c>
      <c r="AF325" t="n">
        <v>11</v>
      </c>
      <c r="AG325" t="n">
        <v>11</v>
      </c>
      <c r="AH325" t="n">
        <v>8</v>
      </c>
      <c r="AI325" t="n">
        <v>8</v>
      </c>
      <c r="AJ325" t="n">
        <v>16</v>
      </c>
      <c r="AK325" t="n">
        <v>16</v>
      </c>
      <c r="AL325" t="n">
        <v>5</v>
      </c>
      <c r="AM325" t="n">
        <v>5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HYPERLINK("https://creighton-primo.hosted.exlibrisgroup.com/primo-explore/search?tab=default_tab&amp;search_scope=EVERYTHING&amp;vid=01CRU&amp;lang=en_US&amp;offset=0&amp;query=any,contains,991002164989702656","Catalog Record")</f>
        <v/>
      </c>
      <c r="AT325">
        <f>HYPERLINK("http://www.worldcat.org/oclc/274919","WorldCat Record")</f>
        <v/>
      </c>
      <c r="AU325" t="inlineStr">
        <is>
          <t>1409010:eng</t>
        </is>
      </c>
      <c r="AV325" t="inlineStr">
        <is>
          <t>274919</t>
        </is>
      </c>
      <c r="AW325" t="inlineStr">
        <is>
          <t>991002164989702656</t>
        </is>
      </c>
      <c r="AX325" t="inlineStr">
        <is>
          <t>991002164989702656</t>
        </is>
      </c>
      <c r="AY325" t="inlineStr">
        <is>
          <t>2263862950002656</t>
        </is>
      </c>
      <c r="AZ325" t="inlineStr">
        <is>
          <t>BOOK</t>
        </is>
      </c>
      <c r="BC325" t="inlineStr">
        <is>
          <t>32285002715562</t>
        </is>
      </c>
      <c r="BD325" t="inlineStr">
        <is>
          <t>893779485</t>
        </is>
      </c>
    </row>
    <row r="326">
      <c r="A326" t="inlineStr">
        <is>
          <t>No</t>
        </is>
      </c>
      <c r="B326" t="inlineStr">
        <is>
          <t>PS2736 .R317 1970</t>
        </is>
      </c>
      <c r="C326" t="inlineStr">
        <is>
          <t>0                      PS 2736000R  317         1970</t>
        </is>
      </c>
      <c r="D326" t="inlineStr">
        <is>
          <t>The feud of Oakfield Creek.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Royce, Josiah, 1855-1916.</t>
        </is>
      </c>
      <c r="L326" t="inlineStr">
        <is>
          <t>Upper Saddle River, N.J., Literature House [1970, c1887]</t>
        </is>
      </c>
      <c r="M326" t="inlineStr">
        <is>
          <t>1970</t>
        </is>
      </c>
      <c r="O326" t="inlineStr">
        <is>
          <t>eng</t>
        </is>
      </c>
      <c r="P326" t="inlineStr">
        <is>
          <t>nju</t>
        </is>
      </c>
      <c r="R326" t="inlineStr">
        <is>
          <t xml:space="preserve">PS </t>
        </is>
      </c>
      <c r="S326" t="n">
        <v>2</v>
      </c>
      <c r="T326" t="n">
        <v>2</v>
      </c>
      <c r="U326" t="inlineStr">
        <is>
          <t>2004-10-24</t>
        </is>
      </c>
      <c r="V326" t="inlineStr">
        <is>
          <t>2004-10-24</t>
        </is>
      </c>
      <c r="W326" t="inlineStr">
        <is>
          <t>1997-05-21</t>
        </is>
      </c>
      <c r="X326" t="inlineStr">
        <is>
          <t>1997-05-21</t>
        </is>
      </c>
      <c r="Y326" t="n">
        <v>107</v>
      </c>
      <c r="Z326" t="n">
        <v>93</v>
      </c>
      <c r="AA326" t="n">
        <v>370</v>
      </c>
      <c r="AB326" t="n">
        <v>3</v>
      </c>
      <c r="AC326" t="n">
        <v>5</v>
      </c>
      <c r="AD326" t="n">
        <v>4</v>
      </c>
      <c r="AE326" t="n">
        <v>16</v>
      </c>
      <c r="AF326" t="n">
        <v>0</v>
      </c>
      <c r="AG326" t="n">
        <v>1</v>
      </c>
      <c r="AH326" t="n">
        <v>2</v>
      </c>
      <c r="AI326" t="n">
        <v>6</v>
      </c>
      <c r="AJ326" t="n">
        <v>2</v>
      </c>
      <c r="AK326" t="n">
        <v>9</v>
      </c>
      <c r="AL326" t="n">
        <v>2</v>
      </c>
      <c r="AM326" t="n">
        <v>4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HYPERLINK("https://creighton-primo.hosted.exlibrisgroup.com/primo-explore/search?tab=default_tab&amp;search_scope=EVERYTHING&amp;vid=01CRU&amp;lang=en_US&amp;offset=0&amp;query=any,contains,991001224179702656","Catalog Record")</f>
        <v/>
      </c>
      <c r="AT326">
        <f>HYPERLINK("http://www.worldcat.org/oclc/198821","WorldCat Record")</f>
        <v/>
      </c>
      <c r="AU326" t="inlineStr">
        <is>
          <t>1233077:eng</t>
        </is>
      </c>
      <c r="AV326" t="inlineStr">
        <is>
          <t>198821</t>
        </is>
      </c>
      <c r="AW326" t="inlineStr">
        <is>
          <t>991001224179702656</t>
        </is>
      </c>
      <c r="AX326" t="inlineStr">
        <is>
          <t>991001224179702656</t>
        </is>
      </c>
      <c r="AY326" t="inlineStr">
        <is>
          <t>2271120600002656</t>
        </is>
      </c>
      <c r="AZ326" t="inlineStr">
        <is>
          <t>BOOK</t>
        </is>
      </c>
      <c r="BB326" t="inlineStr">
        <is>
          <t>9780839817703</t>
        </is>
      </c>
      <c r="BC326" t="inlineStr">
        <is>
          <t>32285002715620</t>
        </is>
      </c>
      <c r="BD326" t="inlineStr">
        <is>
          <t>893243962</t>
        </is>
      </c>
    </row>
    <row r="327">
      <c r="A327" t="inlineStr">
        <is>
          <t>No</t>
        </is>
      </c>
      <c r="B327" t="inlineStr">
        <is>
          <t>PS285.C47 A5 1982</t>
        </is>
      </c>
      <c r="C327" t="inlineStr">
        <is>
          <t>0                      PS 0285000C  47                 A  5           1982</t>
        </is>
      </c>
      <c r="D327" t="inlineStr">
        <is>
          <t>Chicago in story : a literary history / Clarence A. Andrews.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Andrews, Clarence A.</t>
        </is>
      </c>
      <c r="L327" t="inlineStr">
        <is>
          <t>Iowa City, Iowa : Midwest Heritage Publishing Company, 1982.</t>
        </is>
      </c>
      <c r="M327" t="inlineStr">
        <is>
          <t>1982</t>
        </is>
      </c>
      <c r="N327" t="inlineStr">
        <is>
          <t>1st ed.</t>
        </is>
      </c>
      <c r="O327" t="inlineStr">
        <is>
          <t>eng</t>
        </is>
      </c>
      <c r="P327" t="inlineStr">
        <is>
          <t>iau</t>
        </is>
      </c>
      <c r="R327" t="inlineStr">
        <is>
          <t xml:space="preserve">PS </t>
        </is>
      </c>
      <c r="S327" t="n">
        <v>1</v>
      </c>
      <c r="T327" t="n">
        <v>1</v>
      </c>
      <c r="U327" t="inlineStr">
        <is>
          <t>1994-04-23</t>
        </is>
      </c>
      <c r="V327" t="inlineStr">
        <is>
          <t>1994-04-23</t>
        </is>
      </c>
      <c r="W327" t="inlineStr">
        <is>
          <t>1992-08-24</t>
        </is>
      </c>
      <c r="X327" t="inlineStr">
        <is>
          <t>1992-08-24</t>
        </is>
      </c>
      <c r="Y327" t="n">
        <v>335</v>
      </c>
      <c r="Z327" t="n">
        <v>317</v>
      </c>
      <c r="AA327" t="n">
        <v>320</v>
      </c>
      <c r="AB327" t="n">
        <v>4</v>
      </c>
      <c r="AC327" t="n">
        <v>4</v>
      </c>
      <c r="AD327" t="n">
        <v>15</v>
      </c>
      <c r="AE327" t="n">
        <v>15</v>
      </c>
      <c r="AF327" t="n">
        <v>5</v>
      </c>
      <c r="AG327" t="n">
        <v>5</v>
      </c>
      <c r="AH327" t="n">
        <v>6</v>
      </c>
      <c r="AI327" t="n">
        <v>6</v>
      </c>
      <c r="AJ327" t="n">
        <v>5</v>
      </c>
      <c r="AK327" t="n">
        <v>5</v>
      </c>
      <c r="AL327" t="n">
        <v>3</v>
      </c>
      <c r="AM327" t="n">
        <v>3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HYPERLINK("http://catalog.hathitrust.org/Record/000308172","HathiTrust Record")</f>
        <v/>
      </c>
      <c r="AS327">
        <f>HYPERLINK("https://creighton-primo.hosted.exlibrisgroup.com/primo-explore/search?tab=default_tab&amp;search_scope=EVERYTHING&amp;vid=01CRU&amp;lang=en_US&amp;offset=0&amp;query=any,contains,991000167459702656","Catalog Record")</f>
        <v/>
      </c>
      <c r="AT327">
        <f>HYPERLINK("http://www.worldcat.org/oclc/9297590","WorldCat Record")</f>
        <v/>
      </c>
      <c r="AU327" t="inlineStr">
        <is>
          <t>903307866:eng</t>
        </is>
      </c>
      <c r="AV327" t="inlineStr">
        <is>
          <t>9297590</t>
        </is>
      </c>
      <c r="AW327" t="inlineStr">
        <is>
          <t>991000167459702656</t>
        </is>
      </c>
      <c r="AX327" t="inlineStr">
        <is>
          <t>991000167459702656</t>
        </is>
      </c>
      <c r="AY327" t="inlineStr">
        <is>
          <t>2260434240002656</t>
        </is>
      </c>
      <c r="AZ327" t="inlineStr">
        <is>
          <t>BOOK</t>
        </is>
      </c>
      <c r="BC327" t="inlineStr">
        <is>
          <t>32285001270650</t>
        </is>
      </c>
      <c r="BD327" t="inlineStr">
        <is>
          <t>893327093</t>
        </is>
      </c>
    </row>
    <row r="328">
      <c r="A328" t="inlineStr">
        <is>
          <t>No</t>
        </is>
      </c>
      <c r="B328" t="inlineStr">
        <is>
          <t>PS2894.S2 K4 1932</t>
        </is>
      </c>
      <c r="C328" t="inlineStr">
        <is>
          <t>0                      PS 2894000S  2                  K  4           1932</t>
        </is>
      </c>
      <c r="D328" t="inlineStr">
        <is>
          <t>A Kentucky pioneer, by Most Rev. John Lancaster Spalding; introduction by Hon. Patrick H. Callahan.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Spalding, John Lancaster, 1840-1916.</t>
        </is>
      </c>
      <c r="L328" t="inlineStr">
        <is>
          <t>[Champaign, Ill., Twin city printing co., c1932]</t>
        </is>
      </c>
      <c r="M328" t="inlineStr">
        <is>
          <t>1932</t>
        </is>
      </c>
      <c r="O328" t="inlineStr">
        <is>
          <t>eng</t>
        </is>
      </c>
      <c r="P328" t="inlineStr">
        <is>
          <t>ilu</t>
        </is>
      </c>
      <c r="R328" t="inlineStr">
        <is>
          <t xml:space="preserve">PS </t>
        </is>
      </c>
      <c r="S328" t="n">
        <v>0</v>
      </c>
      <c r="T328" t="n">
        <v>0</v>
      </c>
      <c r="U328" t="inlineStr">
        <is>
          <t>2003-01-03</t>
        </is>
      </c>
      <c r="V328" t="inlineStr">
        <is>
          <t>2003-01-03</t>
        </is>
      </c>
      <c r="W328" t="inlineStr">
        <is>
          <t>1997-05-21</t>
        </is>
      </c>
      <c r="X328" t="inlineStr">
        <is>
          <t>1997-05-21</t>
        </is>
      </c>
      <c r="Y328" t="n">
        <v>58</v>
      </c>
      <c r="Z328" t="n">
        <v>58</v>
      </c>
      <c r="AA328" t="n">
        <v>73</v>
      </c>
      <c r="AB328" t="n">
        <v>1</v>
      </c>
      <c r="AC328" t="n">
        <v>1</v>
      </c>
      <c r="AD328" t="n">
        <v>8</v>
      </c>
      <c r="AE328" t="n">
        <v>8</v>
      </c>
      <c r="AF328" t="n">
        <v>3</v>
      </c>
      <c r="AG328" t="n">
        <v>3</v>
      </c>
      <c r="AH328" t="n">
        <v>1</v>
      </c>
      <c r="AI328" t="n">
        <v>1</v>
      </c>
      <c r="AJ328" t="n">
        <v>6</v>
      </c>
      <c r="AK328" t="n">
        <v>6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HYPERLINK("https://creighton-primo.hosted.exlibrisgroup.com/primo-explore/search?tab=default_tab&amp;search_scope=EVERYTHING&amp;vid=01CRU&amp;lang=en_US&amp;offset=0&amp;query=any,contains,991004523639702656","Catalog Record")</f>
        <v/>
      </c>
      <c r="AT328">
        <f>HYPERLINK("http://www.worldcat.org/oclc/3833540","WorldCat Record")</f>
        <v/>
      </c>
      <c r="AU328" t="inlineStr">
        <is>
          <t>9933343:eng</t>
        </is>
      </c>
      <c r="AV328" t="inlineStr">
        <is>
          <t>3833540</t>
        </is>
      </c>
      <c r="AW328" t="inlineStr">
        <is>
          <t>991004523639702656</t>
        </is>
      </c>
      <c r="AX328" t="inlineStr">
        <is>
          <t>991004523639702656</t>
        </is>
      </c>
      <c r="AY328" t="inlineStr">
        <is>
          <t>2254903970002656</t>
        </is>
      </c>
      <c r="AZ328" t="inlineStr">
        <is>
          <t>BOOK</t>
        </is>
      </c>
      <c r="BC328" t="inlineStr">
        <is>
          <t>32285002715992</t>
        </is>
      </c>
      <c r="BD328" t="inlineStr">
        <is>
          <t>893241534</t>
        </is>
      </c>
    </row>
    <row r="329">
      <c r="A329" t="inlineStr">
        <is>
          <t>No</t>
        </is>
      </c>
      <c r="B329" t="inlineStr">
        <is>
          <t>PS29.E34 L4 1988</t>
        </is>
      </c>
      <c r="C329" t="inlineStr">
        <is>
          <t>0                      PS 0029000E  34                 L  4           1988</t>
        </is>
      </c>
      <c r="D329" t="inlineStr">
        <is>
          <t>Leon Edel and literary art / edited by Lyall H. Powers ; assisted by Clare Virginia Eby.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Ann Arbor, Mich. : UMI Research Press, c1988.</t>
        </is>
      </c>
      <c r="M329" t="inlineStr">
        <is>
          <t>1988</t>
        </is>
      </c>
      <c r="O329" t="inlineStr">
        <is>
          <t>eng</t>
        </is>
      </c>
      <c r="P329" t="inlineStr">
        <is>
          <t>miu</t>
        </is>
      </c>
      <c r="Q329" t="inlineStr">
        <is>
          <t>Studies in modern literature ; no. 84</t>
        </is>
      </c>
      <c r="R329" t="inlineStr">
        <is>
          <t xml:space="preserve">PS </t>
        </is>
      </c>
      <c r="S329" t="n">
        <v>1</v>
      </c>
      <c r="T329" t="n">
        <v>1</v>
      </c>
      <c r="U329" t="inlineStr">
        <is>
          <t>2001-02-14</t>
        </is>
      </c>
      <c r="V329" t="inlineStr">
        <is>
          <t>2001-02-14</t>
        </is>
      </c>
      <c r="W329" t="inlineStr">
        <is>
          <t>1992-08-20</t>
        </is>
      </c>
      <c r="X329" t="inlineStr">
        <is>
          <t>1992-08-20</t>
        </is>
      </c>
      <c r="Y329" t="n">
        <v>238</v>
      </c>
      <c r="Z329" t="n">
        <v>199</v>
      </c>
      <c r="AA329" t="n">
        <v>204</v>
      </c>
      <c r="AB329" t="n">
        <v>2</v>
      </c>
      <c r="AC329" t="n">
        <v>2</v>
      </c>
      <c r="AD329" t="n">
        <v>9</v>
      </c>
      <c r="AE329" t="n">
        <v>9</v>
      </c>
      <c r="AF329" t="n">
        <v>2</v>
      </c>
      <c r="AG329" t="n">
        <v>2</v>
      </c>
      <c r="AH329" t="n">
        <v>1</v>
      </c>
      <c r="AI329" t="n">
        <v>1</v>
      </c>
      <c r="AJ329" t="n">
        <v>8</v>
      </c>
      <c r="AK329" t="n">
        <v>8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HYPERLINK("http://catalog.hathitrust.org/Record/000907082","HathiTrust Record")</f>
        <v/>
      </c>
      <c r="AS329">
        <f>HYPERLINK("https://creighton-primo.hosted.exlibrisgroup.com/primo-explore/search?tab=default_tab&amp;search_scope=EVERYTHING&amp;vid=01CRU&amp;lang=en_US&amp;offset=0&amp;query=any,contains,991001130179702656","Catalog Record")</f>
        <v/>
      </c>
      <c r="AT329">
        <f>HYPERLINK("http://www.worldcat.org/oclc/16682180","WorldCat Record")</f>
        <v/>
      </c>
      <c r="AU329" t="inlineStr">
        <is>
          <t>5218156037:eng</t>
        </is>
      </c>
      <c r="AV329" t="inlineStr">
        <is>
          <t>16682180</t>
        </is>
      </c>
      <c r="AW329" t="inlineStr">
        <is>
          <t>991001130179702656</t>
        </is>
      </c>
      <c r="AX329" t="inlineStr">
        <is>
          <t>991001130179702656</t>
        </is>
      </c>
      <c r="AY329" t="inlineStr">
        <is>
          <t>2272112650002656</t>
        </is>
      </c>
      <c r="AZ329" t="inlineStr">
        <is>
          <t>BOOK</t>
        </is>
      </c>
      <c r="BB329" t="inlineStr">
        <is>
          <t>9780835718394</t>
        </is>
      </c>
      <c r="BC329" t="inlineStr">
        <is>
          <t>32285001248730</t>
        </is>
      </c>
      <c r="BD329" t="inlineStr">
        <is>
          <t>893897548</t>
        </is>
      </c>
    </row>
    <row r="330">
      <c r="A330" t="inlineStr">
        <is>
          <t>No</t>
        </is>
      </c>
      <c r="B330" t="inlineStr">
        <is>
          <t>PS2917 .S3</t>
        </is>
      </c>
      <c r="C330" t="inlineStr">
        <is>
          <t>0                      PS 2917000S  3</t>
        </is>
      </c>
      <c r="D330" t="inlineStr">
        <is>
          <t>Edmund Clarence Stedman / by Robert J. Scholnick.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Scholnick, Robert J.</t>
        </is>
      </c>
      <c r="L330" t="inlineStr">
        <is>
          <t>Boston : Twayne Publishers, c1977.</t>
        </is>
      </c>
      <c r="M330" t="inlineStr">
        <is>
          <t>1977</t>
        </is>
      </c>
      <c r="O330" t="inlineStr">
        <is>
          <t>eng</t>
        </is>
      </c>
      <c r="P330" t="inlineStr">
        <is>
          <t>mau</t>
        </is>
      </c>
      <c r="Q330" t="inlineStr">
        <is>
          <t>Twayne's United States authors series ; TUSAS 286</t>
        </is>
      </c>
      <c r="R330" t="inlineStr">
        <is>
          <t xml:space="preserve">PS </t>
        </is>
      </c>
      <c r="S330" t="n">
        <v>1</v>
      </c>
      <c r="T330" t="n">
        <v>1</v>
      </c>
      <c r="U330" t="inlineStr">
        <is>
          <t>2005-03-23</t>
        </is>
      </c>
      <c r="V330" t="inlineStr">
        <is>
          <t>2005-03-23</t>
        </is>
      </c>
      <c r="W330" t="inlineStr">
        <is>
          <t>1994-09-29</t>
        </is>
      </c>
      <c r="X330" t="inlineStr">
        <is>
          <t>1994-09-29</t>
        </is>
      </c>
      <c r="Y330" t="n">
        <v>628</v>
      </c>
      <c r="Z330" t="n">
        <v>562</v>
      </c>
      <c r="AA330" t="n">
        <v>568</v>
      </c>
      <c r="AB330" t="n">
        <v>6</v>
      </c>
      <c r="AC330" t="n">
        <v>6</v>
      </c>
      <c r="AD330" t="n">
        <v>28</v>
      </c>
      <c r="AE330" t="n">
        <v>28</v>
      </c>
      <c r="AF330" t="n">
        <v>8</v>
      </c>
      <c r="AG330" t="n">
        <v>8</v>
      </c>
      <c r="AH330" t="n">
        <v>7</v>
      </c>
      <c r="AI330" t="n">
        <v>7</v>
      </c>
      <c r="AJ330" t="n">
        <v>15</v>
      </c>
      <c r="AK330" t="n">
        <v>15</v>
      </c>
      <c r="AL330" t="n">
        <v>5</v>
      </c>
      <c r="AM330" t="n">
        <v>5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HYPERLINK("http://catalog.hathitrust.org/Record/000293691","HathiTrust Record")</f>
        <v/>
      </c>
      <c r="AS330">
        <f>HYPERLINK("https://creighton-primo.hosted.exlibrisgroup.com/primo-explore/search?tab=default_tab&amp;search_scope=EVERYTHING&amp;vid=01CRU&amp;lang=en_US&amp;offset=0&amp;query=any,contains,991004364189702656","Catalog Record")</f>
        <v/>
      </c>
      <c r="AT330">
        <f>HYPERLINK("http://www.worldcat.org/oclc/3168753","WorldCat Record")</f>
        <v/>
      </c>
      <c r="AU330" t="inlineStr">
        <is>
          <t>8158245:eng</t>
        </is>
      </c>
      <c r="AV330" t="inlineStr">
        <is>
          <t>3168753</t>
        </is>
      </c>
      <c r="AW330" t="inlineStr">
        <is>
          <t>991004364189702656</t>
        </is>
      </c>
      <c r="AX330" t="inlineStr">
        <is>
          <t>991004364189702656</t>
        </is>
      </c>
      <c r="AY330" t="inlineStr">
        <is>
          <t>2260877100002656</t>
        </is>
      </c>
      <c r="AZ330" t="inlineStr">
        <is>
          <t>BOOK</t>
        </is>
      </c>
      <c r="BB330" t="inlineStr">
        <is>
          <t>9780805771886</t>
        </is>
      </c>
      <c r="BC330" t="inlineStr">
        <is>
          <t>32285001952729</t>
        </is>
      </c>
      <c r="BD330" t="inlineStr">
        <is>
          <t>893241332</t>
        </is>
      </c>
    </row>
    <row r="331">
      <c r="A331" t="inlineStr">
        <is>
          <t>No</t>
        </is>
      </c>
      <c r="B331" t="inlineStr">
        <is>
          <t>PS2928 .G6</t>
        </is>
      </c>
      <c r="C331" t="inlineStr">
        <is>
          <t>0                      PS 2928000G  6</t>
        </is>
      </c>
      <c r="D331" t="inlineStr">
        <is>
          <t>Frank R. Stockton / Henry L. Golemba.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Golemba, Henry L.</t>
        </is>
      </c>
      <c r="L331" t="inlineStr">
        <is>
          <t>Boston : Twayne Publishers, 1981.</t>
        </is>
      </c>
      <c r="M331" t="inlineStr">
        <is>
          <t>1981</t>
        </is>
      </c>
      <c r="O331" t="inlineStr">
        <is>
          <t>eng</t>
        </is>
      </c>
      <c r="P331" t="inlineStr">
        <is>
          <t>mau</t>
        </is>
      </c>
      <c r="Q331" t="inlineStr">
        <is>
          <t>Twayne's United States authors series ; TUSAS 374</t>
        </is>
      </c>
      <c r="R331" t="inlineStr">
        <is>
          <t xml:space="preserve">PS </t>
        </is>
      </c>
      <c r="S331" t="n">
        <v>2</v>
      </c>
      <c r="T331" t="n">
        <v>2</v>
      </c>
      <c r="U331" t="inlineStr">
        <is>
          <t>1998-04-21</t>
        </is>
      </c>
      <c r="V331" t="inlineStr">
        <is>
          <t>1998-04-21</t>
        </is>
      </c>
      <c r="W331" t="inlineStr">
        <is>
          <t>1990-11-01</t>
        </is>
      </c>
      <c r="X331" t="inlineStr">
        <is>
          <t>1990-11-01</t>
        </is>
      </c>
      <c r="Y331" t="n">
        <v>537</v>
      </c>
      <c r="Z331" t="n">
        <v>480</v>
      </c>
      <c r="AA331" t="n">
        <v>497</v>
      </c>
      <c r="AB331" t="n">
        <v>5</v>
      </c>
      <c r="AC331" t="n">
        <v>5</v>
      </c>
      <c r="AD331" t="n">
        <v>23</v>
      </c>
      <c r="AE331" t="n">
        <v>25</v>
      </c>
      <c r="AF331" t="n">
        <v>7</v>
      </c>
      <c r="AG331" t="n">
        <v>8</v>
      </c>
      <c r="AH331" t="n">
        <v>3</v>
      </c>
      <c r="AI331" t="n">
        <v>4</v>
      </c>
      <c r="AJ331" t="n">
        <v>15</v>
      </c>
      <c r="AK331" t="n">
        <v>15</v>
      </c>
      <c r="AL331" t="n">
        <v>4</v>
      </c>
      <c r="AM331" t="n">
        <v>4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HYPERLINK("http://catalog.hathitrust.org/Record/000743839","HathiTrust Record")</f>
        <v/>
      </c>
      <c r="AS331">
        <f>HYPERLINK("https://creighton-primo.hosted.exlibrisgroup.com/primo-explore/search?tab=default_tab&amp;search_scope=EVERYTHING&amp;vid=01CRU&amp;lang=en_US&amp;offset=0&amp;query=any,contains,991005063519702656","Catalog Record")</f>
        <v/>
      </c>
      <c r="AT331">
        <f>HYPERLINK("http://www.worldcat.org/oclc/6942394","WorldCat Record")</f>
        <v/>
      </c>
      <c r="AU331" t="inlineStr">
        <is>
          <t>25146545:eng</t>
        </is>
      </c>
      <c r="AV331" t="inlineStr">
        <is>
          <t>6942394</t>
        </is>
      </c>
      <c r="AW331" t="inlineStr">
        <is>
          <t>991005063519702656</t>
        </is>
      </c>
      <c r="AX331" t="inlineStr">
        <is>
          <t>991005063519702656</t>
        </is>
      </c>
      <c r="AY331" t="inlineStr">
        <is>
          <t>2257411370002656</t>
        </is>
      </c>
      <c r="AZ331" t="inlineStr">
        <is>
          <t>BOOK</t>
        </is>
      </c>
      <c r="BB331" t="inlineStr">
        <is>
          <t>9780805772883</t>
        </is>
      </c>
      <c r="BC331" t="inlineStr">
        <is>
          <t>32285000375096</t>
        </is>
      </c>
      <c r="BD331" t="inlineStr">
        <is>
          <t>893437077</t>
        </is>
      </c>
    </row>
    <row r="332">
      <c r="A332" t="inlineStr">
        <is>
          <t>No</t>
        </is>
      </c>
      <c r="B332" t="inlineStr">
        <is>
          <t>PS2956 .A6</t>
        </is>
      </c>
      <c r="C332" t="inlineStr">
        <is>
          <t>0                      PS 2956000A  6</t>
        </is>
      </c>
      <c r="D332" t="inlineStr">
        <is>
          <t>Harriet Beecher Stowe.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Yes</t>
        </is>
      </c>
      <c r="J332" t="inlineStr">
        <is>
          <t>0</t>
        </is>
      </c>
      <c r="K332" t="inlineStr">
        <is>
          <t>Adams, John R., 1900-1994.</t>
        </is>
      </c>
      <c r="L332" t="inlineStr">
        <is>
          <t>New York : Twayne Publishers, [c1963]</t>
        </is>
      </c>
      <c r="M332" t="inlineStr">
        <is>
          <t>1963</t>
        </is>
      </c>
      <c r="O332" t="inlineStr">
        <is>
          <t>eng</t>
        </is>
      </c>
      <c r="P332" t="inlineStr">
        <is>
          <t>nyu</t>
        </is>
      </c>
      <c r="Q332" t="inlineStr">
        <is>
          <t>Twayne's United States authors series, 42</t>
        </is>
      </c>
      <c r="R332" t="inlineStr">
        <is>
          <t xml:space="preserve">PS </t>
        </is>
      </c>
      <c r="S332" t="n">
        <v>5</v>
      </c>
      <c r="T332" t="n">
        <v>5</v>
      </c>
      <c r="U332" t="inlineStr">
        <is>
          <t>1999-04-27</t>
        </is>
      </c>
      <c r="V332" t="inlineStr">
        <is>
          <t>1999-04-27</t>
        </is>
      </c>
      <c r="W332" t="inlineStr">
        <is>
          <t>1994-09-29</t>
        </is>
      </c>
      <c r="X332" t="inlineStr">
        <is>
          <t>1994-09-29</t>
        </is>
      </c>
      <c r="Y332" t="n">
        <v>1675</v>
      </c>
      <c r="Z332" t="n">
        <v>1548</v>
      </c>
      <c r="AA332" t="n">
        <v>2061</v>
      </c>
      <c r="AB332" t="n">
        <v>12</v>
      </c>
      <c r="AC332" t="n">
        <v>13</v>
      </c>
      <c r="AD332" t="n">
        <v>46</v>
      </c>
      <c r="AE332" t="n">
        <v>52</v>
      </c>
      <c r="AF332" t="n">
        <v>20</v>
      </c>
      <c r="AG332" t="n">
        <v>23</v>
      </c>
      <c r="AH332" t="n">
        <v>8</v>
      </c>
      <c r="AI332" t="n">
        <v>9</v>
      </c>
      <c r="AJ332" t="n">
        <v>20</v>
      </c>
      <c r="AK332" t="n">
        <v>23</v>
      </c>
      <c r="AL332" t="n">
        <v>8</v>
      </c>
      <c r="AM332" t="n">
        <v>9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HYPERLINK("http://catalog.hathitrust.org/Record/001020816","HathiTrust Record")</f>
        <v/>
      </c>
      <c r="AS332">
        <f>HYPERLINK("https://creighton-primo.hosted.exlibrisgroup.com/primo-explore/search?tab=default_tab&amp;search_scope=EVERYTHING&amp;vid=01CRU&amp;lang=en_US&amp;offset=0&amp;query=any,contains,991002169469702656","Catalog Record")</f>
        <v/>
      </c>
      <c r="AT332">
        <f>HYPERLINK("http://www.worldcat.org/oclc/276288","WorldCat Record")</f>
        <v/>
      </c>
      <c r="AU332" t="inlineStr">
        <is>
          <t>3901030542:eng</t>
        </is>
      </c>
      <c r="AV332" t="inlineStr">
        <is>
          <t>276288</t>
        </is>
      </c>
      <c r="AW332" t="inlineStr">
        <is>
          <t>991002169469702656</t>
        </is>
      </c>
      <c r="AX332" t="inlineStr">
        <is>
          <t>991002169469702656</t>
        </is>
      </c>
      <c r="AY332" t="inlineStr">
        <is>
          <t>2261813410002656</t>
        </is>
      </c>
      <c r="AZ332" t="inlineStr">
        <is>
          <t>BOOK</t>
        </is>
      </c>
      <c r="BC332" t="inlineStr">
        <is>
          <t>32285001952711</t>
        </is>
      </c>
      <c r="BD332" t="inlineStr">
        <is>
          <t>893408771</t>
        </is>
      </c>
    </row>
    <row r="333">
      <c r="A333" t="inlineStr">
        <is>
          <t>No</t>
        </is>
      </c>
      <c r="B333" t="inlineStr">
        <is>
          <t>PS2957 .A7</t>
        </is>
      </c>
      <c r="C333" t="inlineStr">
        <is>
          <t>0                      PS 2957000A  7</t>
        </is>
      </c>
      <c r="D333" t="inlineStr">
        <is>
          <t>Harriet Beecher Stowe : a reference guide / Jean W. Ashton. --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Ashton, Jean.</t>
        </is>
      </c>
      <c r="L333" t="inlineStr">
        <is>
          <t>Boston : G. K. Hall, c1977.</t>
        </is>
      </c>
      <c r="M333" t="inlineStr">
        <is>
          <t>1977</t>
        </is>
      </c>
      <c r="O333" t="inlineStr">
        <is>
          <t>eng</t>
        </is>
      </c>
      <c r="P333" t="inlineStr">
        <is>
          <t>mau</t>
        </is>
      </c>
      <c r="Q333" t="inlineStr">
        <is>
          <t>Reference guides in literature</t>
        </is>
      </c>
      <c r="R333" t="inlineStr">
        <is>
          <t xml:space="preserve">PS </t>
        </is>
      </c>
      <c r="S333" t="n">
        <v>8</v>
      </c>
      <c r="T333" t="n">
        <v>8</v>
      </c>
      <c r="U333" t="inlineStr">
        <is>
          <t>1999-04-27</t>
        </is>
      </c>
      <c r="V333" t="inlineStr">
        <is>
          <t>1999-04-27</t>
        </is>
      </c>
      <c r="W333" t="inlineStr">
        <is>
          <t>1990-11-01</t>
        </is>
      </c>
      <c r="X333" t="inlineStr">
        <is>
          <t>1990-11-01</t>
        </is>
      </c>
      <c r="Y333" t="n">
        <v>510</v>
      </c>
      <c r="Z333" t="n">
        <v>441</v>
      </c>
      <c r="AA333" t="n">
        <v>443</v>
      </c>
      <c r="AB333" t="n">
        <v>4</v>
      </c>
      <c r="AC333" t="n">
        <v>4</v>
      </c>
      <c r="AD333" t="n">
        <v>18</v>
      </c>
      <c r="AE333" t="n">
        <v>18</v>
      </c>
      <c r="AF333" t="n">
        <v>6</v>
      </c>
      <c r="AG333" t="n">
        <v>6</v>
      </c>
      <c r="AH333" t="n">
        <v>6</v>
      </c>
      <c r="AI333" t="n">
        <v>6</v>
      </c>
      <c r="AJ333" t="n">
        <v>7</v>
      </c>
      <c r="AK333" t="n">
        <v>7</v>
      </c>
      <c r="AL333" t="n">
        <v>3</v>
      </c>
      <c r="AM333" t="n">
        <v>3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HYPERLINK("http://catalog.hathitrust.org/Record/000129704","HathiTrust Record")</f>
        <v/>
      </c>
      <c r="AS333">
        <f>HYPERLINK("https://creighton-primo.hosted.exlibrisgroup.com/primo-explore/search?tab=default_tab&amp;search_scope=EVERYTHING&amp;vid=01CRU&amp;lang=en_US&amp;offset=0&amp;query=any,contains,991004195669702656","Catalog Record")</f>
        <v/>
      </c>
      <c r="AT333">
        <f>HYPERLINK("http://www.worldcat.org/oclc/2644432","WorldCat Record")</f>
        <v/>
      </c>
      <c r="AU333" t="inlineStr">
        <is>
          <t>259923491:eng</t>
        </is>
      </c>
      <c r="AV333" t="inlineStr">
        <is>
          <t>2644432</t>
        </is>
      </c>
      <c r="AW333" t="inlineStr">
        <is>
          <t>991004195669702656</t>
        </is>
      </c>
      <c r="AX333" t="inlineStr">
        <is>
          <t>991004195669702656</t>
        </is>
      </c>
      <c r="AY333" t="inlineStr">
        <is>
          <t>2255402510002656</t>
        </is>
      </c>
      <c r="AZ333" t="inlineStr">
        <is>
          <t>BOOK</t>
        </is>
      </c>
      <c r="BB333" t="inlineStr">
        <is>
          <t>9780816178339</t>
        </is>
      </c>
      <c r="BC333" t="inlineStr">
        <is>
          <t>32285000375112</t>
        </is>
      </c>
      <c r="BD333" t="inlineStr">
        <is>
          <t>893229046</t>
        </is>
      </c>
    </row>
    <row r="334">
      <c r="A334" t="inlineStr">
        <is>
          <t>No</t>
        </is>
      </c>
      <c r="B334" t="inlineStr">
        <is>
          <t>PS303 .B55 1987</t>
        </is>
      </c>
      <c r="C334" t="inlineStr">
        <is>
          <t>0                      PS 0303000B  55          1987</t>
        </is>
      </c>
      <c r="D334" t="inlineStr">
        <is>
          <t>American poetry--the rhetoric of its forms / Mutlu Konuk Blasing.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Blasing, Mutlu Konuk, 1944-</t>
        </is>
      </c>
      <c r="L334" t="inlineStr">
        <is>
          <t>New Haven : Yale University Press, c1987.</t>
        </is>
      </c>
      <c r="M334" t="inlineStr">
        <is>
          <t>1987</t>
        </is>
      </c>
      <c r="O334" t="inlineStr">
        <is>
          <t>eng</t>
        </is>
      </c>
      <c r="P334" t="inlineStr">
        <is>
          <t>ctu</t>
        </is>
      </c>
      <c r="R334" t="inlineStr">
        <is>
          <t xml:space="preserve">PS </t>
        </is>
      </c>
      <c r="S334" t="n">
        <v>3</v>
      </c>
      <c r="T334" t="n">
        <v>3</v>
      </c>
      <c r="U334" t="inlineStr">
        <is>
          <t>1992-11-07</t>
        </is>
      </c>
      <c r="V334" t="inlineStr">
        <is>
          <t>1992-11-07</t>
        </is>
      </c>
      <c r="W334" t="inlineStr">
        <is>
          <t>1992-08-24</t>
        </is>
      </c>
      <c r="X334" t="inlineStr">
        <is>
          <t>1992-08-24</t>
        </is>
      </c>
      <c r="Y334" t="n">
        <v>946</v>
      </c>
      <c r="Z334" t="n">
        <v>802</v>
      </c>
      <c r="AA334" t="n">
        <v>927</v>
      </c>
      <c r="AB334" t="n">
        <v>6</v>
      </c>
      <c r="AC334" t="n">
        <v>6</v>
      </c>
      <c r="AD334" t="n">
        <v>42</v>
      </c>
      <c r="AE334" t="n">
        <v>44</v>
      </c>
      <c r="AF334" t="n">
        <v>18</v>
      </c>
      <c r="AG334" t="n">
        <v>19</v>
      </c>
      <c r="AH334" t="n">
        <v>9</v>
      </c>
      <c r="AI334" t="n">
        <v>10</v>
      </c>
      <c r="AJ334" t="n">
        <v>20</v>
      </c>
      <c r="AK334" t="n">
        <v>20</v>
      </c>
      <c r="AL334" t="n">
        <v>5</v>
      </c>
      <c r="AM334" t="n">
        <v>5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HYPERLINK("https://creighton-primo.hosted.exlibrisgroup.com/primo-explore/search?tab=default_tab&amp;search_scope=EVERYTHING&amp;vid=01CRU&amp;lang=en_US&amp;offset=0&amp;query=any,contains,991000921519702656","Catalog Record")</f>
        <v/>
      </c>
      <c r="AT334">
        <f>HYPERLINK("http://www.worldcat.org/oclc/14212508","WorldCat Record")</f>
        <v/>
      </c>
      <c r="AU334" t="inlineStr">
        <is>
          <t>8171372:eng</t>
        </is>
      </c>
      <c r="AV334" t="inlineStr">
        <is>
          <t>14212508</t>
        </is>
      </c>
      <c r="AW334" t="inlineStr">
        <is>
          <t>991000921519702656</t>
        </is>
      </c>
      <c r="AX334" t="inlineStr">
        <is>
          <t>991000921519702656</t>
        </is>
      </c>
      <c r="AY334" t="inlineStr">
        <is>
          <t>2268955660002656</t>
        </is>
      </c>
      <c r="AZ334" t="inlineStr">
        <is>
          <t>BOOK</t>
        </is>
      </c>
      <c r="BB334" t="inlineStr">
        <is>
          <t>9780300037937</t>
        </is>
      </c>
      <c r="BC334" t="inlineStr">
        <is>
          <t>32285001270668</t>
        </is>
      </c>
      <c r="BD334" t="inlineStr">
        <is>
          <t>893333897</t>
        </is>
      </c>
    </row>
    <row r="335">
      <c r="A335" t="inlineStr">
        <is>
          <t>No</t>
        </is>
      </c>
      <c r="B335" t="inlineStr">
        <is>
          <t>PS3048 .G7</t>
        </is>
      </c>
      <c r="C335" t="inlineStr">
        <is>
          <t>0                      PS 3048000G  7</t>
        </is>
      </c>
      <c r="D335" t="inlineStr">
        <is>
          <t>The frail duration : a key to symbolic structure in Walden.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Greene, David Mason.</t>
        </is>
      </c>
      <c r="L335" t="inlineStr">
        <is>
          <t>[San Diego, Calif.] : San Diego State College Press, 1966.</t>
        </is>
      </c>
      <c r="M335" t="inlineStr">
        <is>
          <t>1966</t>
        </is>
      </c>
      <c r="O335" t="inlineStr">
        <is>
          <t>eng</t>
        </is>
      </c>
      <c r="P335" t="inlineStr">
        <is>
          <t xml:space="preserve">xx </t>
        </is>
      </c>
      <c r="Q335" t="inlineStr">
        <is>
          <t>Humanities monograph series ; v. 1, no. 2</t>
        </is>
      </c>
      <c r="R335" t="inlineStr">
        <is>
          <t xml:space="preserve">PS </t>
        </is>
      </c>
      <c r="S335" t="n">
        <v>6</v>
      </c>
      <c r="T335" t="n">
        <v>6</v>
      </c>
      <c r="U335" t="inlineStr">
        <is>
          <t>2005-12-09</t>
        </is>
      </c>
      <c r="V335" t="inlineStr">
        <is>
          <t>2005-12-09</t>
        </is>
      </c>
      <c r="W335" t="inlineStr">
        <is>
          <t>1993-12-15</t>
        </is>
      </c>
      <c r="X335" t="inlineStr">
        <is>
          <t>1993-12-15</t>
        </is>
      </c>
      <c r="Y335" t="n">
        <v>204</v>
      </c>
      <c r="Z335" t="n">
        <v>180</v>
      </c>
      <c r="AA335" t="n">
        <v>181</v>
      </c>
      <c r="AB335" t="n">
        <v>3</v>
      </c>
      <c r="AC335" t="n">
        <v>3</v>
      </c>
      <c r="AD335" t="n">
        <v>11</v>
      </c>
      <c r="AE335" t="n">
        <v>11</v>
      </c>
      <c r="AF335" t="n">
        <v>2</v>
      </c>
      <c r="AG335" t="n">
        <v>2</v>
      </c>
      <c r="AH335" t="n">
        <v>2</v>
      </c>
      <c r="AI335" t="n">
        <v>2</v>
      </c>
      <c r="AJ335" t="n">
        <v>7</v>
      </c>
      <c r="AK335" t="n">
        <v>7</v>
      </c>
      <c r="AL335" t="n">
        <v>2</v>
      </c>
      <c r="AM335" t="n">
        <v>2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HYPERLINK("http://catalog.hathitrust.org/Record/001654394","HathiTrust Record")</f>
        <v/>
      </c>
      <c r="AS335">
        <f>HYPERLINK("https://creighton-primo.hosted.exlibrisgroup.com/primo-explore/search?tab=default_tab&amp;search_scope=EVERYTHING&amp;vid=01CRU&amp;lang=en_US&amp;offset=0&amp;query=any,contains,991003879389702656","Catalog Record")</f>
        <v/>
      </c>
      <c r="AT335">
        <f>HYPERLINK("http://www.worldcat.org/oclc/1718971","WorldCat Record")</f>
        <v/>
      </c>
      <c r="AU335" t="inlineStr">
        <is>
          <t>898555055:eng</t>
        </is>
      </c>
      <c r="AV335" t="inlineStr">
        <is>
          <t>1718971</t>
        </is>
      </c>
      <c r="AW335" t="inlineStr">
        <is>
          <t>991003879389702656</t>
        </is>
      </c>
      <c r="AX335" t="inlineStr">
        <is>
          <t>991003879389702656</t>
        </is>
      </c>
      <c r="AY335" t="inlineStr">
        <is>
          <t>2265027850002656</t>
        </is>
      </c>
      <c r="AZ335" t="inlineStr">
        <is>
          <t>BOOK</t>
        </is>
      </c>
      <c r="BC335" t="inlineStr">
        <is>
          <t>32285001808897</t>
        </is>
      </c>
      <c r="BD335" t="inlineStr">
        <is>
          <t>893410822</t>
        </is>
      </c>
    </row>
    <row r="336">
      <c r="A336" t="inlineStr">
        <is>
          <t>No</t>
        </is>
      </c>
      <c r="B336" t="inlineStr">
        <is>
          <t>PS3048 .S53 1969</t>
        </is>
      </c>
      <c r="C336" t="inlineStr">
        <is>
          <t>0                      PS 3048000S  53          1969</t>
        </is>
      </c>
      <c r="D336" t="inlineStr">
        <is>
          <t>A word index to Walden, with textual notes, by J. Stephen Sherwin and Richard C. Reynolds.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Sherwin, J. Stephen.</t>
        </is>
      </c>
      <c r="L336" t="inlineStr">
        <is>
          <t>Hartford, Emerson Society [1969]</t>
        </is>
      </c>
      <c r="M336" t="inlineStr">
        <is>
          <t>1969</t>
        </is>
      </c>
      <c r="N336" t="inlineStr">
        <is>
          <t>Corr. ed.</t>
        </is>
      </c>
      <c r="O336" t="inlineStr">
        <is>
          <t>eng</t>
        </is>
      </c>
      <c r="P336" t="inlineStr">
        <is>
          <t>ctu</t>
        </is>
      </c>
      <c r="R336" t="inlineStr">
        <is>
          <t xml:space="preserve">PS </t>
        </is>
      </c>
      <c r="S336" t="n">
        <v>8</v>
      </c>
      <c r="T336" t="n">
        <v>8</v>
      </c>
      <c r="U336" t="inlineStr">
        <is>
          <t>2001-04-27</t>
        </is>
      </c>
      <c r="V336" t="inlineStr">
        <is>
          <t>2001-04-27</t>
        </is>
      </c>
      <c r="W336" t="inlineStr">
        <is>
          <t>1997-05-22</t>
        </is>
      </c>
      <c r="X336" t="inlineStr">
        <is>
          <t>1997-05-22</t>
        </is>
      </c>
      <c r="Y336" t="n">
        <v>138</v>
      </c>
      <c r="Z336" t="n">
        <v>125</v>
      </c>
      <c r="AA336" t="n">
        <v>296</v>
      </c>
      <c r="AB336" t="n">
        <v>4</v>
      </c>
      <c r="AC336" t="n">
        <v>4</v>
      </c>
      <c r="AD336" t="n">
        <v>11</v>
      </c>
      <c r="AE336" t="n">
        <v>19</v>
      </c>
      <c r="AF336" t="n">
        <v>3</v>
      </c>
      <c r="AG336" t="n">
        <v>5</v>
      </c>
      <c r="AH336" t="n">
        <v>2</v>
      </c>
      <c r="AI336" t="n">
        <v>4</v>
      </c>
      <c r="AJ336" t="n">
        <v>6</v>
      </c>
      <c r="AK336" t="n">
        <v>11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HYPERLINK("http://catalog.hathitrust.org/Record/001187274","HathiTrust Record")</f>
        <v/>
      </c>
      <c r="AS336">
        <f>HYPERLINK("https://creighton-primo.hosted.exlibrisgroup.com/primo-explore/search?tab=default_tab&amp;search_scope=EVERYTHING&amp;vid=01CRU&amp;lang=en_US&amp;offset=0&amp;query=any,contains,991000126769702656","Catalog Record")</f>
        <v/>
      </c>
      <c r="AT336">
        <f>HYPERLINK("http://www.worldcat.org/oclc/52280","WorldCat Record")</f>
        <v/>
      </c>
      <c r="AU336" t="inlineStr">
        <is>
          <t>1174130:eng</t>
        </is>
      </c>
      <c r="AV336" t="inlineStr">
        <is>
          <t>52280</t>
        </is>
      </c>
      <c r="AW336" t="inlineStr">
        <is>
          <t>991000126769702656</t>
        </is>
      </c>
      <c r="AX336" t="inlineStr">
        <is>
          <t>991000126769702656</t>
        </is>
      </c>
      <c r="AY336" t="inlineStr">
        <is>
          <t>2259154380002656</t>
        </is>
      </c>
      <c r="AZ336" t="inlineStr">
        <is>
          <t>BOOK</t>
        </is>
      </c>
      <c r="BC336" t="inlineStr">
        <is>
          <t>32285002716669</t>
        </is>
      </c>
      <c r="BD336" t="inlineStr">
        <is>
          <t>893689453</t>
        </is>
      </c>
    </row>
    <row r="337">
      <c r="A337" t="inlineStr">
        <is>
          <t>No</t>
        </is>
      </c>
      <c r="B337" t="inlineStr">
        <is>
          <t>PS305 .J6 1980b</t>
        </is>
      </c>
      <c r="C337" t="inlineStr">
        <is>
          <t>0                      PS 0305000J  6           1980b</t>
        </is>
      </c>
      <c r="D337" t="inlineStr">
        <is>
          <t>A reader's guide to fifty American poets / by Peter Jones.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Jones, Peter, 1929 April 25-</t>
        </is>
      </c>
      <c r="L337" t="inlineStr">
        <is>
          <t>London : Heinemann ; New York : Barnes &amp; Noble, 1980.</t>
        </is>
      </c>
      <c r="M337" t="inlineStr">
        <is>
          <t>1980</t>
        </is>
      </c>
      <c r="O337" t="inlineStr">
        <is>
          <t>eng</t>
        </is>
      </c>
      <c r="P337" t="inlineStr">
        <is>
          <t>enk</t>
        </is>
      </c>
      <c r="Q337" t="inlineStr">
        <is>
          <t>Reader's guide series</t>
        </is>
      </c>
      <c r="R337" t="inlineStr">
        <is>
          <t xml:space="preserve">PS </t>
        </is>
      </c>
      <c r="S337" t="n">
        <v>8</v>
      </c>
      <c r="T337" t="n">
        <v>8</v>
      </c>
      <c r="U337" t="inlineStr">
        <is>
          <t>1999-01-31</t>
        </is>
      </c>
      <c r="V337" t="inlineStr">
        <is>
          <t>1999-01-31</t>
        </is>
      </c>
      <c r="W337" t="inlineStr">
        <is>
          <t>1992-08-24</t>
        </is>
      </c>
      <c r="X337" t="inlineStr">
        <is>
          <t>1992-08-24</t>
        </is>
      </c>
      <c r="Y337" t="n">
        <v>705</v>
      </c>
      <c r="Z337" t="n">
        <v>573</v>
      </c>
      <c r="AA337" t="n">
        <v>583</v>
      </c>
      <c r="AB337" t="n">
        <v>8</v>
      </c>
      <c r="AC337" t="n">
        <v>8</v>
      </c>
      <c r="AD337" t="n">
        <v>22</v>
      </c>
      <c r="AE337" t="n">
        <v>22</v>
      </c>
      <c r="AF337" t="n">
        <v>7</v>
      </c>
      <c r="AG337" t="n">
        <v>7</v>
      </c>
      <c r="AH337" t="n">
        <v>5</v>
      </c>
      <c r="AI337" t="n">
        <v>5</v>
      </c>
      <c r="AJ337" t="n">
        <v>5</v>
      </c>
      <c r="AK337" t="n">
        <v>5</v>
      </c>
      <c r="AL337" t="n">
        <v>7</v>
      </c>
      <c r="AM337" t="n">
        <v>7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HYPERLINK("http://catalog.hathitrust.org/Record/000224361","HathiTrust Record")</f>
        <v/>
      </c>
      <c r="AS337">
        <f>HYPERLINK("https://creighton-primo.hosted.exlibrisgroup.com/primo-explore/search?tab=default_tab&amp;search_scope=EVERYTHING&amp;vid=01CRU&amp;lang=en_US&amp;offset=0&amp;query=any,contains,991005073339702656","Catalog Record")</f>
        <v/>
      </c>
      <c r="AT337">
        <f>HYPERLINK("http://www.worldcat.org/oclc/7067909","WorldCat Record")</f>
        <v/>
      </c>
      <c r="AU337" t="inlineStr">
        <is>
          <t>368061084:eng</t>
        </is>
      </c>
      <c r="AV337" t="inlineStr">
        <is>
          <t>7067909</t>
        </is>
      </c>
      <c r="AW337" t="inlineStr">
        <is>
          <t>991005073339702656</t>
        </is>
      </c>
      <c r="AX337" t="inlineStr">
        <is>
          <t>991005073339702656</t>
        </is>
      </c>
      <c r="AY337" t="inlineStr">
        <is>
          <t>2263028750002656</t>
        </is>
      </c>
      <c r="AZ337" t="inlineStr">
        <is>
          <t>BOOK</t>
        </is>
      </c>
      <c r="BB337" t="inlineStr">
        <is>
          <t>9780389201403</t>
        </is>
      </c>
      <c r="BC337" t="inlineStr">
        <is>
          <t>32285001270692</t>
        </is>
      </c>
      <c r="BD337" t="inlineStr">
        <is>
          <t>893412272</t>
        </is>
      </c>
    </row>
    <row r="338">
      <c r="A338" t="inlineStr">
        <is>
          <t>No</t>
        </is>
      </c>
      <c r="B338" t="inlineStr">
        <is>
          <t>PS305 .L8</t>
        </is>
      </c>
      <c r="C338" t="inlineStr">
        <is>
          <t>0                      PS 0305000L  8</t>
        </is>
      </c>
      <c r="D338" t="inlineStr">
        <is>
          <t>Aspects of American poetry : essays presented to Howard Mumford Jones.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Ludwig, Richard M., 1920-, editor.</t>
        </is>
      </c>
      <c r="L338" t="inlineStr">
        <is>
          <t>[Columbus] Ohio State University Press [1963, c1962]</t>
        </is>
      </c>
      <c r="M338" t="inlineStr">
        <is>
          <t>1963</t>
        </is>
      </c>
      <c r="O338" t="inlineStr">
        <is>
          <t>eng</t>
        </is>
      </c>
      <c r="P338" t="inlineStr">
        <is>
          <t>ohu</t>
        </is>
      </c>
      <c r="R338" t="inlineStr">
        <is>
          <t xml:space="preserve">PS </t>
        </is>
      </c>
      <c r="S338" t="n">
        <v>3</v>
      </c>
      <c r="T338" t="n">
        <v>3</v>
      </c>
      <c r="U338" t="inlineStr">
        <is>
          <t>1999-11-14</t>
        </is>
      </c>
      <c r="V338" t="inlineStr">
        <is>
          <t>1999-11-14</t>
        </is>
      </c>
      <c r="W338" t="inlineStr">
        <is>
          <t>1999-03-15</t>
        </is>
      </c>
      <c r="X338" t="inlineStr">
        <is>
          <t>1999-03-15</t>
        </is>
      </c>
      <c r="Y338" t="n">
        <v>516</v>
      </c>
      <c r="Z338" t="n">
        <v>492</v>
      </c>
      <c r="AA338" t="n">
        <v>512</v>
      </c>
      <c r="AB338" t="n">
        <v>6</v>
      </c>
      <c r="AC338" t="n">
        <v>6</v>
      </c>
      <c r="AD338" t="n">
        <v>27</v>
      </c>
      <c r="AE338" t="n">
        <v>27</v>
      </c>
      <c r="AF338" t="n">
        <v>8</v>
      </c>
      <c r="AG338" t="n">
        <v>8</v>
      </c>
      <c r="AH338" t="n">
        <v>7</v>
      </c>
      <c r="AI338" t="n">
        <v>7</v>
      </c>
      <c r="AJ338" t="n">
        <v>14</v>
      </c>
      <c r="AK338" t="n">
        <v>14</v>
      </c>
      <c r="AL338" t="n">
        <v>5</v>
      </c>
      <c r="AM338" t="n">
        <v>5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HYPERLINK("http://catalog.hathitrust.org/Record/001026562","HathiTrust Record")</f>
        <v/>
      </c>
      <c r="AS338">
        <f>HYPERLINK("https://creighton-primo.hosted.exlibrisgroup.com/primo-explore/search?tab=default_tab&amp;search_scope=EVERYTHING&amp;vid=01CRU&amp;lang=en_US&amp;offset=0&amp;query=any,contains,991002129589702656","Catalog Record")</f>
        <v/>
      </c>
      <c r="AT338">
        <f>HYPERLINK("http://www.worldcat.org/oclc/269705","WorldCat Record")</f>
        <v/>
      </c>
      <c r="AU338" t="inlineStr">
        <is>
          <t>3377231557:eng</t>
        </is>
      </c>
      <c r="AV338" t="inlineStr">
        <is>
          <t>269705</t>
        </is>
      </c>
      <c r="AW338" t="inlineStr">
        <is>
          <t>991002129589702656</t>
        </is>
      </c>
      <c r="AX338" t="inlineStr">
        <is>
          <t>991002129589702656</t>
        </is>
      </c>
      <c r="AY338" t="inlineStr">
        <is>
          <t>2267499270002656</t>
        </is>
      </c>
      <c r="AZ338" t="inlineStr">
        <is>
          <t>BOOK</t>
        </is>
      </c>
      <c r="BC338" t="inlineStr">
        <is>
          <t>32285003532297</t>
        </is>
      </c>
      <c r="BD338" t="inlineStr">
        <is>
          <t>893316416</t>
        </is>
      </c>
    </row>
    <row r="339">
      <c r="A339" t="inlineStr">
        <is>
          <t>No</t>
        </is>
      </c>
      <c r="B339" t="inlineStr">
        <is>
          <t>PS3052 .A44</t>
        </is>
      </c>
      <c r="C339" t="inlineStr">
        <is>
          <t>0                      PS 3052000A  44</t>
        </is>
      </c>
      <c r="D339" t="inlineStr">
        <is>
          <t>A bibliography of Henry David Thoreau / compiled by Francis H. Allen.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Allen, Francis H. (Francis Henry), 1866-1953.</t>
        </is>
      </c>
      <c r="L339" t="inlineStr">
        <is>
          <t>New York, N.Y. : Johnson Reprint, 1967.</t>
        </is>
      </c>
      <c r="M339" t="inlineStr">
        <is>
          <t>1967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PS </t>
        </is>
      </c>
      <c r="S339" t="n">
        <v>3</v>
      </c>
      <c r="T339" t="n">
        <v>3</v>
      </c>
      <c r="U339" t="inlineStr">
        <is>
          <t>1998-04-20</t>
        </is>
      </c>
      <c r="V339" t="inlineStr">
        <is>
          <t>1998-04-20</t>
        </is>
      </c>
      <c r="W339" t="inlineStr">
        <is>
          <t>1992-04-16</t>
        </is>
      </c>
      <c r="X339" t="inlineStr">
        <is>
          <t>1992-04-16</t>
        </is>
      </c>
      <c r="Y339" t="n">
        <v>107</v>
      </c>
      <c r="Z339" t="n">
        <v>100</v>
      </c>
      <c r="AA339" t="n">
        <v>534</v>
      </c>
      <c r="AB339" t="n">
        <v>3</v>
      </c>
      <c r="AC339" t="n">
        <v>5</v>
      </c>
      <c r="AD339" t="n">
        <v>6</v>
      </c>
      <c r="AE339" t="n">
        <v>30</v>
      </c>
      <c r="AF339" t="n">
        <v>1</v>
      </c>
      <c r="AG339" t="n">
        <v>12</v>
      </c>
      <c r="AH339" t="n">
        <v>0</v>
      </c>
      <c r="AI339" t="n">
        <v>10</v>
      </c>
      <c r="AJ339" t="n">
        <v>3</v>
      </c>
      <c r="AK339" t="n">
        <v>12</v>
      </c>
      <c r="AL339" t="n">
        <v>2</v>
      </c>
      <c r="AM339" t="n">
        <v>4</v>
      </c>
      <c r="AN339" t="n">
        <v>0</v>
      </c>
      <c r="AO339" t="n">
        <v>0</v>
      </c>
      <c r="AP339" t="inlineStr">
        <is>
          <t>No</t>
        </is>
      </c>
      <c r="AQ339" t="inlineStr">
        <is>
          <t>No</t>
        </is>
      </c>
      <c r="AS339">
        <f>HYPERLINK("https://creighton-primo.hosted.exlibrisgroup.com/primo-explore/search?tab=default_tab&amp;search_scope=EVERYTHING&amp;vid=01CRU&amp;lang=en_US&amp;offset=0&amp;query=any,contains,991000223039702656","Catalog Record")</f>
        <v/>
      </c>
      <c r="AT339">
        <f>HYPERLINK("http://www.worldcat.org/oclc/9580372","WorldCat Record")</f>
        <v/>
      </c>
      <c r="AU339" t="inlineStr">
        <is>
          <t>104500672:eng</t>
        </is>
      </c>
      <c r="AV339" t="inlineStr">
        <is>
          <t>9580372</t>
        </is>
      </c>
      <c r="AW339" t="inlineStr">
        <is>
          <t>991000223039702656</t>
        </is>
      </c>
      <c r="AX339" t="inlineStr">
        <is>
          <t>991000223039702656</t>
        </is>
      </c>
      <c r="AY339" t="inlineStr">
        <is>
          <t>2262433960002656</t>
        </is>
      </c>
      <c r="AZ339" t="inlineStr">
        <is>
          <t>BOOK</t>
        </is>
      </c>
      <c r="BC339" t="inlineStr">
        <is>
          <t>32285001068815</t>
        </is>
      </c>
      <c r="BD339" t="inlineStr">
        <is>
          <t>893689546</t>
        </is>
      </c>
    </row>
    <row r="340">
      <c r="A340" t="inlineStr">
        <is>
          <t>No</t>
        </is>
      </c>
      <c r="B340" t="inlineStr">
        <is>
          <t>PS3052 .H6</t>
        </is>
      </c>
      <c r="C340" t="inlineStr">
        <is>
          <t>0                      PS 3052000H  6</t>
        </is>
      </c>
      <c r="D340" t="inlineStr">
        <is>
          <t>The literary manuscripts of Henry David Thoreau, by William L. Howarth.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Howarth, William L., 1940-</t>
        </is>
      </c>
      <c r="L340" t="inlineStr">
        <is>
          <t>[Columbus] Ohio State University Press [1974]</t>
        </is>
      </c>
      <c r="M340" t="inlineStr">
        <is>
          <t>1974</t>
        </is>
      </c>
      <c r="O340" t="inlineStr">
        <is>
          <t>eng</t>
        </is>
      </c>
      <c r="P340" t="inlineStr">
        <is>
          <t>ohu</t>
        </is>
      </c>
      <c r="Q340" t="inlineStr">
        <is>
          <t>Calendars of American literary manuscripts ; no. 3</t>
        </is>
      </c>
      <c r="R340" t="inlineStr">
        <is>
          <t xml:space="preserve">PS </t>
        </is>
      </c>
      <c r="S340" t="n">
        <v>2</v>
      </c>
      <c r="T340" t="n">
        <v>2</v>
      </c>
      <c r="U340" t="inlineStr">
        <is>
          <t>1998-03-04</t>
        </is>
      </c>
      <c r="V340" t="inlineStr">
        <is>
          <t>1998-03-04</t>
        </is>
      </c>
      <c r="W340" t="inlineStr">
        <is>
          <t>1997-05-22</t>
        </is>
      </c>
      <c r="X340" t="inlineStr">
        <is>
          <t>1997-05-22</t>
        </is>
      </c>
      <c r="Y340" t="n">
        <v>435</v>
      </c>
      <c r="Z340" t="n">
        <v>367</v>
      </c>
      <c r="AA340" t="n">
        <v>368</v>
      </c>
      <c r="AB340" t="n">
        <v>5</v>
      </c>
      <c r="AC340" t="n">
        <v>5</v>
      </c>
      <c r="AD340" t="n">
        <v>22</v>
      </c>
      <c r="AE340" t="n">
        <v>22</v>
      </c>
      <c r="AF340" t="n">
        <v>7</v>
      </c>
      <c r="AG340" t="n">
        <v>7</v>
      </c>
      <c r="AH340" t="n">
        <v>6</v>
      </c>
      <c r="AI340" t="n">
        <v>6</v>
      </c>
      <c r="AJ340" t="n">
        <v>10</v>
      </c>
      <c r="AK340" t="n">
        <v>10</v>
      </c>
      <c r="AL340" t="n">
        <v>4</v>
      </c>
      <c r="AM340" t="n">
        <v>4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HYPERLINK("http://catalog.hathitrust.org/Record/001187303","HathiTrust Record")</f>
        <v/>
      </c>
      <c r="AS340">
        <f>HYPERLINK("https://creighton-primo.hosted.exlibrisgroup.com/primo-explore/search?tab=default_tab&amp;search_scope=EVERYTHING&amp;vid=01CRU&amp;lang=en_US&amp;offset=0&amp;query=any,contains,991003383089702656","Catalog Record")</f>
        <v/>
      </c>
      <c r="AT340">
        <f>HYPERLINK("http://www.worldcat.org/oclc/920440","WorldCat Record")</f>
        <v/>
      </c>
      <c r="AU340" t="inlineStr">
        <is>
          <t>1864679:eng</t>
        </is>
      </c>
      <c r="AV340" t="inlineStr">
        <is>
          <t>920440</t>
        </is>
      </c>
      <c r="AW340" t="inlineStr">
        <is>
          <t>991003383089702656</t>
        </is>
      </c>
      <c r="AX340" t="inlineStr">
        <is>
          <t>991003383089702656</t>
        </is>
      </c>
      <c r="AY340" t="inlineStr">
        <is>
          <t>2272124690002656</t>
        </is>
      </c>
      <c r="AZ340" t="inlineStr">
        <is>
          <t>BOOK</t>
        </is>
      </c>
      <c r="BB340" t="inlineStr">
        <is>
          <t>9780814201794</t>
        </is>
      </c>
      <c r="BC340" t="inlineStr">
        <is>
          <t>32285002716693</t>
        </is>
      </c>
      <c r="BD340" t="inlineStr">
        <is>
          <t>893428737</t>
        </is>
      </c>
    </row>
    <row r="341">
      <c r="A341" t="inlineStr">
        <is>
          <t>No</t>
        </is>
      </c>
      <c r="B341" t="inlineStr">
        <is>
          <t>PS3053 .B33 1969</t>
        </is>
      </c>
      <c r="C341" t="inlineStr">
        <is>
          <t>0                      PS 3053000B  33          1969</t>
        </is>
      </c>
      <c r="D341" t="inlineStr">
        <is>
          <t>Henry Thoreau, bachelor of nature. Translated by Van Wyck Brooks.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Bazalgette, Léon, 1873-1928.</t>
        </is>
      </c>
      <c r="L341" t="inlineStr">
        <is>
          <t>Port Washington, N.Y., Kennikat Press [1969, c1925]</t>
        </is>
      </c>
      <c r="M341" t="inlineStr">
        <is>
          <t>1969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PS </t>
        </is>
      </c>
      <c r="S341" t="n">
        <v>2</v>
      </c>
      <c r="T341" t="n">
        <v>2</v>
      </c>
      <c r="U341" t="inlineStr">
        <is>
          <t>2004-11-23</t>
        </is>
      </c>
      <c r="V341" t="inlineStr">
        <is>
          <t>2004-11-23</t>
        </is>
      </c>
      <c r="W341" t="inlineStr">
        <is>
          <t>1997-05-22</t>
        </is>
      </c>
      <c r="X341" t="inlineStr">
        <is>
          <t>1997-05-22</t>
        </is>
      </c>
      <c r="Y341" t="n">
        <v>272</v>
      </c>
      <c r="Z341" t="n">
        <v>248</v>
      </c>
      <c r="AA341" t="n">
        <v>634</v>
      </c>
      <c r="AB341" t="n">
        <v>3</v>
      </c>
      <c r="AC341" t="n">
        <v>6</v>
      </c>
      <c r="AD341" t="n">
        <v>8</v>
      </c>
      <c r="AE341" t="n">
        <v>27</v>
      </c>
      <c r="AF341" t="n">
        <v>3</v>
      </c>
      <c r="AG341" t="n">
        <v>9</v>
      </c>
      <c r="AH341" t="n">
        <v>0</v>
      </c>
      <c r="AI341" t="n">
        <v>7</v>
      </c>
      <c r="AJ341" t="n">
        <v>3</v>
      </c>
      <c r="AK341" t="n">
        <v>13</v>
      </c>
      <c r="AL341" t="n">
        <v>2</v>
      </c>
      <c r="AM341" t="n">
        <v>5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HYPERLINK("https://creighton-primo.hosted.exlibrisgroup.com/primo-explore/search?tab=default_tab&amp;search_scope=EVERYTHING&amp;vid=01CRU&amp;lang=en_US&amp;offset=0&amp;query=any,contains,991000074329702656","Catalog Record")</f>
        <v/>
      </c>
      <c r="AT341">
        <f>HYPERLINK("http://www.worldcat.org/oclc/29398","WorldCat Record")</f>
        <v/>
      </c>
      <c r="AU341" t="inlineStr">
        <is>
          <t>1175289:eng</t>
        </is>
      </c>
      <c r="AV341" t="inlineStr">
        <is>
          <t>29398</t>
        </is>
      </c>
      <c r="AW341" t="inlineStr">
        <is>
          <t>991000074329702656</t>
        </is>
      </c>
      <c r="AX341" t="inlineStr">
        <is>
          <t>991000074329702656</t>
        </is>
      </c>
      <c r="AY341" t="inlineStr">
        <is>
          <t>2266346540002656</t>
        </is>
      </c>
      <c r="AZ341" t="inlineStr">
        <is>
          <t>BOOK</t>
        </is>
      </c>
      <c r="BB341" t="inlineStr">
        <is>
          <t>9780804606004</t>
        </is>
      </c>
      <c r="BC341" t="inlineStr">
        <is>
          <t>32285002716909</t>
        </is>
      </c>
      <c r="BD341" t="inlineStr">
        <is>
          <t>893425384</t>
        </is>
      </c>
    </row>
    <row r="342">
      <c r="A342" t="inlineStr">
        <is>
          <t>No</t>
        </is>
      </c>
      <c r="B342" t="inlineStr">
        <is>
          <t>PS3053 .B67 1992</t>
        </is>
      </c>
      <c r="C342" t="inlineStr">
        <is>
          <t>0                      PS 3053000B  67          1992</t>
        </is>
      </c>
      <c r="D342" t="inlineStr">
        <is>
          <t>The Thoreau log : a documentary life of Henry David Thoreau, 1817-1862 / [compiled by] Raymond R. Borst.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New York : G.K. Hall ; Toronto : Maxwell Macmillan Canada ; New York : Maxwell Macmillan International, c1992.</t>
        </is>
      </c>
      <c r="M342" t="inlineStr">
        <is>
          <t>1992</t>
        </is>
      </c>
      <c r="O342" t="inlineStr">
        <is>
          <t>eng</t>
        </is>
      </c>
      <c r="P342" t="inlineStr">
        <is>
          <t>nyu</t>
        </is>
      </c>
      <c r="Q342" t="inlineStr">
        <is>
          <t>American authors log series</t>
        </is>
      </c>
      <c r="R342" t="inlineStr">
        <is>
          <t xml:space="preserve">PS </t>
        </is>
      </c>
      <c r="S342" t="n">
        <v>2</v>
      </c>
      <c r="T342" t="n">
        <v>2</v>
      </c>
      <c r="U342" t="inlineStr">
        <is>
          <t>1998-03-04</t>
        </is>
      </c>
      <c r="V342" t="inlineStr">
        <is>
          <t>1998-03-04</t>
        </is>
      </c>
      <c r="W342" t="inlineStr">
        <is>
          <t>1996-04-15</t>
        </is>
      </c>
      <c r="X342" t="inlineStr">
        <is>
          <t>1996-04-15</t>
        </is>
      </c>
      <c r="Y342" t="n">
        <v>328</v>
      </c>
      <c r="Z342" t="n">
        <v>287</v>
      </c>
      <c r="AA342" t="n">
        <v>327</v>
      </c>
      <c r="AB342" t="n">
        <v>3</v>
      </c>
      <c r="AC342" t="n">
        <v>3</v>
      </c>
      <c r="AD342" t="n">
        <v>20</v>
      </c>
      <c r="AE342" t="n">
        <v>21</v>
      </c>
      <c r="AF342" t="n">
        <v>7</v>
      </c>
      <c r="AG342" t="n">
        <v>8</v>
      </c>
      <c r="AH342" t="n">
        <v>5</v>
      </c>
      <c r="AI342" t="n">
        <v>5</v>
      </c>
      <c r="AJ342" t="n">
        <v>13</v>
      </c>
      <c r="AK342" t="n">
        <v>13</v>
      </c>
      <c r="AL342" t="n">
        <v>2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HYPERLINK("http://catalog.hathitrust.org/Record/007110252","HathiTrust Record")</f>
        <v/>
      </c>
      <c r="AS342">
        <f>HYPERLINK("https://creighton-primo.hosted.exlibrisgroup.com/primo-explore/search?tab=default_tab&amp;search_scope=EVERYTHING&amp;vid=01CRU&amp;lang=en_US&amp;offset=0&amp;query=any,contains,991001934359702656","Catalog Record")</f>
        <v/>
      </c>
      <c r="AT342">
        <f>HYPERLINK("http://www.worldcat.org/oclc/24430180","WorldCat Record")</f>
        <v/>
      </c>
      <c r="AU342" t="inlineStr">
        <is>
          <t>810341533:eng</t>
        </is>
      </c>
      <c r="AV342" t="inlineStr">
        <is>
          <t>24430180</t>
        </is>
      </c>
      <c r="AW342" t="inlineStr">
        <is>
          <t>991001934359702656</t>
        </is>
      </c>
      <c r="AX342" t="inlineStr">
        <is>
          <t>991001934359702656</t>
        </is>
      </c>
      <c r="AY342" t="inlineStr">
        <is>
          <t>2267971630002656</t>
        </is>
      </c>
      <c r="AZ342" t="inlineStr">
        <is>
          <t>BOOK</t>
        </is>
      </c>
      <c r="BB342" t="inlineStr">
        <is>
          <t>9780816189854</t>
        </is>
      </c>
      <c r="BC342" t="inlineStr">
        <is>
          <t>32285002153061</t>
        </is>
      </c>
      <c r="BD342" t="inlineStr">
        <is>
          <t>893226246</t>
        </is>
      </c>
    </row>
    <row r="343">
      <c r="A343" t="inlineStr">
        <is>
          <t>No</t>
        </is>
      </c>
      <c r="B343" t="inlineStr">
        <is>
          <t>PS3053 .C6 1985</t>
        </is>
      </c>
      <c r="C343" t="inlineStr">
        <is>
          <t>0                      PS 3053000C  6           1985</t>
        </is>
      </c>
      <c r="D343" t="inlineStr">
        <is>
          <t>The Concord saunterer.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Cook, Reginald Lansing, 1903-1984.</t>
        </is>
      </c>
      <c r="L343" t="inlineStr">
        <is>
          <t>New York, N.Y. : AMS Press, [1985]</t>
        </is>
      </c>
      <c r="M343" t="inlineStr">
        <is>
          <t>1985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PS </t>
        </is>
      </c>
      <c r="S343" t="n">
        <v>3</v>
      </c>
      <c r="T343" t="n">
        <v>3</v>
      </c>
      <c r="U343" t="inlineStr">
        <is>
          <t>1998-05-06</t>
        </is>
      </c>
      <c r="V343" t="inlineStr">
        <is>
          <t>1998-05-06</t>
        </is>
      </c>
      <c r="W343" t="inlineStr">
        <is>
          <t>1990-11-01</t>
        </is>
      </c>
      <c r="X343" t="inlineStr">
        <is>
          <t>1990-11-01</t>
        </is>
      </c>
      <c r="Y343" t="n">
        <v>77</v>
      </c>
      <c r="Z343" t="n">
        <v>67</v>
      </c>
      <c r="AA343" t="n">
        <v>68</v>
      </c>
      <c r="AB343" t="n">
        <v>1</v>
      </c>
      <c r="AC343" t="n">
        <v>1</v>
      </c>
      <c r="AD343" t="n">
        <v>3</v>
      </c>
      <c r="AE343" t="n">
        <v>3</v>
      </c>
      <c r="AF343" t="n">
        <v>0</v>
      </c>
      <c r="AG343" t="n">
        <v>0</v>
      </c>
      <c r="AH343" t="n">
        <v>2</v>
      </c>
      <c r="AI343" t="n">
        <v>2</v>
      </c>
      <c r="AJ343" t="n">
        <v>3</v>
      </c>
      <c r="AK343" t="n">
        <v>3</v>
      </c>
      <c r="AL343" t="n">
        <v>0</v>
      </c>
      <c r="AM343" t="n">
        <v>0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HYPERLINK("https://creighton-primo.hosted.exlibrisgroup.com/primo-explore/search?tab=default_tab&amp;search_scope=EVERYTHING&amp;vid=01CRU&amp;lang=en_US&amp;offset=0&amp;query=any,contains,991000629579702656","Catalog Record")</f>
        <v/>
      </c>
      <c r="AT343">
        <f>HYPERLINK("http://www.worldcat.org/oclc/12051542","WorldCat Record")</f>
        <v/>
      </c>
      <c r="AU343" t="inlineStr">
        <is>
          <t>2070142550:eng</t>
        </is>
      </c>
      <c r="AV343" t="inlineStr">
        <is>
          <t>12051542</t>
        </is>
      </c>
      <c r="AW343" t="inlineStr">
        <is>
          <t>991000629579702656</t>
        </is>
      </c>
      <c r="AX343" t="inlineStr">
        <is>
          <t>991000629579702656</t>
        </is>
      </c>
      <c r="AY343" t="inlineStr">
        <is>
          <t>2266434250002656</t>
        </is>
      </c>
      <c r="AZ343" t="inlineStr">
        <is>
          <t>BOOK</t>
        </is>
      </c>
      <c r="BB343" t="inlineStr">
        <is>
          <t>9780404190521</t>
        </is>
      </c>
      <c r="BC343" t="inlineStr">
        <is>
          <t>32285000375278</t>
        </is>
      </c>
      <c r="BD343" t="inlineStr">
        <is>
          <t>893339734</t>
        </is>
      </c>
    </row>
    <row r="344">
      <c r="A344" t="inlineStr">
        <is>
          <t>No</t>
        </is>
      </c>
      <c r="B344" t="inlineStr">
        <is>
          <t>PS3053 .C65</t>
        </is>
      </c>
      <c r="C344" t="inlineStr">
        <is>
          <t>0                      PS 3053000C  65</t>
        </is>
      </c>
      <c r="D344" t="inlineStr">
        <is>
          <t>Thoreau.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Condry, William, 1918-1998.</t>
        </is>
      </c>
      <c r="L344" t="inlineStr">
        <is>
          <t>[New York] Philosophical Library [1954]</t>
        </is>
      </c>
      <c r="M344" t="inlineStr">
        <is>
          <t>1954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PS </t>
        </is>
      </c>
      <c r="S344" t="n">
        <v>1</v>
      </c>
      <c r="T344" t="n">
        <v>1</v>
      </c>
      <c r="U344" t="inlineStr">
        <is>
          <t>1999-02-05</t>
        </is>
      </c>
      <c r="V344" t="inlineStr">
        <is>
          <t>1999-02-05</t>
        </is>
      </c>
      <c r="W344" t="inlineStr">
        <is>
          <t>1997-05-22</t>
        </is>
      </c>
      <c r="X344" t="inlineStr">
        <is>
          <t>1997-05-22</t>
        </is>
      </c>
      <c r="Y344" t="n">
        <v>178</v>
      </c>
      <c r="Z344" t="n">
        <v>168</v>
      </c>
      <c r="AA344" t="n">
        <v>338</v>
      </c>
      <c r="AB344" t="n">
        <v>3</v>
      </c>
      <c r="AC344" t="n">
        <v>3</v>
      </c>
      <c r="AD344" t="n">
        <v>7</v>
      </c>
      <c r="AE344" t="n">
        <v>19</v>
      </c>
      <c r="AF344" t="n">
        <v>1</v>
      </c>
      <c r="AG344" t="n">
        <v>6</v>
      </c>
      <c r="AH344" t="n">
        <v>1</v>
      </c>
      <c r="AI344" t="n">
        <v>4</v>
      </c>
      <c r="AJ344" t="n">
        <v>3</v>
      </c>
      <c r="AK344" t="n">
        <v>10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R344">
        <f>HYPERLINK("http://catalog.hathitrust.org/Record/006677671","HathiTrust Record")</f>
        <v/>
      </c>
      <c r="AS344">
        <f>HYPERLINK("https://creighton-primo.hosted.exlibrisgroup.com/primo-explore/search?tab=default_tab&amp;search_scope=EVERYTHING&amp;vid=01CRU&amp;lang=en_US&amp;offset=0&amp;query=any,contains,991004241629702656","Catalog Record")</f>
        <v/>
      </c>
      <c r="AT344">
        <f>HYPERLINK("http://www.worldcat.org/oclc/2788262","WorldCat Record")</f>
        <v/>
      </c>
      <c r="AU344" t="inlineStr">
        <is>
          <t>103485067:eng</t>
        </is>
      </c>
      <c r="AV344" t="inlineStr">
        <is>
          <t>2788262</t>
        </is>
      </c>
      <c r="AW344" t="inlineStr">
        <is>
          <t>991004241629702656</t>
        </is>
      </c>
      <c r="AX344" t="inlineStr">
        <is>
          <t>991004241629702656</t>
        </is>
      </c>
      <c r="AY344" t="inlineStr">
        <is>
          <t>2267446860002656</t>
        </is>
      </c>
      <c r="AZ344" t="inlineStr">
        <is>
          <t>BOOK</t>
        </is>
      </c>
      <c r="BC344" t="inlineStr">
        <is>
          <t>32285002716925</t>
        </is>
      </c>
      <c r="BD344" t="inlineStr">
        <is>
          <t>893349779</t>
        </is>
      </c>
    </row>
    <row r="345">
      <c r="A345" t="inlineStr">
        <is>
          <t>No</t>
        </is>
      </c>
      <c r="B345" t="inlineStr">
        <is>
          <t>PS3053 .D4</t>
        </is>
      </c>
      <c r="C345" t="inlineStr">
        <is>
          <t>0                      PS 3053000D  4</t>
        </is>
      </c>
      <c r="D345" t="inlineStr">
        <is>
          <t>Concord rebel; a life of Henry D. Thoreau.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Derleth, August, 1909-1971.</t>
        </is>
      </c>
      <c r="L345" t="inlineStr">
        <is>
          <t>Philadelphia, Chilton Co., Book Division [1962]</t>
        </is>
      </c>
      <c r="M345" t="inlineStr">
        <is>
          <t>1962</t>
        </is>
      </c>
      <c r="N345" t="inlineStr">
        <is>
          <t>[1st ed.]</t>
        </is>
      </c>
      <c r="O345" t="inlineStr">
        <is>
          <t>eng</t>
        </is>
      </c>
      <c r="P345" t="inlineStr">
        <is>
          <t>pau</t>
        </is>
      </c>
      <c r="R345" t="inlineStr">
        <is>
          <t xml:space="preserve">PS </t>
        </is>
      </c>
      <c r="S345" t="n">
        <v>1</v>
      </c>
      <c r="T345" t="n">
        <v>1</v>
      </c>
      <c r="U345" t="inlineStr">
        <is>
          <t>1999-02-05</t>
        </is>
      </c>
      <c r="V345" t="inlineStr">
        <is>
          <t>1999-02-05</t>
        </is>
      </c>
      <c r="W345" t="inlineStr">
        <is>
          <t>1997-05-22</t>
        </is>
      </c>
      <c r="X345" t="inlineStr">
        <is>
          <t>1997-05-22</t>
        </is>
      </c>
      <c r="Y345" t="n">
        <v>1038</v>
      </c>
      <c r="Z345" t="n">
        <v>993</v>
      </c>
      <c r="AA345" t="n">
        <v>1045</v>
      </c>
      <c r="AB345" t="n">
        <v>5</v>
      </c>
      <c r="AC345" t="n">
        <v>6</v>
      </c>
      <c r="AD345" t="n">
        <v>20</v>
      </c>
      <c r="AE345" t="n">
        <v>24</v>
      </c>
      <c r="AF345" t="n">
        <v>6</v>
      </c>
      <c r="AG345" t="n">
        <v>8</v>
      </c>
      <c r="AH345" t="n">
        <v>6</v>
      </c>
      <c r="AI345" t="n">
        <v>8</v>
      </c>
      <c r="AJ345" t="n">
        <v>10</v>
      </c>
      <c r="AK345" t="n">
        <v>10</v>
      </c>
      <c r="AL345" t="n">
        <v>3</v>
      </c>
      <c r="AM345" t="n">
        <v>4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R345">
        <f>HYPERLINK("http://catalog.hathitrust.org/Record/001187295","HathiTrust Record")</f>
        <v/>
      </c>
      <c r="AS345">
        <f>HYPERLINK("https://creighton-primo.hosted.exlibrisgroup.com/primo-explore/search?tab=default_tab&amp;search_scope=EVERYTHING&amp;vid=01CRU&amp;lang=en_US&amp;offset=0&amp;query=any,contains,991002166969702656","Catalog Record")</f>
        <v/>
      </c>
      <c r="AT345">
        <f>HYPERLINK("http://www.worldcat.org/oclc/275635","WorldCat Record")</f>
        <v/>
      </c>
      <c r="AU345" t="inlineStr">
        <is>
          <t>10344942:eng</t>
        </is>
      </c>
      <c r="AV345" t="inlineStr">
        <is>
          <t>275635</t>
        </is>
      </c>
      <c r="AW345" t="inlineStr">
        <is>
          <t>991002166969702656</t>
        </is>
      </c>
      <c r="AX345" t="inlineStr">
        <is>
          <t>991002166969702656</t>
        </is>
      </c>
      <c r="AY345" t="inlineStr">
        <is>
          <t>2263373690002656</t>
        </is>
      </c>
      <c r="AZ345" t="inlineStr">
        <is>
          <t>BOOK</t>
        </is>
      </c>
      <c r="BC345" t="inlineStr">
        <is>
          <t>32285002716933</t>
        </is>
      </c>
      <c r="BD345" t="inlineStr">
        <is>
          <t>893335000</t>
        </is>
      </c>
    </row>
    <row r="346">
      <c r="A346" t="inlineStr">
        <is>
          <t>No</t>
        </is>
      </c>
      <c r="B346" t="inlineStr">
        <is>
          <t>PS3053 .H32 1980</t>
        </is>
      </c>
      <c r="C346" t="inlineStr">
        <is>
          <t>0                      PS 3053000H  32          1980</t>
        </is>
      </c>
      <c r="D346" t="inlineStr">
        <is>
          <t>The new Thoreau handbook / Walter Harding, Michael Meyer.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Harding, Walter, 1917-1996.</t>
        </is>
      </c>
      <c r="L346" t="inlineStr">
        <is>
          <t>New York : New York University Press, c1980.</t>
        </is>
      </c>
      <c r="M346" t="inlineStr">
        <is>
          <t>1980</t>
        </is>
      </c>
      <c r="O346" t="inlineStr">
        <is>
          <t>eng</t>
        </is>
      </c>
      <c r="P346" t="inlineStr">
        <is>
          <t>nyu</t>
        </is>
      </c>
      <c r="Q346" t="inlineStr">
        <is>
          <t>The Gotham library of the New York University Press</t>
        </is>
      </c>
      <c r="R346" t="inlineStr">
        <is>
          <t xml:space="preserve">PS </t>
        </is>
      </c>
      <c r="S346" t="n">
        <v>12</v>
      </c>
      <c r="T346" t="n">
        <v>12</v>
      </c>
      <c r="U346" t="inlineStr">
        <is>
          <t>2001-03-19</t>
        </is>
      </c>
      <c r="V346" t="inlineStr">
        <is>
          <t>2001-03-19</t>
        </is>
      </c>
      <c r="W346" t="inlineStr">
        <is>
          <t>1991-01-08</t>
        </is>
      </c>
      <c r="X346" t="inlineStr">
        <is>
          <t>1991-01-08</t>
        </is>
      </c>
      <c r="Y346" t="n">
        <v>896</v>
      </c>
      <c r="Z346" t="n">
        <v>799</v>
      </c>
      <c r="AA346" t="n">
        <v>802</v>
      </c>
      <c r="AB346" t="n">
        <v>7</v>
      </c>
      <c r="AC346" t="n">
        <v>7</v>
      </c>
      <c r="AD346" t="n">
        <v>30</v>
      </c>
      <c r="AE346" t="n">
        <v>30</v>
      </c>
      <c r="AF346" t="n">
        <v>10</v>
      </c>
      <c r="AG346" t="n">
        <v>10</v>
      </c>
      <c r="AH346" t="n">
        <v>8</v>
      </c>
      <c r="AI346" t="n">
        <v>8</v>
      </c>
      <c r="AJ346" t="n">
        <v>17</v>
      </c>
      <c r="AK346" t="n">
        <v>17</v>
      </c>
      <c r="AL346" t="n">
        <v>5</v>
      </c>
      <c r="AM346" t="n">
        <v>5</v>
      </c>
      <c r="AN346" t="n">
        <v>0</v>
      </c>
      <c r="AO346" t="n">
        <v>0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HYPERLINK("https://creighton-primo.hosted.exlibrisgroup.com/primo-explore/search?tab=default_tab&amp;search_scope=EVERYTHING&amp;vid=01CRU&amp;lang=en_US&amp;offset=0&amp;query=any,contains,991004847159702656","Catalog Record")</f>
        <v/>
      </c>
      <c r="AT346">
        <f>HYPERLINK("http://www.worldcat.org/oclc/5565221","WorldCat Record")</f>
        <v/>
      </c>
      <c r="AU346" t="inlineStr">
        <is>
          <t>3856027813:eng</t>
        </is>
      </c>
      <c r="AV346" t="inlineStr">
        <is>
          <t>5565221</t>
        </is>
      </c>
      <c r="AW346" t="inlineStr">
        <is>
          <t>991004847159702656</t>
        </is>
      </c>
      <c r="AX346" t="inlineStr">
        <is>
          <t>991004847159702656</t>
        </is>
      </c>
      <c r="AY346" t="inlineStr">
        <is>
          <t>2268310880002656</t>
        </is>
      </c>
      <c r="AZ346" t="inlineStr">
        <is>
          <t>BOOK</t>
        </is>
      </c>
      <c r="BB346" t="inlineStr">
        <is>
          <t>9780814734018</t>
        </is>
      </c>
      <c r="BC346" t="inlineStr">
        <is>
          <t>32285000454818</t>
        </is>
      </c>
      <c r="BD346" t="inlineStr">
        <is>
          <t>893446421</t>
        </is>
      </c>
    </row>
    <row r="347">
      <c r="A347" t="inlineStr">
        <is>
          <t>No</t>
        </is>
      </c>
      <c r="B347" t="inlineStr">
        <is>
          <t>PS3053 .T55 1983</t>
        </is>
      </c>
      <c r="C347" t="inlineStr">
        <is>
          <t>0                      PS 3053000T  55          1983</t>
        </is>
      </c>
      <c r="D347" t="inlineStr">
        <is>
          <t>Thoreau's psychology : eight essays / edited by Raymond D. Gozzi.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Lanham, MD : University Press of America, c1983.</t>
        </is>
      </c>
      <c r="M347" t="inlineStr">
        <is>
          <t>1983</t>
        </is>
      </c>
      <c r="O347" t="inlineStr">
        <is>
          <t>eng</t>
        </is>
      </c>
      <c r="P347" t="inlineStr">
        <is>
          <t>mdu</t>
        </is>
      </c>
      <c r="R347" t="inlineStr">
        <is>
          <t xml:space="preserve">PS </t>
        </is>
      </c>
      <c r="S347" t="n">
        <v>7</v>
      </c>
      <c r="T347" t="n">
        <v>7</v>
      </c>
      <c r="U347" t="inlineStr">
        <is>
          <t>2001-04-27</t>
        </is>
      </c>
      <c r="V347" t="inlineStr">
        <is>
          <t>2001-04-27</t>
        </is>
      </c>
      <c r="W347" t="inlineStr">
        <is>
          <t>1997-09-11</t>
        </is>
      </c>
      <c r="X347" t="inlineStr">
        <is>
          <t>1997-09-11</t>
        </is>
      </c>
      <c r="Y347" t="n">
        <v>236</v>
      </c>
      <c r="Z347" t="n">
        <v>198</v>
      </c>
      <c r="AA347" t="n">
        <v>199</v>
      </c>
      <c r="AB347" t="n">
        <v>2</v>
      </c>
      <c r="AC347" t="n">
        <v>2</v>
      </c>
      <c r="AD347" t="n">
        <v>10</v>
      </c>
      <c r="AE347" t="n">
        <v>10</v>
      </c>
      <c r="AF347" t="n">
        <v>2</v>
      </c>
      <c r="AG347" t="n">
        <v>2</v>
      </c>
      <c r="AH347" t="n">
        <v>2</v>
      </c>
      <c r="AI347" t="n">
        <v>2</v>
      </c>
      <c r="AJ347" t="n">
        <v>7</v>
      </c>
      <c r="AK347" t="n">
        <v>7</v>
      </c>
      <c r="AL347" t="n">
        <v>1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HYPERLINK("http://catalog.hathitrust.org/Record/007103656","HathiTrust Record")</f>
        <v/>
      </c>
      <c r="AS347">
        <f>HYPERLINK("https://creighton-primo.hosted.exlibrisgroup.com/primo-explore/search?tab=default_tab&amp;search_scope=EVERYTHING&amp;vid=01CRU&amp;lang=en_US&amp;offset=0&amp;query=any,contains,991000205309702656","Catalog Record")</f>
        <v/>
      </c>
      <c r="AT347">
        <f>HYPERLINK("http://www.worldcat.org/oclc/9488729","WorldCat Record")</f>
        <v/>
      </c>
      <c r="AU347" t="inlineStr">
        <is>
          <t>836723873:eng</t>
        </is>
      </c>
      <c r="AV347" t="inlineStr">
        <is>
          <t>9488729</t>
        </is>
      </c>
      <c r="AW347" t="inlineStr">
        <is>
          <t>991000205309702656</t>
        </is>
      </c>
      <c r="AX347" t="inlineStr">
        <is>
          <t>991000205309702656</t>
        </is>
      </c>
      <c r="AY347" t="inlineStr">
        <is>
          <t>2259145880002656</t>
        </is>
      </c>
      <c r="AZ347" t="inlineStr">
        <is>
          <t>BOOK</t>
        </is>
      </c>
      <c r="BB347" t="inlineStr">
        <is>
          <t>9780819132628</t>
        </is>
      </c>
      <c r="BC347" t="inlineStr">
        <is>
          <t>32285000375344</t>
        </is>
      </c>
      <c r="BD347" t="inlineStr">
        <is>
          <t>893339384</t>
        </is>
      </c>
    </row>
    <row r="348">
      <c r="A348" t="inlineStr">
        <is>
          <t>No</t>
        </is>
      </c>
      <c r="B348" t="inlineStr">
        <is>
          <t>PS3053 .W26</t>
        </is>
      </c>
      <c r="C348" t="inlineStr">
        <is>
          <t>0                      PS 3053000W  26</t>
        </is>
      </c>
      <c r="D348" t="inlineStr">
        <is>
          <t>Henry David Thoreau, what manner of man? / By Edward Wagenknecht.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Wagenknecht, Edward, 1900-2004.</t>
        </is>
      </c>
      <c r="L348" t="inlineStr">
        <is>
          <t>Amherst : University of Massachusetts Press, 1981.</t>
        </is>
      </c>
      <c r="M348" t="inlineStr">
        <is>
          <t>1981</t>
        </is>
      </c>
      <c r="O348" t="inlineStr">
        <is>
          <t>eng</t>
        </is>
      </c>
      <c r="P348" t="inlineStr">
        <is>
          <t>mau</t>
        </is>
      </c>
      <c r="Q348" t="inlineStr">
        <is>
          <t>New England writers series</t>
        </is>
      </c>
      <c r="R348" t="inlineStr">
        <is>
          <t xml:space="preserve">PS </t>
        </is>
      </c>
      <c r="S348" t="n">
        <v>3</v>
      </c>
      <c r="T348" t="n">
        <v>3</v>
      </c>
      <c r="U348" t="inlineStr">
        <is>
          <t>1999-02-05</t>
        </is>
      </c>
      <c r="V348" t="inlineStr">
        <is>
          <t>1999-02-05</t>
        </is>
      </c>
      <c r="W348" t="inlineStr">
        <is>
          <t>1990-11-01</t>
        </is>
      </c>
      <c r="X348" t="inlineStr">
        <is>
          <t>1990-11-01</t>
        </is>
      </c>
      <c r="Y348" t="n">
        <v>942</v>
      </c>
      <c r="Z348" t="n">
        <v>852</v>
      </c>
      <c r="AA348" t="n">
        <v>863</v>
      </c>
      <c r="AB348" t="n">
        <v>8</v>
      </c>
      <c r="AC348" t="n">
        <v>8</v>
      </c>
      <c r="AD348" t="n">
        <v>34</v>
      </c>
      <c r="AE348" t="n">
        <v>34</v>
      </c>
      <c r="AF348" t="n">
        <v>15</v>
      </c>
      <c r="AG348" t="n">
        <v>15</v>
      </c>
      <c r="AH348" t="n">
        <v>8</v>
      </c>
      <c r="AI348" t="n">
        <v>8</v>
      </c>
      <c r="AJ348" t="n">
        <v>15</v>
      </c>
      <c r="AK348" t="n">
        <v>15</v>
      </c>
      <c r="AL348" t="n">
        <v>5</v>
      </c>
      <c r="AM348" t="n">
        <v>5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HYPERLINK("http://catalog.hathitrust.org/Record/000730504","HathiTrust Record")</f>
        <v/>
      </c>
      <c r="AS348">
        <f>HYPERLINK("https://creighton-primo.hosted.exlibrisgroup.com/primo-explore/search?tab=default_tab&amp;search_scope=EVERYTHING&amp;vid=01CRU&amp;lang=en_US&amp;offset=0&amp;query=any,contains,991005029689702656","Catalog Record")</f>
        <v/>
      </c>
      <c r="AT348">
        <f>HYPERLINK("http://www.worldcat.org/oclc/6709021","WorldCat Record")</f>
        <v/>
      </c>
      <c r="AU348" t="inlineStr">
        <is>
          <t>514628:eng</t>
        </is>
      </c>
      <c r="AV348" t="inlineStr">
        <is>
          <t>6709021</t>
        </is>
      </c>
      <c r="AW348" t="inlineStr">
        <is>
          <t>991005029689702656</t>
        </is>
      </c>
      <c r="AX348" t="inlineStr">
        <is>
          <t>991005029689702656</t>
        </is>
      </c>
      <c r="AY348" t="inlineStr">
        <is>
          <t>2256552390002656</t>
        </is>
      </c>
      <c r="AZ348" t="inlineStr">
        <is>
          <t>BOOK</t>
        </is>
      </c>
      <c r="BB348" t="inlineStr">
        <is>
          <t>9780870231360</t>
        </is>
      </c>
      <c r="BC348" t="inlineStr">
        <is>
          <t>32285000375369</t>
        </is>
      </c>
      <c r="BD348" t="inlineStr">
        <is>
          <t>893332297</t>
        </is>
      </c>
    </row>
    <row r="349">
      <c r="A349" t="inlineStr">
        <is>
          <t>No</t>
        </is>
      </c>
      <c r="B349" t="inlineStr">
        <is>
          <t>PS3054 .F6</t>
        </is>
      </c>
      <c r="C349" t="inlineStr">
        <is>
          <t>0                      PS 3054000F  6</t>
        </is>
      </c>
      <c r="D349" t="inlineStr">
        <is>
          <t>The poetry of Henry David Thoreau, by Arthur L. Ford.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Ford, Arthur Lewis, 1937-</t>
        </is>
      </c>
      <c r="L349" t="inlineStr">
        <is>
          <t>Hartford, Transcendental Books [1970]</t>
        </is>
      </c>
      <c r="M349" t="inlineStr">
        <is>
          <t>1970</t>
        </is>
      </c>
      <c r="O349" t="inlineStr">
        <is>
          <t>eng</t>
        </is>
      </c>
      <c r="P349" t="inlineStr">
        <is>
          <t>ctu</t>
        </is>
      </c>
      <c r="R349" t="inlineStr">
        <is>
          <t xml:space="preserve">PS </t>
        </is>
      </c>
      <c r="S349" t="n">
        <v>2</v>
      </c>
      <c r="T349" t="n">
        <v>2</v>
      </c>
      <c r="U349" t="inlineStr">
        <is>
          <t>1994-03-03</t>
        </is>
      </c>
      <c r="V349" t="inlineStr">
        <is>
          <t>1994-03-03</t>
        </is>
      </c>
      <c r="W349" t="inlineStr">
        <is>
          <t>1990-11-01</t>
        </is>
      </c>
      <c r="X349" t="inlineStr">
        <is>
          <t>1990-11-01</t>
        </is>
      </c>
      <c r="Y349" t="n">
        <v>216</v>
      </c>
      <c r="Z349" t="n">
        <v>188</v>
      </c>
      <c r="AA349" t="n">
        <v>191</v>
      </c>
      <c r="AB349" t="n">
        <v>4</v>
      </c>
      <c r="AC349" t="n">
        <v>4</v>
      </c>
      <c r="AD349" t="n">
        <v>10</v>
      </c>
      <c r="AE349" t="n">
        <v>10</v>
      </c>
      <c r="AF349" t="n">
        <v>3</v>
      </c>
      <c r="AG349" t="n">
        <v>3</v>
      </c>
      <c r="AH349" t="n">
        <v>1</v>
      </c>
      <c r="AI349" t="n">
        <v>1</v>
      </c>
      <c r="AJ349" t="n">
        <v>4</v>
      </c>
      <c r="AK349" t="n">
        <v>4</v>
      </c>
      <c r="AL349" t="n">
        <v>3</v>
      </c>
      <c r="AM349" t="n">
        <v>3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HYPERLINK("http://catalog.hathitrust.org/Record/001187298","HathiTrust Record")</f>
        <v/>
      </c>
      <c r="AS349">
        <f>HYPERLINK("https://creighton-primo.hosted.exlibrisgroup.com/primo-explore/search?tab=default_tab&amp;search_scope=EVERYTHING&amp;vid=01CRU&amp;lang=en_US&amp;offset=0&amp;query=any,contains,991000656259702656","Catalog Record")</f>
        <v/>
      </c>
      <c r="AT349">
        <f>HYPERLINK("http://www.worldcat.org/oclc/115409","WorldCat Record")</f>
        <v/>
      </c>
      <c r="AU349" t="inlineStr">
        <is>
          <t>1232368:eng</t>
        </is>
      </c>
      <c r="AV349" t="inlineStr">
        <is>
          <t>115409</t>
        </is>
      </c>
      <c r="AW349" t="inlineStr">
        <is>
          <t>991000656259702656</t>
        </is>
      </c>
      <c r="AX349" t="inlineStr">
        <is>
          <t>991000656259702656</t>
        </is>
      </c>
      <c r="AY349" t="inlineStr">
        <is>
          <t>2259988800002656</t>
        </is>
      </c>
      <c r="AZ349" t="inlineStr">
        <is>
          <t>BOOK</t>
        </is>
      </c>
      <c r="BC349" t="inlineStr">
        <is>
          <t>32285000375401</t>
        </is>
      </c>
      <c r="BD349" t="inlineStr">
        <is>
          <t>893802973</t>
        </is>
      </c>
    </row>
    <row r="350">
      <c r="A350" t="inlineStr">
        <is>
          <t>No</t>
        </is>
      </c>
      <c r="B350" t="inlineStr">
        <is>
          <t>PS3054 .M4 1968</t>
        </is>
      </c>
      <c r="C350" t="inlineStr">
        <is>
          <t>0                      PS 3054000M  4           1968</t>
        </is>
      </c>
      <c r="D350" t="inlineStr">
        <is>
          <t>Thoreau and Whitman; a study of their esthetics, by Charles R. Metzger.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Metzger, Charles Reid, 1921-</t>
        </is>
      </c>
      <c r="L350" t="inlineStr">
        <is>
          <t>[Hamden, Conn.] Archon Books, 1968 [c1961]</t>
        </is>
      </c>
      <c r="M350" t="inlineStr">
        <is>
          <t>1968</t>
        </is>
      </c>
      <c r="O350" t="inlineStr">
        <is>
          <t>eng</t>
        </is>
      </c>
      <c r="P350" t="inlineStr">
        <is>
          <t>ctu</t>
        </is>
      </c>
      <c r="R350" t="inlineStr">
        <is>
          <t xml:space="preserve">PS </t>
        </is>
      </c>
      <c r="S350" t="n">
        <v>3</v>
      </c>
      <c r="T350" t="n">
        <v>3</v>
      </c>
      <c r="U350" t="inlineStr">
        <is>
          <t>2001-02-17</t>
        </is>
      </c>
      <c r="V350" t="inlineStr">
        <is>
          <t>2001-02-17</t>
        </is>
      </c>
      <c r="W350" t="inlineStr">
        <is>
          <t>1997-05-22</t>
        </is>
      </c>
      <c r="X350" t="inlineStr">
        <is>
          <t>1997-05-22</t>
        </is>
      </c>
      <c r="Y350" t="n">
        <v>357</v>
      </c>
      <c r="Z350" t="n">
        <v>306</v>
      </c>
      <c r="AA350" t="n">
        <v>697</v>
      </c>
      <c r="AB350" t="n">
        <v>2</v>
      </c>
      <c r="AC350" t="n">
        <v>6</v>
      </c>
      <c r="AD350" t="n">
        <v>9</v>
      </c>
      <c r="AE350" t="n">
        <v>36</v>
      </c>
      <c r="AF350" t="n">
        <v>4</v>
      </c>
      <c r="AG350" t="n">
        <v>17</v>
      </c>
      <c r="AH350" t="n">
        <v>1</v>
      </c>
      <c r="AI350" t="n">
        <v>5</v>
      </c>
      <c r="AJ350" t="n">
        <v>4</v>
      </c>
      <c r="AK350" t="n">
        <v>19</v>
      </c>
      <c r="AL350" t="n">
        <v>1</v>
      </c>
      <c r="AM350" t="n">
        <v>4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HYPERLINK("https://creighton-primo.hosted.exlibrisgroup.com/primo-explore/search?tab=default_tab&amp;search_scope=EVERYTHING&amp;vid=01CRU&amp;lang=en_US&amp;offset=0&amp;query=any,contains,991002802959702656","Catalog Record")</f>
        <v/>
      </c>
      <c r="AT350">
        <f>HYPERLINK("http://www.worldcat.org/oclc/448370","WorldCat Record")</f>
        <v/>
      </c>
      <c r="AU350" t="inlineStr">
        <is>
          <t>2602409:eng</t>
        </is>
      </c>
      <c r="AV350" t="inlineStr">
        <is>
          <t>448370</t>
        </is>
      </c>
      <c r="AW350" t="inlineStr">
        <is>
          <t>991002802959702656</t>
        </is>
      </c>
      <c r="AX350" t="inlineStr">
        <is>
          <t>991002802959702656</t>
        </is>
      </c>
      <c r="AY350" t="inlineStr">
        <is>
          <t>2266598620002656</t>
        </is>
      </c>
      <c r="AZ350" t="inlineStr">
        <is>
          <t>BOOK</t>
        </is>
      </c>
      <c r="BB350" t="inlineStr">
        <is>
          <t>9780208006912</t>
        </is>
      </c>
      <c r="BC350" t="inlineStr">
        <is>
          <t>32285002716990</t>
        </is>
      </c>
      <c r="BD350" t="inlineStr">
        <is>
          <t>893604055</t>
        </is>
      </c>
    </row>
    <row r="351">
      <c r="A351" t="inlineStr">
        <is>
          <t>No</t>
        </is>
      </c>
      <c r="B351" t="inlineStr">
        <is>
          <t>PS3056 .C3</t>
        </is>
      </c>
      <c r="C351" t="inlineStr">
        <is>
          <t>0                      PS 3056000C  3</t>
        </is>
      </c>
      <c r="D351" t="inlineStr">
        <is>
          <t>Transcendental apprenticeship : notes on young Henry Thoreau's reading : a contexture with a researcher's index / by Kenneth Walter Cameron.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Cameron, Kenneth Walter, 1908-2006.</t>
        </is>
      </c>
      <c r="L351" t="inlineStr">
        <is>
          <t>Hartford : Transcendental Books, c1976.</t>
        </is>
      </c>
      <c r="M351" t="inlineStr">
        <is>
          <t>1976</t>
        </is>
      </c>
      <c r="O351" t="inlineStr">
        <is>
          <t>eng</t>
        </is>
      </c>
      <c r="P351" t="inlineStr">
        <is>
          <t>ctu</t>
        </is>
      </c>
      <c r="R351" t="inlineStr">
        <is>
          <t xml:space="preserve">PS </t>
        </is>
      </c>
      <c r="S351" t="n">
        <v>2</v>
      </c>
      <c r="T351" t="n">
        <v>2</v>
      </c>
      <c r="U351" t="inlineStr">
        <is>
          <t>1998-03-04</t>
        </is>
      </c>
      <c r="V351" t="inlineStr">
        <is>
          <t>1998-03-04</t>
        </is>
      </c>
      <c r="W351" t="inlineStr">
        <is>
          <t>1992-01-24</t>
        </is>
      </c>
      <c r="X351" t="inlineStr">
        <is>
          <t>1992-01-24</t>
        </is>
      </c>
      <c r="Y351" t="n">
        <v>167</v>
      </c>
      <c r="Z351" t="n">
        <v>155</v>
      </c>
      <c r="AA351" t="n">
        <v>156</v>
      </c>
      <c r="AB351" t="n">
        <v>2</v>
      </c>
      <c r="AC351" t="n">
        <v>2</v>
      </c>
      <c r="AD351" t="n">
        <v>9</v>
      </c>
      <c r="AE351" t="n">
        <v>9</v>
      </c>
      <c r="AF351" t="n">
        <v>3</v>
      </c>
      <c r="AG351" t="n">
        <v>3</v>
      </c>
      <c r="AH351" t="n">
        <v>4</v>
      </c>
      <c r="AI351" t="n">
        <v>4</v>
      </c>
      <c r="AJ351" t="n">
        <v>4</v>
      </c>
      <c r="AK351" t="n">
        <v>4</v>
      </c>
      <c r="AL351" t="n">
        <v>1</v>
      </c>
      <c r="AM351" t="n">
        <v>1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HYPERLINK("https://creighton-primo.hosted.exlibrisgroup.com/primo-explore/search?tab=default_tab&amp;search_scope=EVERYTHING&amp;vid=01CRU&amp;lang=en_US&amp;offset=0&amp;query=any,contains,991004114399702656","Catalog Record")</f>
        <v/>
      </c>
      <c r="AT351">
        <f>HYPERLINK("http://www.worldcat.org/oclc/2407325","WorldCat Record")</f>
        <v/>
      </c>
      <c r="AU351" t="inlineStr">
        <is>
          <t>815030255:eng</t>
        </is>
      </c>
      <c r="AV351" t="inlineStr">
        <is>
          <t>2407325</t>
        </is>
      </c>
      <c r="AW351" t="inlineStr">
        <is>
          <t>991004114399702656</t>
        </is>
      </c>
      <c r="AX351" t="inlineStr">
        <is>
          <t>991004114399702656</t>
        </is>
      </c>
      <c r="AY351" t="inlineStr">
        <is>
          <t>2270295330002656</t>
        </is>
      </c>
      <c r="AZ351" t="inlineStr">
        <is>
          <t>BOOK</t>
        </is>
      </c>
      <c r="BC351" t="inlineStr">
        <is>
          <t>32285000918101</t>
        </is>
      </c>
      <c r="BD351" t="inlineStr">
        <is>
          <t>893531995</t>
        </is>
      </c>
    </row>
    <row r="352">
      <c r="A352" t="inlineStr">
        <is>
          <t>No</t>
        </is>
      </c>
      <c r="B352" t="inlineStr">
        <is>
          <t>PS3057.F64 R63 1985</t>
        </is>
      </c>
      <c r="C352" t="inlineStr">
        <is>
          <t>0                      PS 3057000F  64                 R  63          1985</t>
        </is>
      </c>
      <c r="D352" t="inlineStr">
        <is>
          <t>Thoreau and the wild appetite.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Robinson, Kenneth Allan.</t>
        </is>
      </c>
      <c r="L352" t="inlineStr">
        <is>
          <t>New York, N.Y. : AMS Press, [1985]</t>
        </is>
      </c>
      <c r="M352" t="inlineStr">
        <is>
          <t>1985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PS </t>
        </is>
      </c>
      <c r="S352" t="n">
        <v>7</v>
      </c>
      <c r="T352" t="n">
        <v>7</v>
      </c>
      <c r="U352" t="inlineStr">
        <is>
          <t>2001-02-17</t>
        </is>
      </c>
      <c r="V352" t="inlineStr">
        <is>
          <t>2001-02-17</t>
        </is>
      </c>
      <c r="W352" t="inlineStr">
        <is>
          <t>1991-01-08</t>
        </is>
      </c>
      <c r="X352" t="inlineStr">
        <is>
          <t>1991-01-08</t>
        </is>
      </c>
      <c r="Y352" t="n">
        <v>70</v>
      </c>
      <c r="Z352" t="n">
        <v>61</v>
      </c>
      <c r="AA352" t="n">
        <v>409</v>
      </c>
      <c r="AB352" t="n">
        <v>1</v>
      </c>
      <c r="AC352" t="n">
        <v>2</v>
      </c>
      <c r="AD352" t="n">
        <v>2</v>
      </c>
      <c r="AE352" t="n">
        <v>16</v>
      </c>
      <c r="AF352" t="n">
        <v>0</v>
      </c>
      <c r="AG352" t="n">
        <v>9</v>
      </c>
      <c r="AH352" t="n">
        <v>1</v>
      </c>
      <c r="AI352" t="n">
        <v>6</v>
      </c>
      <c r="AJ352" t="n">
        <v>2</v>
      </c>
      <c r="AK352" t="n">
        <v>5</v>
      </c>
      <c r="AL352" t="n">
        <v>0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HYPERLINK("https://creighton-primo.hosted.exlibrisgroup.com/primo-explore/search?tab=default_tab&amp;search_scope=EVERYTHING&amp;vid=01CRU&amp;lang=en_US&amp;offset=0&amp;query=any,contains,991000630689702656","Catalog Record")</f>
        <v/>
      </c>
      <c r="AT352">
        <f>HYPERLINK("http://www.worldcat.org/oclc/12052240","WorldCat Record")</f>
        <v/>
      </c>
      <c r="AU352" t="inlineStr">
        <is>
          <t>2266989:eng</t>
        </is>
      </c>
      <c r="AV352" t="inlineStr">
        <is>
          <t>12052240</t>
        </is>
      </c>
      <c r="AW352" t="inlineStr">
        <is>
          <t>991000630689702656</t>
        </is>
      </c>
      <c r="AX352" t="inlineStr">
        <is>
          <t>991000630689702656</t>
        </is>
      </c>
      <c r="AY352" t="inlineStr">
        <is>
          <t>2258230720002656</t>
        </is>
      </c>
      <c r="AZ352" t="inlineStr">
        <is>
          <t>BOOK</t>
        </is>
      </c>
      <c r="BB352" t="inlineStr">
        <is>
          <t>9780404190798</t>
        </is>
      </c>
      <c r="BC352" t="inlineStr">
        <is>
          <t>32285000454834</t>
        </is>
      </c>
      <c r="BD352" t="inlineStr">
        <is>
          <t>893438449</t>
        </is>
      </c>
    </row>
    <row r="353">
      <c r="A353" t="inlineStr">
        <is>
          <t>No</t>
        </is>
      </c>
      <c r="B353" t="inlineStr">
        <is>
          <t>PS3057.L55 S4</t>
        </is>
      </c>
      <c r="C353" t="inlineStr">
        <is>
          <t>0                      PS 3057000L  55                 S  4</t>
        </is>
      </c>
      <c r="D353" t="inlineStr">
        <is>
          <t>Thoreau : the quest and the classics.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Seybold, Ethel.</t>
        </is>
      </c>
      <c r="L353" t="inlineStr">
        <is>
          <t>New Haven : Yale University Press, 1951.</t>
        </is>
      </c>
      <c r="M353" t="inlineStr">
        <is>
          <t>1951</t>
        </is>
      </c>
      <c r="O353" t="inlineStr">
        <is>
          <t>eng</t>
        </is>
      </c>
      <c r="P353" t="inlineStr">
        <is>
          <t>ctu</t>
        </is>
      </c>
      <c r="Q353" t="inlineStr">
        <is>
          <t>Yale studies in English ; v. 116</t>
        </is>
      </c>
      <c r="R353" t="inlineStr">
        <is>
          <t xml:space="preserve">PS </t>
        </is>
      </c>
      <c r="S353" t="n">
        <v>5</v>
      </c>
      <c r="T353" t="n">
        <v>5</v>
      </c>
      <c r="U353" t="inlineStr">
        <is>
          <t>2001-08-30</t>
        </is>
      </c>
      <c r="V353" t="inlineStr">
        <is>
          <t>2001-08-30</t>
        </is>
      </c>
      <c r="W353" t="inlineStr">
        <is>
          <t>1990-09-14</t>
        </is>
      </c>
      <c r="X353" t="inlineStr">
        <is>
          <t>1990-09-14</t>
        </is>
      </c>
      <c r="Y353" t="n">
        <v>586</v>
      </c>
      <c r="Z353" t="n">
        <v>511</v>
      </c>
      <c r="AA353" t="n">
        <v>653</v>
      </c>
      <c r="AB353" t="n">
        <v>8</v>
      </c>
      <c r="AC353" t="n">
        <v>8</v>
      </c>
      <c r="AD353" t="n">
        <v>34</v>
      </c>
      <c r="AE353" t="n">
        <v>40</v>
      </c>
      <c r="AF353" t="n">
        <v>12</v>
      </c>
      <c r="AG353" t="n">
        <v>18</v>
      </c>
      <c r="AH353" t="n">
        <v>6</v>
      </c>
      <c r="AI353" t="n">
        <v>6</v>
      </c>
      <c r="AJ353" t="n">
        <v>17</v>
      </c>
      <c r="AK353" t="n">
        <v>18</v>
      </c>
      <c r="AL353" t="n">
        <v>7</v>
      </c>
      <c r="AM353" t="n">
        <v>7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HYPERLINK("https://creighton-primo.hosted.exlibrisgroup.com/primo-explore/search?tab=default_tab&amp;search_scope=EVERYTHING&amp;vid=01CRU&amp;lang=en_US&amp;offset=0&amp;query=any,contains,991001139129702656","Catalog Record")</f>
        <v/>
      </c>
      <c r="AT353">
        <f>HYPERLINK("http://www.worldcat.org/oclc/1335586","WorldCat Record")</f>
        <v/>
      </c>
      <c r="AU353" t="inlineStr">
        <is>
          <t>376558803:eng</t>
        </is>
      </c>
      <c r="AV353" t="inlineStr">
        <is>
          <t>1335586</t>
        </is>
      </c>
      <c r="AW353" t="inlineStr">
        <is>
          <t>991001139129702656</t>
        </is>
      </c>
      <c r="AX353" t="inlineStr">
        <is>
          <t>991001139129702656</t>
        </is>
      </c>
      <c r="AY353" t="inlineStr">
        <is>
          <t>2270794510002656</t>
        </is>
      </c>
      <c r="AZ353" t="inlineStr">
        <is>
          <t>BOOK</t>
        </is>
      </c>
      <c r="BC353" t="inlineStr">
        <is>
          <t>32285000303791</t>
        </is>
      </c>
      <c r="BD353" t="inlineStr">
        <is>
          <t>893522322</t>
        </is>
      </c>
    </row>
    <row r="354">
      <c r="A354" t="inlineStr">
        <is>
          <t>No</t>
        </is>
      </c>
      <c r="B354" t="inlineStr">
        <is>
          <t>PS3057.N3 C6</t>
        </is>
      </c>
      <c r="C354" t="inlineStr">
        <is>
          <t>0                      PS 3057000N  3                  C  6</t>
        </is>
      </c>
      <c r="D354" t="inlineStr">
        <is>
          <t>Passage to Walden.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Cook, Reginald Lansing, 1903-1984.</t>
        </is>
      </c>
      <c r="L354" t="inlineStr">
        <is>
          <t>Boston : Houghton Mifflin Co., 1949.</t>
        </is>
      </c>
      <c r="M354" t="inlineStr">
        <is>
          <t>1949</t>
        </is>
      </c>
      <c r="O354" t="inlineStr">
        <is>
          <t>eng</t>
        </is>
      </c>
      <c r="P354" t="inlineStr">
        <is>
          <t>mau</t>
        </is>
      </c>
      <c r="R354" t="inlineStr">
        <is>
          <t xml:space="preserve">PS </t>
        </is>
      </c>
      <c r="S354" t="n">
        <v>5</v>
      </c>
      <c r="T354" t="n">
        <v>5</v>
      </c>
      <c r="U354" t="inlineStr">
        <is>
          <t>1993-12-06</t>
        </is>
      </c>
      <c r="V354" t="inlineStr">
        <is>
          <t>1993-12-06</t>
        </is>
      </c>
      <c r="W354" t="inlineStr">
        <is>
          <t>1991-11-19</t>
        </is>
      </c>
      <c r="X354" t="inlineStr">
        <is>
          <t>1991-11-19</t>
        </is>
      </c>
      <c r="Y354" t="n">
        <v>394</v>
      </c>
      <c r="Z354" t="n">
        <v>360</v>
      </c>
      <c r="AA354" t="n">
        <v>676</v>
      </c>
      <c r="AB354" t="n">
        <v>6</v>
      </c>
      <c r="AC354" t="n">
        <v>8</v>
      </c>
      <c r="AD354" t="n">
        <v>28</v>
      </c>
      <c r="AE354" t="n">
        <v>39</v>
      </c>
      <c r="AF354" t="n">
        <v>14</v>
      </c>
      <c r="AG354" t="n">
        <v>19</v>
      </c>
      <c r="AH354" t="n">
        <v>4</v>
      </c>
      <c r="AI354" t="n">
        <v>5</v>
      </c>
      <c r="AJ354" t="n">
        <v>13</v>
      </c>
      <c r="AK354" t="n">
        <v>17</v>
      </c>
      <c r="AL354" t="n">
        <v>5</v>
      </c>
      <c r="AM354" t="n">
        <v>7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R354">
        <f>HYPERLINK("http://catalog.hathitrust.org/Record/001027947","HathiTrust Record")</f>
        <v/>
      </c>
      <c r="AS354">
        <f>HYPERLINK("https://creighton-primo.hosted.exlibrisgroup.com/primo-explore/search?tab=default_tab&amp;search_scope=EVERYTHING&amp;vid=01CRU&amp;lang=en_US&amp;offset=0&amp;query=any,contains,991001207599702656","Catalog Record")</f>
        <v/>
      </c>
      <c r="AT354">
        <f>HYPERLINK("http://www.worldcat.org/oclc/192555","WorldCat Record")</f>
        <v/>
      </c>
      <c r="AU354" t="inlineStr">
        <is>
          <t>1354415:eng</t>
        </is>
      </c>
      <c r="AV354" t="inlineStr">
        <is>
          <t>192555</t>
        </is>
      </c>
      <c r="AW354" t="inlineStr">
        <is>
          <t>991001207599702656</t>
        </is>
      </c>
      <c r="AX354" t="inlineStr">
        <is>
          <t>991001207599702656</t>
        </is>
      </c>
      <c r="AY354" t="inlineStr">
        <is>
          <t>2256242500002656</t>
        </is>
      </c>
      <c r="AZ354" t="inlineStr">
        <is>
          <t>BOOK</t>
        </is>
      </c>
      <c r="BC354" t="inlineStr">
        <is>
          <t>32285000795418</t>
        </is>
      </c>
      <c r="BD354" t="inlineStr">
        <is>
          <t>893602421</t>
        </is>
      </c>
    </row>
    <row r="355">
      <c r="A355" t="inlineStr">
        <is>
          <t>No</t>
        </is>
      </c>
      <c r="B355" t="inlineStr">
        <is>
          <t>PS3057.N3 H5 1983</t>
        </is>
      </c>
      <c r="C355" t="inlineStr">
        <is>
          <t>0                      PS 3057000N  3                  H  5           1983</t>
        </is>
      </c>
      <c r="D355" t="inlineStr">
        <is>
          <t>Thoreau, a naturalist's liberty / John Hildebidle.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Hildebidle, John, 1946-</t>
        </is>
      </c>
      <c r="L355" t="inlineStr">
        <is>
          <t>Cambridge, Mass. : Harvard University Press, 1983.</t>
        </is>
      </c>
      <c r="M355" t="inlineStr">
        <is>
          <t>1983</t>
        </is>
      </c>
      <c r="O355" t="inlineStr">
        <is>
          <t>eng</t>
        </is>
      </c>
      <c r="P355" t="inlineStr">
        <is>
          <t>mau</t>
        </is>
      </c>
      <c r="R355" t="inlineStr">
        <is>
          <t xml:space="preserve">PS </t>
        </is>
      </c>
      <c r="S355" t="n">
        <v>1</v>
      </c>
      <c r="T355" t="n">
        <v>1</v>
      </c>
      <c r="U355" t="inlineStr">
        <is>
          <t>2001-02-17</t>
        </is>
      </c>
      <c r="V355" t="inlineStr">
        <is>
          <t>2001-02-17</t>
        </is>
      </c>
      <c r="W355" t="inlineStr">
        <is>
          <t>1990-11-01</t>
        </is>
      </c>
      <c r="X355" t="inlineStr">
        <is>
          <t>1990-11-01</t>
        </is>
      </c>
      <c r="Y355" t="n">
        <v>507</v>
      </c>
      <c r="Z355" t="n">
        <v>424</v>
      </c>
      <c r="AA355" t="n">
        <v>435</v>
      </c>
      <c r="AB355" t="n">
        <v>4</v>
      </c>
      <c r="AC355" t="n">
        <v>4</v>
      </c>
      <c r="AD355" t="n">
        <v>24</v>
      </c>
      <c r="AE355" t="n">
        <v>24</v>
      </c>
      <c r="AF355" t="n">
        <v>11</v>
      </c>
      <c r="AG355" t="n">
        <v>11</v>
      </c>
      <c r="AH355" t="n">
        <v>7</v>
      </c>
      <c r="AI355" t="n">
        <v>7</v>
      </c>
      <c r="AJ355" t="n">
        <v>12</v>
      </c>
      <c r="AK355" t="n">
        <v>12</v>
      </c>
      <c r="AL355" t="n">
        <v>3</v>
      </c>
      <c r="AM355" t="n">
        <v>3</v>
      </c>
      <c r="AN355" t="n">
        <v>0</v>
      </c>
      <c r="AO355" t="n">
        <v>0</v>
      </c>
      <c r="AP355" t="inlineStr">
        <is>
          <t>No</t>
        </is>
      </c>
      <c r="AQ355" t="inlineStr">
        <is>
          <t>Yes</t>
        </is>
      </c>
      <c r="AR355">
        <f>HYPERLINK("http://catalog.hathitrust.org/Record/000196958","HathiTrust Record")</f>
        <v/>
      </c>
      <c r="AS355">
        <f>HYPERLINK("https://creighton-primo.hosted.exlibrisgroup.com/primo-explore/search?tab=default_tab&amp;search_scope=EVERYTHING&amp;vid=01CRU&amp;lang=en_US&amp;offset=0&amp;query=any,contains,991000078439702656","Catalog Record")</f>
        <v/>
      </c>
      <c r="AT355">
        <f>HYPERLINK("http://www.worldcat.org/oclc/8826054","WorldCat Record")</f>
        <v/>
      </c>
      <c r="AU355" t="inlineStr">
        <is>
          <t>42919775:eng</t>
        </is>
      </c>
      <c r="AV355" t="inlineStr">
        <is>
          <t>8826054</t>
        </is>
      </c>
      <c r="AW355" t="inlineStr">
        <is>
          <t>991000078439702656</t>
        </is>
      </c>
      <c r="AX355" t="inlineStr">
        <is>
          <t>991000078439702656</t>
        </is>
      </c>
      <c r="AY355" t="inlineStr">
        <is>
          <t>2265260320002656</t>
        </is>
      </c>
      <c r="AZ355" t="inlineStr">
        <is>
          <t>BOOK</t>
        </is>
      </c>
      <c r="BB355" t="inlineStr">
        <is>
          <t>9780674886407</t>
        </is>
      </c>
      <c r="BC355" t="inlineStr">
        <is>
          <t>32285000375443</t>
        </is>
      </c>
      <c r="BD355" t="inlineStr">
        <is>
          <t>893689397</t>
        </is>
      </c>
    </row>
    <row r="356">
      <c r="A356" t="inlineStr">
        <is>
          <t>No</t>
        </is>
      </c>
      <c r="B356" t="inlineStr">
        <is>
          <t>PS309.N37 W35 1998</t>
        </is>
      </c>
      <c r="C356" t="inlineStr">
        <is>
          <t>0                      PS 0309000N  37                 W  35          1998</t>
        </is>
      </c>
      <c r="D356" t="inlineStr">
        <is>
          <t>The ghost of tradition : expansive poetry and postmodernism / Kevin Walzer.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Walzer, Kevin, 1968-</t>
        </is>
      </c>
      <c r="L356" t="inlineStr">
        <is>
          <t>Ashland, OR : Story Line Press, 1998.</t>
        </is>
      </c>
      <c r="M356" t="inlineStr">
        <is>
          <t>1998</t>
        </is>
      </c>
      <c r="O356" t="inlineStr">
        <is>
          <t>eng</t>
        </is>
      </c>
      <c r="P356" t="inlineStr">
        <is>
          <t>oru</t>
        </is>
      </c>
      <c r="R356" t="inlineStr">
        <is>
          <t xml:space="preserve">PS </t>
        </is>
      </c>
      <c r="S356" t="n">
        <v>3</v>
      </c>
      <c r="T356" t="n">
        <v>3</v>
      </c>
      <c r="U356" t="inlineStr">
        <is>
          <t>2005-04-25</t>
        </is>
      </c>
      <c r="V356" t="inlineStr">
        <is>
          <t>2005-04-25</t>
        </is>
      </c>
      <c r="W356" t="inlineStr">
        <is>
          <t>2000-08-07</t>
        </is>
      </c>
      <c r="X356" t="inlineStr">
        <is>
          <t>2000-08-07</t>
        </is>
      </c>
      <c r="Y356" t="n">
        <v>458</v>
      </c>
      <c r="Z356" t="n">
        <v>413</v>
      </c>
      <c r="AA356" t="n">
        <v>420</v>
      </c>
      <c r="AB356" t="n">
        <v>4</v>
      </c>
      <c r="AC356" t="n">
        <v>4</v>
      </c>
      <c r="AD356" t="n">
        <v>23</v>
      </c>
      <c r="AE356" t="n">
        <v>23</v>
      </c>
      <c r="AF356" t="n">
        <v>7</v>
      </c>
      <c r="AG356" t="n">
        <v>7</v>
      </c>
      <c r="AH356" t="n">
        <v>8</v>
      </c>
      <c r="AI356" t="n">
        <v>8</v>
      </c>
      <c r="AJ356" t="n">
        <v>12</v>
      </c>
      <c r="AK356" t="n">
        <v>12</v>
      </c>
      <c r="AL356" t="n">
        <v>3</v>
      </c>
      <c r="AM356" t="n">
        <v>3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HYPERLINK("http://catalog.hathitrust.org/Record/004013720","HathiTrust Record")</f>
        <v/>
      </c>
      <c r="AS356">
        <f>HYPERLINK("https://creighton-primo.hosted.exlibrisgroup.com/primo-explore/search?tab=default_tab&amp;search_scope=EVERYTHING&amp;vid=01CRU&amp;lang=en_US&amp;offset=0&amp;query=any,contains,991003247649702656","Catalog Record")</f>
        <v/>
      </c>
      <c r="AT356">
        <f>HYPERLINK("http://www.worldcat.org/oclc/39706910","WorldCat Record")</f>
        <v/>
      </c>
      <c r="AU356" t="inlineStr">
        <is>
          <t>20625590:eng</t>
        </is>
      </c>
      <c r="AV356" t="inlineStr">
        <is>
          <t>39706910</t>
        </is>
      </c>
      <c r="AW356" t="inlineStr">
        <is>
          <t>991003247649702656</t>
        </is>
      </c>
      <c r="AX356" t="inlineStr">
        <is>
          <t>991003247649702656</t>
        </is>
      </c>
      <c r="AY356" t="inlineStr">
        <is>
          <t>2255489310002656</t>
        </is>
      </c>
      <c r="AZ356" t="inlineStr">
        <is>
          <t>BOOK</t>
        </is>
      </c>
      <c r="BB356" t="inlineStr">
        <is>
          <t>9781885266668</t>
        </is>
      </c>
      <c r="BC356" t="inlineStr">
        <is>
          <t>32285003755724</t>
        </is>
      </c>
      <c r="BD356" t="inlineStr">
        <is>
          <t>893505378</t>
        </is>
      </c>
    </row>
    <row r="357">
      <c r="A357" t="inlineStr">
        <is>
          <t>No</t>
        </is>
      </c>
      <c r="B357" t="inlineStr">
        <is>
          <t>PS310.A34 W6</t>
        </is>
      </c>
      <c r="C357" t="inlineStr">
        <is>
          <t>0                      PS 0310000A  34                 W  6</t>
        </is>
      </c>
      <c r="D357" t="inlineStr">
        <is>
          <t>At last, the real distinguished thing : the late poems of Eliot, Pound, Stevens, and Williams / by Kathleen Woodward.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Woodward, Kathleen M.</t>
        </is>
      </c>
      <c r="L357" t="inlineStr">
        <is>
          <t>[Columbus, Ohio] : Ohio State University Press, c1980.</t>
        </is>
      </c>
      <c r="M357" t="inlineStr">
        <is>
          <t>1980</t>
        </is>
      </c>
      <c r="O357" t="inlineStr">
        <is>
          <t>eng</t>
        </is>
      </c>
      <c r="P357" t="inlineStr">
        <is>
          <t>ohu</t>
        </is>
      </c>
      <c r="R357" t="inlineStr">
        <is>
          <t xml:space="preserve">PS </t>
        </is>
      </c>
      <c r="S357" t="n">
        <v>2</v>
      </c>
      <c r="T357" t="n">
        <v>2</v>
      </c>
      <c r="U357" t="inlineStr">
        <is>
          <t>1994-12-02</t>
        </is>
      </c>
      <c r="V357" t="inlineStr">
        <is>
          <t>1994-12-02</t>
        </is>
      </c>
      <c r="W357" t="inlineStr">
        <is>
          <t>1992-08-24</t>
        </is>
      </c>
      <c r="X357" t="inlineStr">
        <is>
          <t>1992-08-24</t>
        </is>
      </c>
      <c r="Y357" t="n">
        <v>736</v>
      </c>
      <c r="Z357" t="n">
        <v>629</v>
      </c>
      <c r="AA357" t="n">
        <v>649</v>
      </c>
      <c r="AB357" t="n">
        <v>7</v>
      </c>
      <c r="AC357" t="n">
        <v>7</v>
      </c>
      <c r="AD357" t="n">
        <v>28</v>
      </c>
      <c r="AE357" t="n">
        <v>28</v>
      </c>
      <c r="AF357" t="n">
        <v>11</v>
      </c>
      <c r="AG357" t="n">
        <v>11</v>
      </c>
      <c r="AH357" t="n">
        <v>8</v>
      </c>
      <c r="AI357" t="n">
        <v>8</v>
      </c>
      <c r="AJ357" t="n">
        <v>12</v>
      </c>
      <c r="AK357" t="n">
        <v>12</v>
      </c>
      <c r="AL357" t="n">
        <v>6</v>
      </c>
      <c r="AM357" t="n">
        <v>6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HYPERLINK("http://catalog.hathitrust.org/Record/000738231","HathiTrust Record")</f>
        <v/>
      </c>
      <c r="AS357">
        <f>HYPERLINK("https://creighton-primo.hosted.exlibrisgroup.com/primo-explore/search?tab=default_tab&amp;search_scope=EVERYTHING&amp;vid=01CRU&amp;lang=en_US&amp;offset=0&amp;query=any,contains,991005040529702656","Catalog Record")</f>
        <v/>
      </c>
      <c r="AT357">
        <f>HYPERLINK("http://www.worldcat.org/oclc/6790234","WorldCat Record")</f>
        <v/>
      </c>
      <c r="AU357" t="inlineStr">
        <is>
          <t>365426081:eng</t>
        </is>
      </c>
      <c r="AV357" t="inlineStr">
        <is>
          <t>6790234</t>
        </is>
      </c>
      <c r="AW357" t="inlineStr">
        <is>
          <t>991005040529702656</t>
        </is>
      </c>
      <c r="AX357" t="inlineStr">
        <is>
          <t>991005040529702656</t>
        </is>
      </c>
      <c r="AY357" t="inlineStr">
        <is>
          <t>2271850230002656</t>
        </is>
      </c>
      <c r="AZ357" t="inlineStr">
        <is>
          <t>BOOK</t>
        </is>
      </c>
      <c r="BB357" t="inlineStr">
        <is>
          <t>9780814203064</t>
        </is>
      </c>
      <c r="BC357" t="inlineStr">
        <is>
          <t>32285001270734</t>
        </is>
      </c>
      <c r="BD357" t="inlineStr">
        <is>
          <t>893600524</t>
        </is>
      </c>
    </row>
    <row r="358">
      <c r="A358" t="inlineStr">
        <is>
          <t>No</t>
        </is>
      </c>
      <c r="B358" t="inlineStr">
        <is>
          <t>PS310.M4 J8</t>
        </is>
      </c>
      <c r="C358" t="inlineStr">
        <is>
          <t>0                      PS 0310000M  4                  J  8</t>
        </is>
      </c>
      <c r="D358" t="inlineStr">
        <is>
          <t>Metaphor and the poetry of Williams, Pound, and Stevens / Suzanne Juhasz.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Juhasz, Suzanne, 1942-</t>
        </is>
      </c>
      <c r="L358" t="inlineStr">
        <is>
          <t>Lewisburg [Pa.] : Bucknell University Press, 1974.</t>
        </is>
      </c>
      <c r="M358" t="inlineStr">
        <is>
          <t>1974</t>
        </is>
      </c>
      <c r="O358" t="inlineStr">
        <is>
          <t>eng</t>
        </is>
      </c>
      <c r="P358" t="inlineStr">
        <is>
          <t>pau</t>
        </is>
      </c>
      <c r="R358" t="inlineStr">
        <is>
          <t xml:space="preserve">PS </t>
        </is>
      </c>
      <c r="S358" t="n">
        <v>3</v>
      </c>
      <c r="T358" t="n">
        <v>3</v>
      </c>
      <c r="U358" t="inlineStr">
        <is>
          <t>1993-02-15</t>
        </is>
      </c>
      <c r="V358" t="inlineStr">
        <is>
          <t>1993-02-15</t>
        </is>
      </c>
      <c r="W358" t="inlineStr">
        <is>
          <t>1990-06-15</t>
        </is>
      </c>
      <c r="X358" t="inlineStr">
        <is>
          <t>1990-06-15</t>
        </is>
      </c>
      <c r="Y358" t="n">
        <v>647</v>
      </c>
      <c r="Z358" t="n">
        <v>530</v>
      </c>
      <c r="AA358" t="n">
        <v>542</v>
      </c>
      <c r="AB358" t="n">
        <v>4</v>
      </c>
      <c r="AC358" t="n">
        <v>4</v>
      </c>
      <c r="AD358" t="n">
        <v>25</v>
      </c>
      <c r="AE358" t="n">
        <v>26</v>
      </c>
      <c r="AF358" t="n">
        <v>10</v>
      </c>
      <c r="AG358" t="n">
        <v>10</v>
      </c>
      <c r="AH358" t="n">
        <v>6</v>
      </c>
      <c r="AI358" t="n">
        <v>7</v>
      </c>
      <c r="AJ358" t="n">
        <v>10</v>
      </c>
      <c r="AK358" t="n">
        <v>11</v>
      </c>
      <c r="AL358" t="n">
        <v>3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HYPERLINK("http://catalog.hathitrust.org/Record/001020621","HathiTrust Record")</f>
        <v/>
      </c>
      <c r="AS358">
        <f>HYPERLINK("https://creighton-primo.hosted.exlibrisgroup.com/primo-explore/search?tab=default_tab&amp;search_scope=EVERYTHING&amp;vid=01CRU&amp;lang=en_US&amp;offset=0&amp;query=any,contains,991003167039702656","Catalog Record")</f>
        <v/>
      </c>
      <c r="AT358">
        <f>HYPERLINK("http://www.worldcat.org/oclc/704606","WorldCat Record")</f>
        <v/>
      </c>
      <c r="AU358" t="inlineStr">
        <is>
          <t>503502:eng</t>
        </is>
      </c>
      <c r="AV358" t="inlineStr">
        <is>
          <t>704606</t>
        </is>
      </c>
      <c r="AW358" t="inlineStr">
        <is>
          <t>991003167039702656</t>
        </is>
      </c>
      <c r="AX358" t="inlineStr">
        <is>
          <t>991003167039702656</t>
        </is>
      </c>
      <c r="AY358" t="inlineStr">
        <is>
          <t>2259176520002656</t>
        </is>
      </c>
      <c r="AZ358" t="inlineStr">
        <is>
          <t>BOOK</t>
        </is>
      </c>
      <c r="BB358" t="inlineStr">
        <is>
          <t>9780838712436</t>
        </is>
      </c>
      <c r="BC358" t="inlineStr">
        <is>
          <t>32285000196815</t>
        </is>
      </c>
      <c r="BD358" t="inlineStr">
        <is>
          <t>893330033</t>
        </is>
      </c>
    </row>
    <row r="359">
      <c r="A359" t="inlineStr">
        <is>
          <t>No</t>
        </is>
      </c>
      <c r="B359" t="inlineStr">
        <is>
          <t>PS310.M57 L46 1994</t>
        </is>
      </c>
      <c r="C359" t="inlineStr">
        <is>
          <t>0                      PS 0310000M  57                 L  46          1994</t>
        </is>
      </c>
      <c r="D359" t="inlineStr">
        <is>
          <t>Modernist quartet / Frank Lentricchia.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Lentricchia, Frank.</t>
        </is>
      </c>
      <c r="L359" t="inlineStr">
        <is>
          <t>Cambridge [England] ; New York : Cambridge University Press, 1994.</t>
        </is>
      </c>
      <c r="M359" t="inlineStr">
        <is>
          <t>1994</t>
        </is>
      </c>
      <c r="O359" t="inlineStr">
        <is>
          <t>eng</t>
        </is>
      </c>
      <c r="P359" t="inlineStr">
        <is>
          <t>enk</t>
        </is>
      </c>
      <c r="R359" t="inlineStr">
        <is>
          <t xml:space="preserve">PS </t>
        </is>
      </c>
      <c r="S359" t="n">
        <v>5</v>
      </c>
      <c r="T359" t="n">
        <v>5</v>
      </c>
      <c r="U359" t="inlineStr">
        <is>
          <t>1999-09-23</t>
        </is>
      </c>
      <c r="V359" t="inlineStr">
        <is>
          <t>1999-09-23</t>
        </is>
      </c>
      <c r="W359" t="inlineStr">
        <is>
          <t>1994-12-15</t>
        </is>
      </c>
      <c r="X359" t="inlineStr">
        <is>
          <t>1994-12-15</t>
        </is>
      </c>
      <c r="Y359" t="n">
        <v>626</v>
      </c>
      <c r="Z359" t="n">
        <v>484</v>
      </c>
      <c r="AA359" t="n">
        <v>494</v>
      </c>
      <c r="AB359" t="n">
        <v>6</v>
      </c>
      <c r="AC359" t="n">
        <v>6</v>
      </c>
      <c r="AD359" t="n">
        <v>36</v>
      </c>
      <c r="AE359" t="n">
        <v>36</v>
      </c>
      <c r="AF359" t="n">
        <v>15</v>
      </c>
      <c r="AG359" t="n">
        <v>15</v>
      </c>
      <c r="AH359" t="n">
        <v>9</v>
      </c>
      <c r="AI359" t="n">
        <v>9</v>
      </c>
      <c r="AJ359" t="n">
        <v>18</v>
      </c>
      <c r="AK359" t="n">
        <v>18</v>
      </c>
      <c r="AL359" t="n">
        <v>5</v>
      </c>
      <c r="AM359" t="n">
        <v>5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HYPERLINK("https://creighton-primo.hosted.exlibrisgroup.com/primo-explore/search?tab=default_tab&amp;search_scope=EVERYTHING&amp;vid=01CRU&amp;lang=en_US&amp;offset=0&amp;query=any,contains,991002287729702656","Catalog Record")</f>
        <v/>
      </c>
      <c r="AT359">
        <f>HYPERLINK("http://www.worldcat.org/oclc/29667749","WorldCat Record")</f>
        <v/>
      </c>
      <c r="AU359" t="inlineStr">
        <is>
          <t>31853816:eng</t>
        </is>
      </c>
      <c r="AV359" t="inlineStr">
        <is>
          <t>29667749</t>
        </is>
      </c>
      <c r="AW359" t="inlineStr">
        <is>
          <t>991002287729702656</t>
        </is>
      </c>
      <c r="AX359" t="inlineStr">
        <is>
          <t>991002287729702656</t>
        </is>
      </c>
      <c r="AY359" t="inlineStr">
        <is>
          <t>2271598630002656</t>
        </is>
      </c>
      <c r="AZ359" t="inlineStr">
        <is>
          <t>BOOK</t>
        </is>
      </c>
      <c r="BB359" t="inlineStr">
        <is>
          <t>9780521469753</t>
        </is>
      </c>
      <c r="BC359" t="inlineStr">
        <is>
          <t>32285001977700</t>
        </is>
      </c>
      <c r="BD359" t="inlineStr">
        <is>
          <t>893685191</t>
        </is>
      </c>
    </row>
    <row r="360">
      <c r="A360" t="inlineStr">
        <is>
          <t>No</t>
        </is>
      </c>
      <c r="B360" t="inlineStr">
        <is>
          <t>PS310.M57 R67 1986</t>
        </is>
      </c>
      <c r="C360" t="inlineStr">
        <is>
          <t>0                      PS 0310000M  57                 R  67          1986</t>
        </is>
      </c>
      <c r="D360" t="inlineStr">
        <is>
          <t>The failure of modernism : symptoms of American poetry / Andrew Ross.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Ross, Andrew.</t>
        </is>
      </c>
      <c r="L360" t="inlineStr">
        <is>
          <t>New York : Columbia University Press, 1986.</t>
        </is>
      </c>
      <c r="M360" t="inlineStr">
        <is>
          <t>1986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PS </t>
        </is>
      </c>
      <c r="S360" t="n">
        <v>12</v>
      </c>
      <c r="T360" t="n">
        <v>12</v>
      </c>
      <c r="U360" t="inlineStr">
        <is>
          <t>2004-11-23</t>
        </is>
      </c>
      <c r="V360" t="inlineStr">
        <is>
          <t>2004-11-23</t>
        </is>
      </c>
      <c r="W360" t="inlineStr">
        <is>
          <t>1992-08-24</t>
        </is>
      </c>
      <c r="X360" t="inlineStr">
        <is>
          <t>1992-08-24</t>
        </is>
      </c>
      <c r="Y360" t="n">
        <v>433</v>
      </c>
      <c r="Z360" t="n">
        <v>338</v>
      </c>
      <c r="AA360" t="n">
        <v>344</v>
      </c>
      <c r="AB360" t="n">
        <v>3</v>
      </c>
      <c r="AC360" t="n">
        <v>3</v>
      </c>
      <c r="AD360" t="n">
        <v>18</v>
      </c>
      <c r="AE360" t="n">
        <v>18</v>
      </c>
      <c r="AF360" t="n">
        <v>5</v>
      </c>
      <c r="AG360" t="n">
        <v>5</v>
      </c>
      <c r="AH360" t="n">
        <v>6</v>
      </c>
      <c r="AI360" t="n">
        <v>6</v>
      </c>
      <c r="AJ360" t="n">
        <v>11</v>
      </c>
      <c r="AK360" t="n">
        <v>11</v>
      </c>
      <c r="AL360" t="n">
        <v>2</v>
      </c>
      <c r="AM360" t="n">
        <v>2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HYPERLINK("https://creighton-primo.hosted.exlibrisgroup.com/primo-explore/search?tab=default_tab&amp;search_scope=EVERYTHING&amp;vid=01CRU&amp;lang=en_US&amp;offset=0&amp;query=any,contains,991000836759702656","Catalog Record")</f>
        <v/>
      </c>
      <c r="AT360">
        <f>HYPERLINK("http://www.worldcat.org/oclc/13497898","WorldCat Record")</f>
        <v/>
      </c>
      <c r="AU360" t="inlineStr">
        <is>
          <t>312566522:eng</t>
        </is>
      </c>
      <c r="AV360" t="inlineStr">
        <is>
          <t>13497898</t>
        </is>
      </c>
      <c r="AW360" t="inlineStr">
        <is>
          <t>991000836759702656</t>
        </is>
      </c>
      <c r="AX360" t="inlineStr">
        <is>
          <t>991000836759702656</t>
        </is>
      </c>
      <c r="AY360" t="inlineStr">
        <is>
          <t>2264237480002656</t>
        </is>
      </c>
      <c r="AZ360" t="inlineStr">
        <is>
          <t>BOOK</t>
        </is>
      </c>
      <c r="BB360" t="inlineStr">
        <is>
          <t>9780231063302</t>
        </is>
      </c>
      <c r="BC360" t="inlineStr">
        <is>
          <t>32285001270783</t>
        </is>
      </c>
      <c r="BD360" t="inlineStr">
        <is>
          <t>893315283</t>
        </is>
      </c>
    </row>
    <row r="361">
      <c r="A361" t="inlineStr">
        <is>
          <t>No</t>
        </is>
      </c>
      <c r="B361" t="inlineStr">
        <is>
          <t>PS310.P6 C7 1982</t>
        </is>
      </c>
      <c r="C361" t="inlineStr">
        <is>
          <t>0                      PS 0310000P  6                  C  7           1982</t>
        </is>
      </c>
      <c r="D361" t="inlineStr">
        <is>
          <t>Yeats, Eliot, Pound, and the politics of poetry : richest to the richest / Cairns Craig.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Craig, Cairns.</t>
        </is>
      </c>
      <c r="L361" t="inlineStr">
        <is>
          <t>Pittsburgh, Pa. : University of Pittsburgh Press, c1982.</t>
        </is>
      </c>
      <c r="M361" t="inlineStr">
        <is>
          <t>1982</t>
        </is>
      </c>
      <c r="O361" t="inlineStr">
        <is>
          <t>eng</t>
        </is>
      </c>
      <c r="P361" t="inlineStr">
        <is>
          <t>pau</t>
        </is>
      </c>
      <c r="R361" t="inlineStr">
        <is>
          <t xml:space="preserve">PS </t>
        </is>
      </c>
      <c r="S361" t="n">
        <v>7</v>
      </c>
      <c r="T361" t="n">
        <v>7</v>
      </c>
      <c r="U361" t="inlineStr">
        <is>
          <t>1998-11-01</t>
        </is>
      </c>
      <c r="V361" t="inlineStr">
        <is>
          <t>1998-11-01</t>
        </is>
      </c>
      <c r="W361" t="inlineStr">
        <is>
          <t>1992-08-24</t>
        </is>
      </c>
      <c r="X361" t="inlineStr">
        <is>
          <t>1992-08-24</t>
        </is>
      </c>
      <c r="Y361" t="n">
        <v>306</v>
      </c>
      <c r="Z361" t="n">
        <v>264</v>
      </c>
      <c r="AA361" t="n">
        <v>352</v>
      </c>
      <c r="AB361" t="n">
        <v>4</v>
      </c>
      <c r="AC361" t="n">
        <v>5</v>
      </c>
      <c r="AD361" t="n">
        <v>17</v>
      </c>
      <c r="AE361" t="n">
        <v>18</v>
      </c>
      <c r="AF361" t="n">
        <v>5</v>
      </c>
      <c r="AG361" t="n">
        <v>5</v>
      </c>
      <c r="AH361" t="n">
        <v>5</v>
      </c>
      <c r="AI361" t="n">
        <v>5</v>
      </c>
      <c r="AJ361" t="n">
        <v>9</v>
      </c>
      <c r="AK361" t="n">
        <v>9</v>
      </c>
      <c r="AL361" t="n">
        <v>3</v>
      </c>
      <c r="AM361" t="n">
        <v>4</v>
      </c>
      <c r="AN361" t="n">
        <v>0</v>
      </c>
      <c r="AO361" t="n">
        <v>0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HYPERLINK("https://creighton-primo.hosted.exlibrisgroup.com/primo-explore/search?tab=default_tab&amp;search_scope=EVERYTHING&amp;vid=01CRU&amp;lang=en_US&amp;offset=0&amp;query=any,contains,991005146719702656","Catalog Record")</f>
        <v/>
      </c>
      <c r="AT361">
        <f>HYPERLINK("http://www.worldcat.org/oclc/7671893","WorldCat Record")</f>
        <v/>
      </c>
      <c r="AU361" t="inlineStr">
        <is>
          <t>2979469:eng</t>
        </is>
      </c>
      <c r="AV361" t="inlineStr">
        <is>
          <t>7671893</t>
        </is>
      </c>
      <c r="AW361" t="inlineStr">
        <is>
          <t>991005146719702656</t>
        </is>
      </c>
      <c r="AX361" t="inlineStr">
        <is>
          <t>991005146719702656</t>
        </is>
      </c>
      <c r="AY361" t="inlineStr">
        <is>
          <t>2271029720002656</t>
        </is>
      </c>
      <c r="AZ361" t="inlineStr">
        <is>
          <t>BOOK</t>
        </is>
      </c>
      <c r="BC361" t="inlineStr">
        <is>
          <t>32285001270791</t>
        </is>
      </c>
      <c r="BD361" t="inlineStr">
        <is>
          <t>893783098</t>
        </is>
      </c>
    </row>
    <row r="362">
      <c r="A362" t="inlineStr">
        <is>
          <t>No</t>
        </is>
      </c>
      <c r="B362" t="inlineStr">
        <is>
          <t>PS310.P66 P6 1992</t>
        </is>
      </c>
      <c r="C362" t="inlineStr">
        <is>
          <t>0                      PS 0310000P  66                 P  6           1992</t>
        </is>
      </c>
      <c r="D362" t="inlineStr">
        <is>
          <t>Poetry and pragmatism / Richard Poirier.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Poirier, Richard.</t>
        </is>
      </c>
      <c r="L362" t="inlineStr">
        <is>
          <t>Cambridge, Mass. : Harvard University Press, 1992.</t>
        </is>
      </c>
      <c r="M362" t="inlineStr">
        <is>
          <t>1992</t>
        </is>
      </c>
      <c r="O362" t="inlineStr">
        <is>
          <t>eng</t>
        </is>
      </c>
      <c r="P362" t="inlineStr">
        <is>
          <t>mau</t>
        </is>
      </c>
      <c r="Q362" t="inlineStr">
        <is>
          <t>Convergences</t>
        </is>
      </c>
      <c r="R362" t="inlineStr">
        <is>
          <t xml:space="preserve">PS </t>
        </is>
      </c>
      <c r="S362" t="n">
        <v>1</v>
      </c>
      <c r="T362" t="n">
        <v>1</v>
      </c>
      <c r="U362" t="inlineStr">
        <is>
          <t>2000-12-06</t>
        </is>
      </c>
      <c r="V362" t="inlineStr">
        <is>
          <t>2000-12-06</t>
        </is>
      </c>
      <c r="W362" t="inlineStr">
        <is>
          <t>1994-02-01</t>
        </is>
      </c>
      <c r="X362" t="inlineStr">
        <is>
          <t>1994-02-01</t>
        </is>
      </c>
      <c r="Y362" t="n">
        <v>505</v>
      </c>
      <c r="Z362" t="n">
        <v>413</v>
      </c>
      <c r="AA362" t="n">
        <v>442</v>
      </c>
      <c r="AB362" t="n">
        <v>4</v>
      </c>
      <c r="AC362" t="n">
        <v>4</v>
      </c>
      <c r="AD362" t="n">
        <v>29</v>
      </c>
      <c r="AE362" t="n">
        <v>30</v>
      </c>
      <c r="AF362" t="n">
        <v>10</v>
      </c>
      <c r="AG362" t="n">
        <v>11</v>
      </c>
      <c r="AH362" t="n">
        <v>8</v>
      </c>
      <c r="AI362" t="n">
        <v>8</v>
      </c>
      <c r="AJ362" t="n">
        <v>15</v>
      </c>
      <c r="AK362" t="n">
        <v>15</v>
      </c>
      <c r="AL362" t="n">
        <v>3</v>
      </c>
      <c r="AM362" t="n">
        <v>3</v>
      </c>
      <c r="AN362" t="n">
        <v>1</v>
      </c>
      <c r="AO362" t="n">
        <v>1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HYPERLINK("http://catalog.hathitrust.org/Record/002546726","HathiTrust Record")</f>
        <v/>
      </c>
      <c r="AS362">
        <f>HYPERLINK("https://creighton-primo.hosted.exlibrisgroup.com/primo-explore/search?tab=default_tab&amp;search_scope=EVERYTHING&amp;vid=01CRU&amp;lang=en_US&amp;offset=0&amp;query=any,contains,991001910939702656","Catalog Record")</f>
        <v/>
      </c>
      <c r="AT362">
        <f>HYPERLINK("http://www.worldcat.org/oclc/24142245","WorldCat Record")</f>
        <v/>
      </c>
      <c r="AU362" t="inlineStr">
        <is>
          <t>2683044:eng</t>
        </is>
      </c>
      <c r="AV362" t="inlineStr">
        <is>
          <t>24142245</t>
        </is>
      </c>
      <c r="AW362" t="inlineStr">
        <is>
          <t>991001910939702656</t>
        </is>
      </c>
      <c r="AX362" t="inlineStr">
        <is>
          <t>991001910939702656</t>
        </is>
      </c>
      <c r="AY362" t="inlineStr">
        <is>
          <t>2265804910002656</t>
        </is>
      </c>
      <c r="AZ362" t="inlineStr">
        <is>
          <t>BOOK</t>
        </is>
      </c>
      <c r="BB362" t="inlineStr">
        <is>
          <t>9780674679900</t>
        </is>
      </c>
      <c r="BC362" t="inlineStr">
        <is>
          <t>32285001833994</t>
        </is>
      </c>
      <c r="BD362" t="inlineStr">
        <is>
          <t>893510058</t>
        </is>
      </c>
    </row>
    <row r="363">
      <c r="A363" t="inlineStr">
        <is>
          <t>No</t>
        </is>
      </c>
      <c r="B363" t="inlineStr">
        <is>
          <t>PS310.R66 B34 1984</t>
        </is>
      </c>
      <c r="C363" t="inlineStr">
        <is>
          <t>0                      PS 0310000R  66                 B  34          1984</t>
        </is>
      </c>
      <c r="D363" t="inlineStr">
        <is>
          <t>The echoing green : romanticism, modernism, and the phenomena of transference in poetry / Carlos Baker.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Baker, Carlos, 1909-1987.</t>
        </is>
      </c>
      <c r="L363" t="inlineStr">
        <is>
          <t>Princeton, N.J. : Princeton University Press, c1984.</t>
        </is>
      </c>
      <c r="M363" t="inlineStr">
        <is>
          <t>1984</t>
        </is>
      </c>
      <c r="O363" t="inlineStr">
        <is>
          <t>eng</t>
        </is>
      </c>
      <c r="P363" t="inlineStr">
        <is>
          <t>nju</t>
        </is>
      </c>
      <c r="R363" t="inlineStr">
        <is>
          <t xml:space="preserve">PS </t>
        </is>
      </c>
      <c r="S363" t="n">
        <v>7</v>
      </c>
      <c r="T363" t="n">
        <v>7</v>
      </c>
      <c r="U363" t="inlineStr">
        <is>
          <t>1996-08-13</t>
        </is>
      </c>
      <c r="V363" t="inlineStr">
        <is>
          <t>1996-08-13</t>
        </is>
      </c>
      <c r="W363" t="inlineStr">
        <is>
          <t>1992-08-24</t>
        </is>
      </c>
      <c r="X363" t="inlineStr">
        <is>
          <t>1992-08-24</t>
        </is>
      </c>
      <c r="Y363" t="n">
        <v>791</v>
      </c>
      <c r="Z363" t="n">
        <v>663</v>
      </c>
      <c r="AA363" t="n">
        <v>808</v>
      </c>
      <c r="AB363" t="n">
        <v>5</v>
      </c>
      <c r="AC363" t="n">
        <v>5</v>
      </c>
      <c r="AD363" t="n">
        <v>32</v>
      </c>
      <c r="AE363" t="n">
        <v>38</v>
      </c>
      <c r="AF363" t="n">
        <v>14</v>
      </c>
      <c r="AG363" t="n">
        <v>18</v>
      </c>
      <c r="AH363" t="n">
        <v>7</v>
      </c>
      <c r="AI363" t="n">
        <v>9</v>
      </c>
      <c r="AJ363" t="n">
        <v>17</v>
      </c>
      <c r="AK363" t="n">
        <v>19</v>
      </c>
      <c r="AL363" t="n">
        <v>4</v>
      </c>
      <c r="AM363" t="n">
        <v>4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HYPERLINK("https://creighton-primo.hosted.exlibrisgroup.com/primo-explore/search?tab=default_tab&amp;search_scope=EVERYTHING&amp;vid=01CRU&amp;lang=en_US&amp;offset=0&amp;query=any,contains,991000311849702656","Catalog Record")</f>
        <v/>
      </c>
      <c r="AT363">
        <f>HYPERLINK("http://www.worldcat.org/oclc/10099437","WorldCat Record")</f>
        <v/>
      </c>
      <c r="AU363" t="inlineStr">
        <is>
          <t>836639470:eng</t>
        </is>
      </c>
      <c r="AV363" t="inlineStr">
        <is>
          <t>10099437</t>
        </is>
      </c>
      <c r="AW363" t="inlineStr">
        <is>
          <t>991000311849702656</t>
        </is>
      </c>
      <c r="AX363" t="inlineStr">
        <is>
          <t>991000311849702656</t>
        </is>
      </c>
      <c r="AY363" t="inlineStr">
        <is>
          <t>2265755620002656</t>
        </is>
      </c>
      <c r="AZ363" t="inlineStr">
        <is>
          <t>BOOK</t>
        </is>
      </c>
      <c r="BB363" t="inlineStr">
        <is>
          <t>9780691065953</t>
        </is>
      </c>
      <c r="BC363" t="inlineStr">
        <is>
          <t>32285001270809</t>
        </is>
      </c>
      <c r="BD363" t="inlineStr">
        <is>
          <t>893802674</t>
        </is>
      </c>
    </row>
    <row r="364">
      <c r="A364" t="inlineStr">
        <is>
          <t>No</t>
        </is>
      </c>
      <c r="B364" t="inlineStr">
        <is>
          <t>PS310.S34 W54 1984</t>
        </is>
      </c>
      <c r="C364" t="inlineStr">
        <is>
          <t>0                      PS 0310000S  34                 W  54          1984</t>
        </is>
      </c>
      <c r="D364" t="inlineStr">
        <is>
          <t>Introspection and contemporary poetry / Alan Williamson.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Williamson, Alan (Alan Bacher), 1944-</t>
        </is>
      </c>
      <c r="L364" t="inlineStr">
        <is>
          <t>Cambridge, Mass. : Harvard University Press, 1984.</t>
        </is>
      </c>
      <c r="M364" t="inlineStr">
        <is>
          <t>1984</t>
        </is>
      </c>
      <c r="O364" t="inlineStr">
        <is>
          <t>eng</t>
        </is>
      </c>
      <c r="P364" t="inlineStr">
        <is>
          <t>mau</t>
        </is>
      </c>
      <c r="R364" t="inlineStr">
        <is>
          <t xml:space="preserve">PS </t>
        </is>
      </c>
      <c r="S364" t="n">
        <v>1</v>
      </c>
      <c r="T364" t="n">
        <v>1</v>
      </c>
      <c r="U364" t="inlineStr">
        <is>
          <t>2004-11-10</t>
        </is>
      </c>
      <c r="V364" t="inlineStr">
        <is>
          <t>2004-11-10</t>
        </is>
      </c>
      <c r="W364" t="inlineStr">
        <is>
          <t>1992-01-07</t>
        </is>
      </c>
      <c r="X364" t="inlineStr">
        <is>
          <t>1992-01-07</t>
        </is>
      </c>
      <c r="Y364" t="n">
        <v>640</v>
      </c>
      <c r="Z364" t="n">
        <v>519</v>
      </c>
      <c r="AA364" t="n">
        <v>524</v>
      </c>
      <c r="AB364" t="n">
        <v>5</v>
      </c>
      <c r="AC364" t="n">
        <v>5</v>
      </c>
      <c r="AD364" t="n">
        <v>29</v>
      </c>
      <c r="AE364" t="n">
        <v>29</v>
      </c>
      <c r="AF364" t="n">
        <v>10</v>
      </c>
      <c r="AG364" t="n">
        <v>10</v>
      </c>
      <c r="AH364" t="n">
        <v>10</v>
      </c>
      <c r="AI364" t="n">
        <v>10</v>
      </c>
      <c r="AJ364" t="n">
        <v>15</v>
      </c>
      <c r="AK364" t="n">
        <v>15</v>
      </c>
      <c r="AL364" t="n">
        <v>4</v>
      </c>
      <c r="AM364" t="n">
        <v>4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HYPERLINK("https://creighton-primo.hosted.exlibrisgroup.com/primo-explore/search?tab=default_tab&amp;search_scope=EVERYTHING&amp;vid=01CRU&amp;lang=en_US&amp;offset=0&amp;query=any,contains,991000216589702656","Catalog Record")</f>
        <v/>
      </c>
      <c r="AT364">
        <f>HYPERLINK("http://www.worldcat.org/oclc/9557893","WorldCat Record")</f>
        <v/>
      </c>
      <c r="AU364" t="inlineStr">
        <is>
          <t>332330192:eng</t>
        </is>
      </c>
      <c r="AV364" t="inlineStr">
        <is>
          <t>9557893</t>
        </is>
      </c>
      <c r="AW364" t="inlineStr">
        <is>
          <t>991000216589702656</t>
        </is>
      </c>
      <c r="AX364" t="inlineStr">
        <is>
          <t>991000216589702656</t>
        </is>
      </c>
      <c r="AY364" t="inlineStr">
        <is>
          <t>2266860260002656</t>
        </is>
      </c>
      <c r="AZ364" t="inlineStr">
        <is>
          <t>BOOK</t>
        </is>
      </c>
      <c r="BB364" t="inlineStr">
        <is>
          <t>9780674462762</t>
        </is>
      </c>
      <c r="BC364" t="inlineStr">
        <is>
          <t>32285000883776</t>
        </is>
      </c>
      <c r="BD364" t="inlineStr">
        <is>
          <t>893701938</t>
        </is>
      </c>
    </row>
    <row r="365">
      <c r="A365" t="inlineStr">
        <is>
          <t>No</t>
        </is>
      </c>
      <c r="B365" t="inlineStr">
        <is>
          <t>PS3142.W2 M4</t>
        </is>
      </c>
      <c r="C365" t="inlineStr">
        <is>
          <t>0                      PS 3142000W  2                  M  4</t>
        </is>
      </c>
      <c r="D365" t="inlineStr">
        <is>
          <t>Men, women, and ghosts.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Phelps, Elizabeth Stuart, 1844-1911.</t>
        </is>
      </c>
      <c r="L365" t="inlineStr">
        <is>
          <t>[New York] Garrett Press [1969]</t>
        </is>
      </c>
      <c r="M365" t="inlineStr">
        <is>
          <t>1969</t>
        </is>
      </c>
      <c r="O365" t="inlineStr">
        <is>
          <t>eng</t>
        </is>
      </c>
      <c r="P365" t="inlineStr">
        <is>
          <t>nyu</t>
        </is>
      </c>
      <c r="Q365" t="inlineStr">
        <is>
          <t>The American short story series, v. 84</t>
        </is>
      </c>
      <c r="R365" t="inlineStr">
        <is>
          <t xml:space="preserve">PS </t>
        </is>
      </c>
      <c r="S365" t="n">
        <v>1</v>
      </c>
      <c r="T365" t="n">
        <v>1</v>
      </c>
      <c r="U365" t="inlineStr">
        <is>
          <t>2005-11-15</t>
        </is>
      </c>
      <c r="V365" t="inlineStr">
        <is>
          <t>2005-11-15</t>
        </is>
      </c>
      <c r="W365" t="inlineStr">
        <is>
          <t>1997-05-23</t>
        </is>
      </c>
      <c r="X365" t="inlineStr">
        <is>
          <t>1997-05-23</t>
        </is>
      </c>
      <c r="Y365" t="n">
        <v>181</v>
      </c>
      <c r="Z365" t="n">
        <v>169</v>
      </c>
      <c r="AA365" t="n">
        <v>386</v>
      </c>
      <c r="AB365" t="n">
        <v>2</v>
      </c>
      <c r="AC365" t="n">
        <v>2</v>
      </c>
      <c r="AD365" t="n">
        <v>9</v>
      </c>
      <c r="AE365" t="n">
        <v>14</v>
      </c>
      <c r="AF365" t="n">
        <v>2</v>
      </c>
      <c r="AG365" t="n">
        <v>3</v>
      </c>
      <c r="AH365" t="n">
        <v>3</v>
      </c>
      <c r="AI365" t="n">
        <v>6</v>
      </c>
      <c r="AJ365" t="n">
        <v>7</v>
      </c>
      <c r="AK365" t="n">
        <v>9</v>
      </c>
      <c r="AL365" t="n">
        <v>1</v>
      </c>
      <c r="AM365" t="n">
        <v>1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HYPERLINK("http://catalog.hathitrust.org/Record/007592353","HathiTrust Record")</f>
        <v/>
      </c>
      <c r="AS365">
        <f>HYPERLINK("https://creighton-primo.hosted.exlibrisgroup.com/primo-explore/search?tab=default_tab&amp;search_scope=EVERYTHING&amp;vid=01CRU&amp;lang=en_US&amp;offset=0&amp;query=any,contains,991000049209702656","Catalog Record")</f>
        <v/>
      </c>
      <c r="AT365">
        <f>HYPERLINK("http://www.worldcat.org/oclc/22666","WorldCat Record")</f>
        <v/>
      </c>
      <c r="AU365" t="inlineStr">
        <is>
          <t>1144877:eng</t>
        </is>
      </c>
      <c r="AV365" t="inlineStr">
        <is>
          <t>22666</t>
        </is>
      </c>
      <c r="AW365" t="inlineStr">
        <is>
          <t>991000049209702656</t>
        </is>
      </c>
      <c r="AX365" t="inlineStr">
        <is>
          <t>991000049209702656</t>
        </is>
      </c>
      <c r="AY365" t="inlineStr">
        <is>
          <t>2268203010002656</t>
        </is>
      </c>
      <c r="AZ365" t="inlineStr">
        <is>
          <t>BOOK</t>
        </is>
      </c>
      <c r="BC365" t="inlineStr">
        <is>
          <t>32285002717253</t>
        </is>
      </c>
      <c r="BD365" t="inlineStr">
        <is>
          <t>893714248</t>
        </is>
      </c>
    </row>
    <row r="366">
      <c r="A366" t="inlineStr">
        <is>
          <t>No</t>
        </is>
      </c>
      <c r="B366" t="inlineStr">
        <is>
          <t>PS316 .D65 1984</t>
        </is>
      </c>
      <c r="C366" t="inlineStr">
        <is>
          <t>0                      PS 0316000D  65          1984</t>
        </is>
      </c>
      <c r="D366" t="inlineStr">
        <is>
          <t>Connoisseurs of chaos : ideas of order in modern American poetry / Denis Donoghue.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Donoghue, Denis.</t>
        </is>
      </c>
      <c r="L366" t="inlineStr">
        <is>
          <t>New York : Columbia University Press, 1984.</t>
        </is>
      </c>
      <c r="M366" t="inlineStr">
        <is>
          <t>1984</t>
        </is>
      </c>
      <c r="N366" t="inlineStr">
        <is>
          <t>2nd ed., Columbia University Press Morningside ed.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PS </t>
        </is>
      </c>
      <c r="S366" t="n">
        <v>6</v>
      </c>
      <c r="T366" t="n">
        <v>6</v>
      </c>
      <c r="U366" t="inlineStr">
        <is>
          <t>2003-12-11</t>
        </is>
      </c>
      <c r="V366" t="inlineStr">
        <is>
          <t>2003-12-11</t>
        </is>
      </c>
      <c r="W366" t="inlineStr">
        <is>
          <t>1996-04-08</t>
        </is>
      </c>
      <c r="X366" t="inlineStr">
        <is>
          <t>1996-04-08</t>
        </is>
      </c>
      <c r="Y366" t="n">
        <v>417</v>
      </c>
      <c r="Z366" t="n">
        <v>351</v>
      </c>
      <c r="AA366" t="n">
        <v>1045</v>
      </c>
      <c r="AB366" t="n">
        <v>4</v>
      </c>
      <c r="AC366" t="n">
        <v>6</v>
      </c>
      <c r="AD366" t="n">
        <v>20</v>
      </c>
      <c r="AE366" t="n">
        <v>45</v>
      </c>
      <c r="AF366" t="n">
        <v>6</v>
      </c>
      <c r="AG366" t="n">
        <v>19</v>
      </c>
      <c r="AH366" t="n">
        <v>4</v>
      </c>
      <c r="AI366" t="n">
        <v>8</v>
      </c>
      <c r="AJ366" t="n">
        <v>11</v>
      </c>
      <c r="AK366" t="n">
        <v>22</v>
      </c>
      <c r="AL366" t="n">
        <v>3</v>
      </c>
      <c r="AM366" t="n">
        <v>5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HYPERLINK("https://creighton-primo.hosted.exlibrisgroup.com/primo-explore/search?tab=default_tab&amp;search_scope=EVERYTHING&amp;vid=01CRU&amp;lang=en_US&amp;offset=0&amp;query=any,contains,991000301669702656","Catalog Record")</f>
        <v/>
      </c>
      <c r="AT366">
        <f>HYPERLINK("http://www.worldcat.org/oclc/10022985","WorldCat Record")</f>
        <v/>
      </c>
      <c r="AU366" t="inlineStr">
        <is>
          <t>1061208:eng</t>
        </is>
      </c>
      <c r="AV366" t="inlineStr">
        <is>
          <t>10022985</t>
        </is>
      </c>
      <c r="AW366" t="inlineStr">
        <is>
          <t>991000301669702656</t>
        </is>
      </c>
      <c r="AX366" t="inlineStr">
        <is>
          <t>991000301669702656</t>
        </is>
      </c>
      <c r="AY366" t="inlineStr">
        <is>
          <t>2268278250002656</t>
        </is>
      </c>
      <c r="AZ366" t="inlineStr">
        <is>
          <t>BOOK</t>
        </is>
      </c>
      <c r="BB366" t="inlineStr">
        <is>
          <t>9780231057349</t>
        </is>
      </c>
      <c r="BC366" t="inlineStr">
        <is>
          <t>32285002150661</t>
        </is>
      </c>
      <c r="BD366" t="inlineStr">
        <is>
          <t>893496112</t>
        </is>
      </c>
    </row>
    <row r="367">
      <c r="A367" t="inlineStr">
        <is>
          <t>No</t>
        </is>
      </c>
      <c r="B367" t="inlineStr">
        <is>
          <t>PS3229 .W391</t>
        </is>
      </c>
      <c r="C367" t="inlineStr">
        <is>
          <t>0                      PS 3229000W  391</t>
        </is>
      </c>
      <c r="D367" t="inlineStr">
        <is>
          <t>The Bicentennial Walt Whitman : essays from the Long-Islander / edited by William White.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L367" t="inlineStr">
        <is>
          <t>Detroit : Wayne State University Press, 1976, c1977.</t>
        </is>
      </c>
      <c r="M367" t="inlineStr">
        <is>
          <t>1976</t>
        </is>
      </c>
      <c r="O367" t="inlineStr">
        <is>
          <t>eng</t>
        </is>
      </c>
      <c r="P367" t="inlineStr">
        <is>
          <t>miu</t>
        </is>
      </c>
      <c r="R367" t="inlineStr">
        <is>
          <t xml:space="preserve">PS </t>
        </is>
      </c>
      <c r="S367" t="n">
        <v>1</v>
      </c>
      <c r="T367" t="n">
        <v>1</v>
      </c>
      <c r="U367" t="inlineStr">
        <is>
          <t>2001-12-07</t>
        </is>
      </c>
      <c r="V367" t="inlineStr">
        <is>
          <t>2001-12-07</t>
        </is>
      </c>
      <c r="W367" t="inlineStr">
        <is>
          <t>1997-05-23</t>
        </is>
      </c>
      <c r="X367" t="inlineStr">
        <is>
          <t>1997-05-23</t>
        </is>
      </c>
      <c r="Y367" t="n">
        <v>146</v>
      </c>
      <c r="Z367" t="n">
        <v>127</v>
      </c>
      <c r="AA367" t="n">
        <v>128</v>
      </c>
      <c r="AB367" t="n">
        <v>2</v>
      </c>
      <c r="AC367" t="n">
        <v>2</v>
      </c>
      <c r="AD367" t="n">
        <v>7</v>
      </c>
      <c r="AE367" t="n">
        <v>7</v>
      </c>
      <c r="AF367" t="n">
        <v>1</v>
      </c>
      <c r="AG367" t="n">
        <v>1</v>
      </c>
      <c r="AH367" t="n">
        <v>3</v>
      </c>
      <c r="AI367" t="n">
        <v>3</v>
      </c>
      <c r="AJ367" t="n">
        <v>5</v>
      </c>
      <c r="AK367" t="n">
        <v>5</v>
      </c>
      <c r="AL367" t="n">
        <v>1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HYPERLINK("https://creighton-primo.hosted.exlibrisgroup.com/primo-explore/search?tab=default_tab&amp;search_scope=EVERYTHING&amp;vid=01CRU&amp;lang=en_US&amp;offset=0&amp;query=any,contains,991004273289702656","Catalog Record")</f>
        <v/>
      </c>
      <c r="AT367">
        <f>HYPERLINK("http://www.worldcat.org/oclc/2884879","WorldCat Record")</f>
        <v/>
      </c>
      <c r="AU367" t="inlineStr">
        <is>
          <t>6545922:eng</t>
        </is>
      </c>
      <c r="AV367" t="inlineStr">
        <is>
          <t>2884879</t>
        </is>
      </c>
      <c r="AW367" t="inlineStr">
        <is>
          <t>991004273289702656</t>
        </is>
      </c>
      <c r="AX367" t="inlineStr">
        <is>
          <t>991004273289702656</t>
        </is>
      </c>
      <c r="AY367" t="inlineStr">
        <is>
          <t>2255078250002656</t>
        </is>
      </c>
      <c r="AZ367" t="inlineStr">
        <is>
          <t>BOOK</t>
        </is>
      </c>
      <c r="BC367" t="inlineStr">
        <is>
          <t>32285002717329</t>
        </is>
      </c>
      <c r="BD367" t="inlineStr">
        <is>
          <t>893782059</t>
        </is>
      </c>
    </row>
    <row r="368">
      <c r="A368" t="inlineStr">
        <is>
          <t>No</t>
        </is>
      </c>
      <c r="B368" t="inlineStr">
        <is>
          <t>PS323 .M3</t>
        </is>
      </c>
      <c r="C368" t="inlineStr">
        <is>
          <t>0                      PS 0323000M  3</t>
        </is>
      </c>
      <c r="D368" t="inlineStr">
        <is>
          <t>Modern American poetry : essays in criticism.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Mazzaro, Jerome compiler.</t>
        </is>
      </c>
      <c r="L368" t="inlineStr">
        <is>
          <t>New York : D. McKay Co., [1970]</t>
        </is>
      </c>
      <c r="M368" t="inlineStr">
        <is>
          <t>1970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PS </t>
        </is>
      </c>
      <c r="S368" t="n">
        <v>4</v>
      </c>
      <c r="T368" t="n">
        <v>4</v>
      </c>
      <c r="U368" t="inlineStr">
        <is>
          <t>1998-03-05</t>
        </is>
      </c>
      <c r="V368" t="inlineStr">
        <is>
          <t>1998-03-05</t>
        </is>
      </c>
      <c r="W368" t="inlineStr">
        <is>
          <t>1992-01-24</t>
        </is>
      </c>
      <c r="X368" t="inlineStr">
        <is>
          <t>1992-01-24</t>
        </is>
      </c>
      <c r="Y368" t="n">
        <v>1210</v>
      </c>
      <c r="Z368" t="n">
        <v>1112</v>
      </c>
      <c r="AA368" t="n">
        <v>1119</v>
      </c>
      <c r="AB368" t="n">
        <v>10</v>
      </c>
      <c r="AC368" t="n">
        <v>10</v>
      </c>
      <c r="AD368" t="n">
        <v>43</v>
      </c>
      <c r="AE368" t="n">
        <v>43</v>
      </c>
      <c r="AF368" t="n">
        <v>20</v>
      </c>
      <c r="AG368" t="n">
        <v>20</v>
      </c>
      <c r="AH368" t="n">
        <v>7</v>
      </c>
      <c r="AI368" t="n">
        <v>7</v>
      </c>
      <c r="AJ368" t="n">
        <v>16</v>
      </c>
      <c r="AK368" t="n">
        <v>16</v>
      </c>
      <c r="AL368" t="n">
        <v>9</v>
      </c>
      <c r="AM368" t="n">
        <v>9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HYPERLINK("https://creighton-primo.hosted.exlibrisgroup.com/primo-explore/search?tab=default_tab&amp;search_scope=EVERYTHING&amp;vid=01CRU&amp;lang=en_US&amp;offset=0&amp;query=any,contains,991000189769702656","Catalog Record")</f>
        <v/>
      </c>
      <c r="AT368">
        <f>HYPERLINK("http://www.worldcat.org/oclc/63790","WorldCat Record")</f>
        <v/>
      </c>
      <c r="AU368" t="inlineStr">
        <is>
          <t>151047032:eng</t>
        </is>
      </c>
      <c r="AV368" t="inlineStr">
        <is>
          <t>63790</t>
        </is>
      </c>
      <c r="AW368" t="inlineStr">
        <is>
          <t>991000189769702656</t>
        </is>
      </c>
      <c r="AX368" t="inlineStr">
        <is>
          <t>991000189769702656</t>
        </is>
      </c>
      <c r="AY368" t="inlineStr">
        <is>
          <t>2256082060002656</t>
        </is>
      </c>
      <c r="AZ368" t="inlineStr">
        <is>
          <t>BOOK</t>
        </is>
      </c>
      <c r="BC368" t="inlineStr">
        <is>
          <t>32285000917434</t>
        </is>
      </c>
      <c r="BD368" t="inlineStr">
        <is>
          <t>893444241</t>
        </is>
      </c>
    </row>
    <row r="369">
      <c r="A369" t="inlineStr">
        <is>
          <t>No</t>
        </is>
      </c>
      <c r="B369" t="inlineStr">
        <is>
          <t>PS323.5 .B64 1979</t>
        </is>
      </c>
      <c r="C369" t="inlineStr">
        <is>
          <t>0                      PS 0323500B  64          1979</t>
        </is>
      </c>
      <c r="D369" t="inlineStr">
        <is>
          <t>Language and the poet : verbal artistry in Frost, Stevens, and Moore / Marie Borroff.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Borroff, Marie.</t>
        </is>
      </c>
      <c r="L369" t="inlineStr">
        <is>
          <t>Chicago : University of Chicago Press, 1979.</t>
        </is>
      </c>
      <c r="M369" t="inlineStr">
        <is>
          <t>1979</t>
        </is>
      </c>
      <c r="O369" t="inlineStr">
        <is>
          <t>eng</t>
        </is>
      </c>
      <c r="P369" t="inlineStr">
        <is>
          <t>ilu</t>
        </is>
      </c>
      <c r="R369" t="inlineStr">
        <is>
          <t xml:space="preserve">PS </t>
        </is>
      </c>
      <c r="S369" t="n">
        <v>4</v>
      </c>
      <c r="T369" t="n">
        <v>4</v>
      </c>
      <c r="U369" t="inlineStr">
        <is>
          <t>1999-11-14</t>
        </is>
      </c>
      <c r="V369" t="inlineStr">
        <is>
          <t>1999-11-14</t>
        </is>
      </c>
      <c r="W369" t="inlineStr">
        <is>
          <t>1990-06-15</t>
        </is>
      </c>
      <c r="X369" t="inlineStr">
        <is>
          <t>1990-06-15</t>
        </is>
      </c>
      <c r="Y369" t="n">
        <v>721</v>
      </c>
      <c r="Z369" t="n">
        <v>601</v>
      </c>
      <c r="AA369" t="n">
        <v>606</v>
      </c>
      <c r="AB369" t="n">
        <v>4</v>
      </c>
      <c r="AC369" t="n">
        <v>4</v>
      </c>
      <c r="AD369" t="n">
        <v>35</v>
      </c>
      <c r="AE369" t="n">
        <v>35</v>
      </c>
      <c r="AF369" t="n">
        <v>15</v>
      </c>
      <c r="AG369" t="n">
        <v>15</v>
      </c>
      <c r="AH369" t="n">
        <v>9</v>
      </c>
      <c r="AI369" t="n">
        <v>9</v>
      </c>
      <c r="AJ369" t="n">
        <v>19</v>
      </c>
      <c r="AK369" t="n">
        <v>19</v>
      </c>
      <c r="AL369" t="n">
        <v>3</v>
      </c>
      <c r="AM369" t="n">
        <v>3</v>
      </c>
      <c r="AN369" t="n">
        <v>0</v>
      </c>
      <c r="AO369" t="n">
        <v>0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HYPERLINK("https://creighton-primo.hosted.exlibrisgroup.com/primo-explore/search?tab=default_tab&amp;search_scope=EVERYTHING&amp;vid=01CRU&amp;lang=en_US&amp;offset=0&amp;query=any,contains,991004593009702656","Catalog Record")</f>
        <v/>
      </c>
      <c r="AT369">
        <f>HYPERLINK("http://www.worldcat.org/oclc/4135547","WorldCat Record")</f>
        <v/>
      </c>
      <c r="AU369" t="inlineStr">
        <is>
          <t>309034879:eng</t>
        </is>
      </c>
      <c r="AV369" t="inlineStr">
        <is>
          <t>4135547</t>
        </is>
      </c>
      <c r="AW369" t="inlineStr">
        <is>
          <t>991004593009702656</t>
        </is>
      </c>
      <c r="AX369" t="inlineStr">
        <is>
          <t>991004593009702656</t>
        </is>
      </c>
      <c r="AY369" t="inlineStr">
        <is>
          <t>2255010650002656</t>
        </is>
      </c>
      <c r="AZ369" t="inlineStr">
        <is>
          <t>BOOK</t>
        </is>
      </c>
      <c r="BB369" t="inlineStr">
        <is>
          <t>9780226066516</t>
        </is>
      </c>
      <c r="BC369" t="inlineStr">
        <is>
          <t>32285000196823</t>
        </is>
      </c>
      <c r="BD369" t="inlineStr">
        <is>
          <t>893263338</t>
        </is>
      </c>
    </row>
    <row r="370">
      <c r="A370" t="inlineStr">
        <is>
          <t>No</t>
        </is>
      </c>
      <c r="B370" t="inlineStr">
        <is>
          <t>PS323.5 .C3</t>
        </is>
      </c>
      <c r="C370" t="inlineStr">
        <is>
          <t>0                      PS 0323500C  3</t>
        </is>
      </c>
      <c r="D370" t="inlineStr">
        <is>
          <t>The poem in its skin.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Carroll, Paul, 1927-1996.</t>
        </is>
      </c>
      <c r="L370" t="inlineStr">
        <is>
          <t>Chicago : Follett Pub. Co., [1968]</t>
        </is>
      </c>
      <c r="M370" t="inlineStr">
        <is>
          <t>1968</t>
        </is>
      </c>
      <c r="O370" t="inlineStr">
        <is>
          <t>eng</t>
        </is>
      </c>
      <c r="P370" t="inlineStr">
        <is>
          <t>ilu</t>
        </is>
      </c>
      <c r="Q370" t="inlineStr">
        <is>
          <t>A Big table book</t>
        </is>
      </c>
      <c r="R370" t="inlineStr">
        <is>
          <t xml:space="preserve">PS </t>
        </is>
      </c>
      <c r="S370" t="n">
        <v>4</v>
      </c>
      <c r="T370" t="n">
        <v>4</v>
      </c>
      <c r="U370" t="inlineStr">
        <is>
          <t>1996-03-09</t>
        </is>
      </c>
      <c r="V370" t="inlineStr">
        <is>
          <t>1996-03-09</t>
        </is>
      </c>
      <c r="W370" t="inlineStr">
        <is>
          <t>1995-04-03</t>
        </is>
      </c>
      <c r="X370" t="inlineStr">
        <is>
          <t>1995-04-03</t>
        </is>
      </c>
      <c r="Y370" t="n">
        <v>814</v>
      </c>
      <c r="Z370" t="n">
        <v>757</v>
      </c>
      <c r="AA370" t="n">
        <v>823</v>
      </c>
      <c r="AB370" t="n">
        <v>8</v>
      </c>
      <c r="AC370" t="n">
        <v>10</v>
      </c>
      <c r="AD370" t="n">
        <v>34</v>
      </c>
      <c r="AE370" t="n">
        <v>39</v>
      </c>
      <c r="AF370" t="n">
        <v>12</v>
      </c>
      <c r="AG370" t="n">
        <v>15</v>
      </c>
      <c r="AH370" t="n">
        <v>8</v>
      </c>
      <c r="AI370" t="n">
        <v>8</v>
      </c>
      <c r="AJ370" t="n">
        <v>16</v>
      </c>
      <c r="AK370" t="n">
        <v>17</v>
      </c>
      <c r="AL370" t="n">
        <v>7</v>
      </c>
      <c r="AM370" t="n">
        <v>8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HYPERLINK("http://catalog.hathitrust.org/Record/000000022","HathiTrust Record")</f>
        <v/>
      </c>
      <c r="AS370">
        <f>HYPERLINK("https://creighton-primo.hosted.exlibrisgroup.com/primo-explore/search?tab=default_tab&amp;search_scope=EVERYTHING&amp;vid=01CRU&amp;lang=en_US&amp;offset=0&amp;query=any,contains,991005432279702656","Catalog Record")</f>
        <v/>
      </c>
      <c r="AT370">
        <f>HYPERLINK("http://www.worldcat.org/oclc/1039","WorldCat Record")</f>
        <v/>
      </c>
      <c r="AU370" t="inlineStr">
        <is>
          <t>461857902:eng</t>
        </is>
      </c>
      <c r="AV370" t="inlineStr">
        <is>
          <t>1039</t>
        </is>
      </c>
      <c r="AW370" t="inlineStr">
        <is>
          <t>991005432279702656</t>
        </is>
      </c>
      <c r="AX370" t="inlineStr">
        <is>
          <t>991005432279702656</t>
        </is>
      </c>
      <c r="AY370" t="inlineStr">
        <is>
          <t>2271431900002656</t>
        </is>
      </c>
      <c r="AZ370" t="inlineStr">
        <is>
          <t>BOOK</t>
        </is>
      </c>
      <c r="BC370" t="inlineStr">
        <is>
          <t>32285002014792</t>
        </is>
      </c>
      <c r="BD370" t="inlineStr">
        <is>
          <t>893871187</t>
        </is>
      </c>
    </row>
    <row r="371">
      <c r="A371" t="inlineStr">
        <is>
          <t>No</t>
        </is>
      </c>
      <c r="B371" t="inlineStr">
        <is>
          <t>PS323.5 .C58 1988</t>
        </is>
      </c>
      <c r="C371" t="inlineStr">
        <is>
          <t>0                      PS 0323500C  58          1988</t>
        </is>
      </c>
      <c r="D371" t="inlineStr">
        <is>
          <t>The lyric and modern poetry : Olson, Creeley, Bunting / Brian Conniff.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Conniff, Brian, 1957-</t>
        </is>
      </c>
      <c r="L371" t="inlineStr">
        <is>
          <t>New York : P. Lang, c1988.</t>
        </is>
      </c>
      <c r="M371" t="inlineStr">
        <is>
          <t>1988</t>
        </is>
      </c>
      <c r="O371" t="inlineStr">
        <is>
          <t>eng</t>
        </is>
      </c>
      <c r="P371" t="inlineStr">
        <is>
          <t>nyu</t>
        </is>
      </c>
      <c r="Q371" t="inlineStr">
        <is>
          <t>American university studies. Series IV, English language and literature ; v. 60</t>
        </is>
      </c>
      <c r="R371" t="inlineStr">
        <is>
          <t xml:space="preserve">PS </t>
        </is>
      </c>
      <c r="S371" t="n">
        <v>1</v>
      </c>
      <c r="T371" t="n">
        <v>1</v>
      </c>
      <c r="U371" t="inlineStr">
        <is>
          <t>2004-02-21</t>
        </is>
      </c>
      <c r="V371" t="inlineStr">
        <is>
          <t>2004-02-21</t>
        </is>
      </c>
      <c r="W371" t="inlineStr">
        <is>
          <t>1990-12-04</t>
        </is>
      </c>
      <c r="X371" t="inlineStr">
        <is>
          <t>1990-12-04</t>
        </is>
      </c>
      <c r="Y371" t="n">
        <v>126</v>
      </c>
      <c r="Z371" t="n">
        <v>80</v>
      </c>
      <c r="AA371" t="n">
        <v>86</v>
      </c>
      <c r="AB371" t="n">
        <v>1</v>
      </c>
      <c r="AC371" t="n">
        <v>1</v>
      </c>
      <c r="AD371" t="n">
        <v>6</v>
      </c>
      <c r="AE371" t="n">
        <v>6</v>
      </c>
      <c r="AF371" t="n">
        <v>2</v>
      </c>
      <c r="AG371" t="n">
        <v>2</v>
      </c>
      <c r="AH371" t="n">
        <v>3</v>
      </c>
      <c r="AI371" t="n">
        <v>3</v>
      </c>
      <c r="AJ371" t="n">
        <v>3</v>
      </c>
      <c r="AK371" t="n">
        <v>3</v>
      </c>
      <c r="AL371" t="n">
        <v>0</v>
      </c>
      <c r="AM371" t="n">
        <v>0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HYPERLINK("http://catalog.hathitrust.org/Record/007136392","HathiTrust Record")</f>
        <v/>
      </c>
      <c r="AS371">
        <f>HYPERLINK("https://creighton-primo.hosted.exlibrisgroup.com/primo-explore/search?tab=default_tab&amp;search_scope=EVERYTHING&amp;vid=01CRU&amp;lang=en_US&amp;offset=0&amp;query=any,contains,991001173179702656","Catalog Record")</f>
        <v/>
      </c>
      <c r="AT371">
        <f>HYPERLINK("http://www.worldcat.org/oclc/16982451","WorldCat Record")</f>
        <v/>
      </c>
      <c r="AU371" t="inlineStr">
        <is>
          <t>13817057:eng</t>
        </is>
      </c>
      <c r="AV371" t="inlineStr">
        <is>
          <t>16982451</t>
        </is>
      </c>
      <c r="AW371" t="inlineStr">
        <is>
          <t>991001173179702656</t>
        </is>
      </c>
      <c r="AX371" t="inlineStr">
        <is>
          <t>991001173179702656</t>
        </is>
      </c>
      <c r="AY371" t="inlineStr">
        <is>
          <t>2255946150002656</t>
        </is>
      </c>
      <c r="AZ371" t="inlineStr">
        <is>
          <t>BOOK</t>
        </is>
      </c>
      <c r="BB371" t="inlineStr">
        <is>
          <t>9780820405339</t>
        </is>
      </c>
      <c r="BC371" t="inlineStr">
        <is>
          <t>32285000357862</t>
        </is>
      </c>
      <c r="BD371" t="inlineStr">
        <is>
          <t>893614846</t>
        </is>
      </c>
    </row>
    <row r="372">
      <c r="A372" t="inlineStr">
        <is>
          <t>No</t>
        </is>
      </c>
      <c r="B372" t="inlineStr">
        <is>
          <t>PS323.5 .D5 1981</t>
        </is>
      </c>
      <c r="C372" t="inlineStr">
        <is>
          <t>0                      PS 0323500D  5           1981</t>
        </is>
      </c>
      <c r="D372" t="inlineStr">
        <is>
          <t>Babel to Byzantium : poets &amp; poetry now / James Dickey.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Dickey, James.</t>
        </is>
      </c>
      <c r="L372" t="inlineStr">
        <is>
          <t>New York : Ecco Press, 1981.</t>
        </is>
      </c>
      <c r="M372" t="inlineStr">
        <is>
          <t>1981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PS </t>
        </is>
      </c>
      <c r="S372" t="n">
        <v>2</v>
      </c>
      <c r="T372" t="n">
        <v>2</v>
      </c>
      <c r="U372" t="inlineStr">
        <is>
          <t>1995-10-21</t>
        </is>
      </c>
      <c r="V372" t="inlineStr">
        <is>
          <t>1995-10-21</t>
        </is>
      </c>
      <c r="W372" t="inlineStr">
        <is>
          <t>1992-08-24</t>
        </is>
      </c>
      <c r="X372" t="inlineStr">
        <is>
          <t>1992-08-24</t>
        </is>
      </c>
      <c r="Y372" t="n">
        <v>113</v>
      </c>
      <c r="Z372" t="n">
        <v>93</v>
      </c>
      <c r="AA372" t="n">
        <v>1241</v>
      </c>
      <c r="AB372" t="n">
        <v>1</v>
      </c>
      <c r="AC372" t="n">
        <v>8</v>
      </c>
      <c r="AD372" t="n">
        <v>4</v>
      </c>
      <c r="AE372" t="n">
        <v>50</v>
      </c>
      <c r="AF372" t="n">
        <v>1</v>
      </c>
      <c r="AG372" t="n">
        <v>22</v>
      </c>
      <c r="AH372" t="n">
        <v>2</v>
      </c>
      <c r="AI372" t="n">
        <v>8</v>
      </c>
      <c r="AJ372" t="n">
        <v>1</v>
      </c>
      <c r="AK372" t="n">
        <v>25</v>
      </c>
      <c r="AL372" t="n">
        <v>0</v>
      </c>
      <c r="AM372" t="n">
        <v>6</v>
      </c>
      <c r="AN372" t="n">
        <v>0</v>
      </c>
      <c r="AO372" t="n">
        <v>0</v>
      </c>
      <c r="AP372" t="inlineStr">
        <is>
          <t>No</t>
        </is>
      </c>
      <c r="AQ372" t="inlineStr">
        <is>
          <t>No</t>
        </is>
      </c>
      <c r="AS372">
        <f>HYPERLINK("https://creighton-primo.hosted.exlibrisgroup.com/primo-explore/search?tab=default_tab&amp;search_scope=EVERYTHING&amp;vid=01CRU&amp;lang=en_US&amp;offset=0&amp;query=any,contains,991005117309702656","Catalog Record")</f>
        <v/>
      </c>
      <c r="AT372">
        <f>HYPERLINK("http://www.worldcat.org/oclc/7464189","WorldCat Record")</f>
        <v/>
      </c>
      <c r="AU372" t="inlineStr">
        <is>
          <t>451124:eng</t>
        </is>
      </c>
      <c r="AV372" t="inlineStr">
        <is>
          <t>7464189</t>
        </is>
      </c>
      <c r="AW372" t="inlineStr">
        <is>
          <t>991005117309702656</t>
        </is>
      </c>
      <c r="AX372" t="inlineStr">
        <is>
          <t>991005117309702656</t>
        </is>
      </c>
      <c r="AY372" t="inlineStr">
        <is>
          <t>2262421660002656</t>
        </is>
      </c>
      <c r="AZ372" t="inlineStr">
        <is>
          <t>BOOK</t>
        </is>
      </c>
      <c r="BB372" t="inlineStr">
        <is>
          <t>9780912946863</t>
        </is>
      </c>
      <c r="BC372" t="inlineStr">
        <is>
          <t>32285001270874</t>
        </is>
      </c>
      <c r="BD372" t="inlineStr">
        <is>
          <t>893713469</t>
        </is>
      </c>
    </row>
    <row r="373">
      <c r="A373" t="inlineStr">
        <is>
          <t>No</t>
        </is>
      </c>
      <c r="B373" t="inlineStr">
        <is>
          <t>PS323.5 .F56 2003</t>
        </is>
      </c>
      <c r="C373" t="inlineStr">
        <is>
          <t>0                      PS 0323500F  56          2003</t>
        </is>
      </c>
      <c r="D373" t="inlineStr">
        <is>
          <t>Lyrical interference : essays on poetics / Norman Finkelstein.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Finkelstein, Norman, 1954-</t>
        </is>
      </c>
      <c r="L373" t="inlineStr">
        <is>
          <t>New York : Spuyten Duyvil, c2003.</t>
        </is>
      </c>
      <c r="M373" t="inlineStr">
        <is>
          <t>2003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PS </t>
        </is>
      </c>
      <c r="S373" t="n">
        <v>1</v>
      </c>
      <c r="T373" t="n">
        <v>1</v>
      </c>
      <c r="U373" t="inlineStr">
        <is>
          <t>2004-08-09</t>
        </is>
      </c>
      <c r="V373" t="inlineStr">
        <is>
          <t>2004-08-09</t>
        </is>
      </c>
      <c r="W373" t="inlineStr">
        <is>
          <t>2004-08-09</t>
        </is>
      </c>
      <c r="X373" t="inlineStr">
        <is>
          <t>2004-08-09</t>
        </is>
      </c>
      <c r="Y373" t="n">
        <v>67</v>
      </c>
      <c r="Z373" t="n">
        <v>57</v>
      </c>
      <c r="AA373" t="n">
        <v>58</v>
      </c>
      <c r="AB373" t="n">
        <v>1</v>
      </c>
      <c r="AC373" t="n">
        <v>1</v>
      </c>
      <c r="AD373" t="n">
        <v>5</v>
      </c>
      <c r="AE373" t="n">
        <v>5</v>
      </c>
      <c r="AF373" t="n">
        <v>1</v>
      </c>
      <c r="AG373" t="n">
        <v>1</v>
      </c>
      <c r="AH373" t="n">
        <v>3</v>
      </c>
      <c r="AI373" t="n">
        <v>3</v>
      </c>
      <c r="AJ373" t="n">
        <v>2</v>
      </c>
      <c r="AK373" t="n">
        <v>2</v>
      </c>
      <c r="AL373" t="n">
        <v>0</v>
      </c>
      <c r="AM373" t="n">
        <v>0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HYPERLINK("https://creighton-primo.hosted.exlibrisgroup.com/primo-explore/search?tab=default_tab&amp;search_scope=EVERYTHING&amp;vid=01CRU&amp;lang=en_US&amp;offset=0&amp;query=any,contains,991004313259702656","Catalog Record")</f>
        <v/>
      </c>
      <c r="AT373">
        <f>HYPERLINK("http://www.worldcat.org/oclc/52518819","WorldCat Record")</f>
        <v/>
      </c>
      <c r="AU373" t="inlineStr">
        <is>
          <t>152269825:eng</t>
        </is>
      </c>
      <c r="AV373" t="inlineStr">
        <is>
          <t>52518819</t>
        </is>
      </c>
      <c r="AW373" t="inlineStr">
        <is>
          <t>991004313259702656</t>
        </is>
      </c>
      <c r="AX373" t="inlineStr">
        <is>
          <t>991004313259702656</t>
        </is>
      </c>
      <c r="AY373" t="inlineStr">
        <is>
          <t>2261787840002656</t>
        </is>
      </c>
      <c r="AZ373" t="inlineStr">
        <is>
          <t>BOOK</t>
        </is>
      </c>
      <c r="BB373" t="inlineStr">
        <is>
          <t>9780972066228</t>
        </is>
      </c>
      <c r="BC373" t="inlineStr">
        <is>
          <t>32285004980354</t>
        </is>
      </c>
      <c r="BD373" t="inlineStr">
        <is>
          <t>893235326</t>
        </is>
      </c>
    </row>
    <row r="374">
      <c r="A374" t="inlineStr">
        <is>
          <t>No</t>
        </is>
      </c>
      <c r="B374" t="inlineStr">
        <is>
          <t>PS323.5 .M25 2003</t>
        </is>
      </c>
      <c r="C374" t="inlineStr">
        <is>
          <t>0                      PS 0323500M  25          2003</t>
        </is>
      </c>
      <c r="D374" t="inlineStr">
        <is>
          <t>Essays on poetry / by Ralph J. Mills, Jr. ; introduction by Michael Anania.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Mills, Ralph J.</t>
        </is>
      </c>
      <c r="L374" t="inlineStr">
        <is>
          <t>[Normal, Ill.] : Dalkey Archive Press, 2003.</t>
        </is>
      </c>
      <c r="M374" t="inlineStr">
        <is>
          <t>2003</t>
        </is>
      </c>
      <c r="N374" t="inlineStr">
        <is>
          <t>1st ed.</t>
        </is>
      </c>
      <c r="O374" t="inlineStr">
        <is>
          <t>eng</t>
        </is>
      </c>
      <c r="P374" t="inlineStr">
        <is>
          <t>ilu</t>
        </is>
      </c>
      <c r="R374" t="inlineStr">
        <is>
          <t xml:space="preserve">PS </t>
        </is>
      </c>
      <c r="S374" t="n">
        <v>1</v>
      </c>
      <c r="T374" t="n">
        <v>1</v>
      </c>
      <c r="U374" t="inlineStr">
        <is>
          <t>2005-04-05</t>
        </is>
      </c>
      <c r="V374" t="inlineStr">
        <is>
          <t>2005-04-05</t>
        </is>
      </c>
      <c r="W374" t="inlineStr">
        <is>
          <t>2005-04-05</t>
        </is>
      </c>
      <c r="X374" t="inlineStr">
        <is>
          <t>2005-04-05</t>
        </is>
      </c>
      <c r="Y374" t="n">
        <v>230</v>
      </c>
      <c r="Z374" t="n">
        <v>210</v>
      </c>
      <c r="AA374" t="n">
        <v>212</v>
      </c>
      <c r="AB374" t="n">
        <v>3</v>
      </c>
      <c r="AC374" t="n">
        <v>3</v>
      </c>
      <c r="AD374" t="n">
        <v>9</v>
      </c>
      <c r="AE374" t="n">
        <v>9</v>
      </c>
      <c r="AF374" t="n">
        <v>6</v>
      </c>
      <c r="AG374" t="n">
        <v>6</v>
      </c>
      <c r="AH374" t="n">
        <v>1</v>
      </c>
      <c r="AI374" t="n">
        <v>1</v>
      </c>
      <c r="AJ374" t="n">
        <v>2</v>
      </c>
      <c r="AK374" t="n">
        <v>2</v>
      </c>
      <c r="AL374" t="n">
        <v>2</v>
      </c>
      <c r="AM374" t="n">
        <v>2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HYPERLINK("http://catalog.hathitrust.org/Record/004336173","HathiTrust Record")</f>
        <v/>
      </c>
      <c r="AS374">
        <f>HYPERLINK("https://creighton-primo.hosted.exlibrisgroup.com/primo-explore/search?tab=default_tab&amp;search_scope=EVERYTHING&amp;vid=01CRU&amp;lang=en_US&amp;offset=0&amp;query=any,contains,991004506519702656","Catalog Record")</f>
        <v/>
      </c>
      <c r="AT374">
        <f>HYPERLINK("http://www.worldcat.org/oclc/51258773","WorldCat Record")</f>
        <v/>
      </c>
      <c r="AU374" t="inlineStr">
        <is>
          <t>777617:eng</t>
        </is>
      </c>
      <c r="AV374" t="inlineStr">
        <is>
          <t>51258773</t>
        </is>
      </c>
      <c r="AW374" t="inlineStr">
        <is>
          <t>991004506519702656</t>
        </is>
      </c>
      <c r="AX374" t="inlineStr">
        <is>
          <t>991004506519702656</t>
        </is>
      </c>
      <c r="AY374" t="inlineStr">
        <is>
          <t>2268386400002656</t>
        </is>
      </c>
      <c r="AZ374" t="inlineStr">
        <is>
          <t>BOOK</t>
        </is>
      </c>
      <c r="BB374" t="inlineStr">
        <is>
          <t>9781564782946</t>
        </is>
      </c>
      <c r="BC374" t="inlineStr">
        <is>
          <t>32285005047617</t>
        </is>
      </c>
      <c r="BD374" t="inlineStr">
        <is>
          <t>893343916</t>
        </is>
      </c>
    </row>
    <row r="375">
      <c r="A375" t="inlineStr">
        <is>
          <t>No</t>
        </is>
      </c>
      <c r="B375" t="inlineStr">
        <is>
          <t>PS323.5 .M39</t>
        </is>
      </c>
      <c r="C375" t="inlineStr">
        <is>
          <t>0                      PS 0323500M  39</t>
        </is>
      </c>
      <c r="D375" t="inlineStr">
        <is>
          <t>Postmodern American poetry / Jerome Mazzaro.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Mazzaro, Jerome.</t>
        </is>
      </c>
      <c r="L375" t="inlineStr">
        <is>
          <t>Urbana : University of Illionois Press, c1980.</t>
        </is>
      </c>
      <c r="M375" t="inlineStr">
        <is>
          <t>1980</t>
        </is>
      </c>
      <c r="O375" t="inlineStr">
        <is>
          <t>eng</t>
        </is>
      </c>
      <c r="P375" t="inlineStr">
        <is>
          <t>ilu</t>
        </is>
      </c>
      <c r="R375" t="inlineStr">
        <is>
          <t xml:space="preserve">PS </t>
        </is>
      </c>
      <c r="S375" t="n">
        <v>3</v>
      </c>
      <c r="T375" t="n">
        <v>3</v>
      </c>
      <c r="U375" t="inlineStr">
        <is>
          <t>2001-12-06</t>
        </is>
      </c>
      <c r="V375" t="inlineStr">
        <is>
          <t>2001-12-06</t>
        </is>
      </c>
      <c r="W375" t="inlineStr">
        <is>
          <t>1992-08-24</t>
        </is>
      </c>
      <c r="X375" t="inlineStr">
        <is>
          <t>1992-08-24</t>
        </is>
      </c>
      <c r="Y375" t="n">
        <v>953</v>
      </c>
      <c r="Z375" t="n">
        <v>802</v>
      </c>
      <c r="AA375" t="n">
        <v>812</v>
      </c>
      <c r="AB375" t="n">
        <v>9</v>
      </c>
      <c r="AC375" t="n">
        <v>9</v>
      </c>
      <c r="AD375" t="n">
        <v>39</v>
      </c>
      <c r="AE375" t="n">
        <v>40</v>
      </c>
      <c r="AF375" t="n">
        <v>16</v>
      </c>
      <c r="AG375" t="n">
        <v>16</v>
      </c>
      <c r="AH375" t="n">
        <v>9</v>
      </c>
      <c r="AI375" t="n">
        <v>10</v>
      </c>
      <c r="AJ375" t="n">
        <v>13</v>
      </c>
      <c r="AK375" t="n">
        <v>14</v>
      </c>
      <c r="AL375" t="n">
        <v>8</v>
      </c>
      <c r="AM375" t="n">
        <v>8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HYPERLINK("http://catalog.hathitrust.org/Record/000712070","HathiTrust Record")</f>
        <v/>
      </c>
      <c r="AS375">
        <f>HYPERLINK("https://creighton-primo.hosted.exlibrisgroup.com/primo-explore/search?tab=default_tab&amp;search_scope=EVERYTHING&amp;vid=01CRU&amp;lang=en_US&amp;offset=0&amp;query=any,contains,991004723709702656","Catalog Record")</f>
        <v/>
      </c>
      <c r="AT375">
        <f>HYPERLINK("http://www.worldcat.org/oclc/4805056","WorldCat Record")</f>
        <v/>
      </c>
      <c r="AU375" t="inlineStr">
        <is>
          <t>3856744255:eng</t>
        </is>
      </c>
      <c r="AV375" t="inlineStr">
        <is>
          <t>4805056</t>
        </is>
      </c>
      <c r="AW375" t="inlineStr">
        <is>
          <t>991004723709702656</t>
        </is>
      </c>
      <c r="AX375" t="inlineStr">
        <is>
          <t>991004723709702656</t>
        </is>
      </c>
      <c r="AY375" t="inlineStr">
        <is>
          <t>2270732050002656</t>
        </is>
      </c>
      <c r="AZ375" t="inlineStr">
        <is>
          <t>BOOK</t>
        </is>
      </c>
      <c r="BB375" t="inlineStr">
        <is>
          <t>9780252007590</t>
        </is>
      </c>
      <c r="BC375" t="inlineStr">
        <is>
          <t>32285001270924</t>
        </is>
      </c>
      <c r="BD375" t="inlineStr">
        <is>
          <t>893331967</t>
        </is>
      </c>
    </row>
    <row r="376">
      <c r="A376" t="inlineStr">
        <is>
          <t>No</t>
        </is>
      </c>
      <c r="B376" t="inlineStr">
        <is>
          <t>PS323.5 .M55</t>
        </is>
      </c>
      <c r="C376" t="inlineStr">
        <is>
          <t>0                      PS 0323500M  55</t>
        </is>
      </c>
      <c r="D376" t="inlineStr">
        <is>
          <t>The fierce embrace : a study of contemporary American poetry / Charles Molesworth.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Molesworth, Charles.</t>
        </is>
      </c>
      <c r="L376" t="inlineStr">
        <is>
          <t>Columbia : University of Missouri Press, 1979.</t>
        </is>
      </c>
      <c r="M376" t="inlineStr">
        <is>
          <t>1979</t>
        </is>
      </c>
      <c r="O376" t="inlineStr">
        <is>
          <t>eng</t>
        </is>
      </c>
      <c r="P376" t="inlineStr">
        <is>
          <t>scu</t>
        </is>
      </c>
      <c r="R376" t="inlineStr">
        <is>
          <t xml:space="preserve">PS </t>
        </is>
      </c>
      <c r="S376" t="n">
        <v>4</v>
      </c>
      <c r="T376" t="n">
        <v>4</v>
      </c>
      <c r="U376" t="inlineStr">
        <is>
          <t>1996-03-09</t>
        </is>
      </c>
      <c r="V376" t="inlineStr">
        <is>
          <t>1996-03-09</t>
        </is>
      </c>
      <c r="W376" t="inlineStr">
        <is>
          <t>1992-08-24</t>
        </is>
      </c>
      <c r="X376" t="inlineStr">
        <is>
          <t>1992-08-24</t>
        </is>
      </c>
      <c r="Y376" t="n">
        <v>1182</v>
      </c>
      <c r="Z376" t="n">
        <v>1035</v>
      </c>
      <c r="AA376" t="n">
        <v>1048</v>
      </c>
      <c r="AB376" t="n">
        <v>9</v>
      </c>
      <c r="AC376" t="n">
        <v>9</v>
      </c>
      <c r="AD376" t="n">
        <v>44</v>
      </c>
      <c r="AE376" t="n">
        <v>44</v>
      </c>
      <c r="AF376" t="n">
        <v>19</v>
      </c>
      <c r="AG376" t="n">
        <v>19</v>
      </c>
      <c r="AH376" t="n">
        <v>9</v>
      </c>
      <c r="AI376" t="n">
        <v>9</v>
      </c>
      <c r="AJ376" t="n">
        <v>16</v>
      </c>
      <c r="AK376" t="n">
        <v>16</v>
      </c>
      <c r="AL376" t="n">
        <v>8</v>
      </c>
      <c r="AM376" t="n">
        <v>8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HYPERLINK("http://catalog.hathitrust.org/Record/000037375","HathiTrust Record")</f>
        <v/>
      </c>
      <c r="AS376">
        <f>HYPERLINK("https://creighton-primo.hosted.exlibrisgroup.com/primo-explore/search?tab=default_tab&amp;search_scope=EVERYTHING&amp;vid=01CRU&amp;lang=en_US&amp;offset=0&amp;query=any,contains,991004717399702656","Catalog Record")</f>
        <v/>
      </c>
      <c r="AT376">
        <f>HYPERLINK("http://www.worldcat.org/oclc/4776803","WorldCat Record")</f>
        <v/>
      </c>
      <c r="AU376" t="inlineStr">
        <is>
          <t>325860136:eng</t>
        </is>
      </c>
      <c r="AV376" t="inlineStr">
        <is>
          <t>4776803</t>
        </is>
      </c>
      <c r="AW376" t="inlineStr">
        <is>
          <t>991004717399702656</t>
        </is>
      </c>
      <c r="AX376" t="inlineStr">
        <is>
          <t>991004717399702656</t>
        </is>
      </c>
      <c r="AY376" t="inlineStr">
        <is>
          <t>2254715360002656</t>
        </is>
      </c>
      <c r="AZ376" t="inlineStr">
        <is>
          <t>BOOK</t>
        </is>
      </c>
      <c r="BB376" t="inlineStr">
        <is>
          <t>9780826202789</t>
        </is>
      </c>
      <c r="BC376" t="inlineStr">
        <is>
          <t>32285001270940</t>
        </is>
      </c>
      <c r="BD376" t="inlineStr">
        <is>
          <t>893700571</t>
        </is>
      </c>
    </row>
    <row r="377">
      <c r="A377" t="inlineStr">
        <is>
          <t>No</t>
        </is>
      </c>
      <c r="B377" t="inlineStr">
        <is>
          <t>PS323.5 .P28 1987</t>
        </is>
      </c>
      <c r="C377" t="inlineStr">
        <is>
          <t>0                      PS 0323500P  28          1987</t>
        </is>
      </c>
      <c r="D377" t="inlineStr">
        <is>
          <t>Poets, poems, movements / by Thomas Parkinson.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Parkinson, Thomas Francis, 1920-1992.</t>
        </is>
      </c>
      <c r="L377" t="inlineStr">
        <is>
          <t>Ann Arbor, Mich. : UMI Research Press, c1987.</t>
        </is>
      </c>
      <c r="M377" t="inlineStr">
        <is>
          <t>1987</t>
        </is>
      </c>
      <c r="O377" t="inlineStr">
        <is>
          <t>eng</t>
        </is>
      </c>
      <c r="P377" t="inlineStr">
        <is>
          <t>miu</t>
        </is>
      </c>
      <c r="Q377" t="inlineStr">
        <is>
          <t>Studies in modern literature ; no. 64</t>
        </is>
      </c>
      <c r="R377" t="inlineStr">
        <is>
          <t xml:space="preserve">PS </t>
        </is>
      </c>
      <c r="S377" t="n">
        <v>3</v>
      </c>
      <c r="T377" t="n">
        <v>3</v>
      </c>
      <c r="U377" t="inlineStr">
        <is>
          <t>1992-12-12</t>
        </is>
      </c>
      <c r="V377" t="inlineStr">
        <is>
          <t>1992-12-12</t>
        </is>
      </c>
      <c r="W377" t="inlineStr">
        <is>
          <t>1989-11-13</t>
        </is>
      </c>
      <c r="X377" t="inlineStr">
        <is>
          <t>1989-11-13</t>
        </is>
      </c>
      <c r="Y377" t="n">
        <v>473</v>
      </c>
      <c r="Z377" t="n">
        <v>421</v>
      </c>
      <c r="AA377" t="n">
        <v>423</v>
      </c>
      <c r="AB377" t="n">
        <v>4</v>
      </c>
      <c r="AC377" t="n">
        <v>4</v>
      </c>
      <c r="AD377" t="n">
        <v>22</v>
      </c>
      <c r="AE377" t="n">
        <v>22</v>
      </c>
      <c r="AF377" t="n">
        <v>7</v>
      </c>
      <c r="AG377" t="n">
        <v>7</v>
      </c>
      <c r="AH377" t="n">
        <v>7</v>
      </c>
      <c r="AI377" t="n">
        <v>7</v>
      </c>
      <c r="AJ377" t="n">
        <v>11</v>
      </c>
      <c r="AK377" t="n">
        <v>11</v>
      </c>
      <c r="AL377" t="n">
        <v>3</v>
      </c>
      <c r="AM377" t="n">
        <v>3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HYPERLINK("http://catalog.hathitrust.org/Record/000825225","HathiTrust Record")</f>
        <v/>
      </c>
      <c r="AS377">
        <f>HYPERLINK("https://creighton-primo.hosted.exlibrisgroup.com/primo-explore/search?tab=default_tab&amp;search_scope=EVERYTHING&amp;vid=01CRU&amp;lang=en_US&amp;offset=0&amp;query=any,contains,991000990879702656","Catalog Record")</f>
        <v/>
      </c>
      <c r="AT377">
        <f>HYPERLINK("http://www.worldcat.org/oclc/15107906","WorldCat Record")</f>
        <v/>
      </c>
      <c r="AU377" t="inlineStr">
        <is>
          <t>5609092505:eng</t>
        </is>
      </c>
      <c r="AV377" t="inlineStr">
        <is>
          <t>15107906</t>
        </is>
      </c>
      <c r="AW377" t="inlineStr">
        <is>
          <t>991000990879702656</t>
        </is>
      </c>
      <c r="AX377" t="inlineStr">
        <is>
          <t>991000990879702656</t>
        </is>
      </c>
      <c r="AY377" t="inlineStr">
        <is>
          <t>2266657560002656</t>
        </is>
      </c>
      <c r="AZ377" t="inlineStr">
        <is>
          <t>BOOK</t>
        </is>
      </c>
      <c r="BB377" t="inlineStr">
        <is>
          <t>9780835717830</t>
        </is>
      </c>
      <c r="BC377" t="inlineStr">
        <is>
          <t>32285000012590</t>
        </is>
      </c>
      <c r="BD377" t="inlineStr">
        <is>
          <t>893891208</t>
        </is>
      </c>
    </row>
    <row r="378">
      <c r="A378" t="inlineStr">
        <is>
          <t>No</t>
        </is>
      </c>
      <c r="B378" t="inlineStr">
        <is>
          <t>PS323.5 .P5</t>
        </is>
      </c>
      <c r="C378" t="inlineStr">
        <is>
          <t>0                      PS 0323500P  5</t>
        </is>
      </c>
      <c r="D378" t="inlineStr">
        <is>
          <t>The confessional poets [by] Robert Phillips. With a pref. by Harry T. Moore.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Phillips, Robert, 1938-</t>
        </is>
      </c>
      <c r="L378" t="inlineStr">
        <is>
          <t>Carbondale, Southern Illinois University Press [1973]</t>
        </is>
      </c>
      <c r="M378" t="inlineStr">
        <is>
          <t>1973</t>
        </is>
      </c>
      <c r="O378" t="inlineStr">
        <is>
          <t>eng</t>
        </is>
      </c>
      <c r="P378" t="inlineStr">
        <is>
          <t>ilu</t>
        </is>
      </c>
      <c r="Q378" t="inlineStr">
        <is>
          <t>Crosscurrents/modern critiques</t>
        </is>
      </c>
      <c r="R378" t="inlineStr">
        <is>
          <t xml:space="preserve">PS </t>
        </is>
      </c>
      <c r="S378" t="n">
        <v>4</v>
      </c>
      <c r="T378" t="n">
        <v>4</v>
      </c>
      <c r="U378" t="inlineStr">
        <is>
          <t>2005-04-29</t>
        </is>
      </c>
      <c r="V378" t="inlineStr">
        <is>
          <t>2005-04-29</t>
        </is>
      </c>
      <c r="W378" t="inlineStr">
        <is>
          <t>1997-05-02</t>
        </is>
      </c>
      <c r="X378" t="inlineStr">
        <is>
          <t>1997-05-02</t>
        </is>
      </c>
      <c r="Y378" t="n">
        <v>738</v>
      </c>
      <c r="Z378" t="n">
        <v>681</v>
      </c>
      <c r="AA378" t="n">
        <v>712</v>
      </c>
      <c r="AB378" t="n">
        <v>6</v>
      </c>
      <c r="AC378" t="n">
        <v>6</v>
      </c>
      <c r="AD378" t="n">
        <v>37</v>
      </c>
      <c r="AE378" t="n">
        <v>38</v>
      </c>
      <c r="AF378" t="n">
        <v>14</v>
      </c>
      <c r="AG378" t="n">
        <v>15</v>
      </c>
      <c r="AH378" t="n">
        <v>8</v>
      </c>
      <c r="AI378" t="n">
        <v>8</v>
      </c>
      <c r="AJ378" t="n">
        <v>20</v>
      </c>
      <c r="AK378" t="n">
        <v>21</v>
      </c>
      <c r="AL378" t="n">
        <v>5</v>
      </c>
      <c r="AM378" t="n">
        <v>5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HYPERLINK("http://catalog.hathitrust.org/Record/007113128","HathiTrust Record")</f>
        <v/>
      </c>
      <c r="AS378">
        <f>HYPERLINK("https://creighton-primo.hosted.exlibrisgroup.com/primo-explore/search?tab=default_tab&amp;search_scope=EVERYTHING&amp;vid=01CRU&amp;lang=en_US&amp;offset=0&amp;query=any,contains,991003101929702656","Catalog Record")</f>
        <v/>
      </c>
      <c r="AT378">
        <f>HYPERLINK("http://www.worldcat.org/oclc/650655","WorldCat Record")</f>
        <v/>
      </c>
      <c r="AU378" t="inlineStr">
        <is>
          <t>466898:eng</t>
        </is>
      </c>
      <c r="AV378" t="inlineStr">
        <is>
          <t>650655</t>
        </is>
      </c>
      <c r="AW378" t="inlineStr">
        <is>
          <t>991003101929702656</t>
        </is>
      </c>
      <c r="AX378" t="inlineStr">
        <is>
          <t>991003101929702656</t>
        </is>
      </c>
      <c r="AY378" t="inlineStr">
        <is>
          <t>2266424940002656</t>
        </is>
      </c>
      <c r="AZ378" t="inlineStr">
        <is>
          <t>BOOK</t>
        </is>
      </c>
      <c r="BB378" t="inlineStr">
        <is>
          <t>9780809306428</t>
        </is>
      </c>
      <c r="BC378" t="inlineStr">
        <is>
          <t>32285002636461</t>
        </is>
      </c>
      <c r="BD378" t="inlineStr">
        <is>
          <t>893627457</t>
        </is>
      </c>
    </row>
    <row r="379">
      <c r="A379" t="inlineStr">
        <is>
          <t>No</t>
        </is>
      </c>
      <c r="B379" t="inlineStr">
        <is>
          <t>PS323.5 .T76 1984</t>
        </is>
      </c>
      <c r="C379" t="inlineStr">
        <is>
          <t>0                      PS 0323500T  76          1984</t>
        </is>
      </c>
      <c r="D379" t="inlineStr">
        <is>
          <t>The making of the reader : language and subjectivity in modern American, English, and Irish poetry / David Trotter.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Trotter, David, 1951-</t>
        </is>
      </c>
      <c r="L379" t="inlineStr">
        <is>
          <t>New York : St. Martin's Press, 1984.</t>
        </is>
      </c>
      <c r="M379" t="inlineStr">
        <is>
          <t>1983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PS </t>
        </is>
      </c>
      <c r="S379" t="n">
        <v>2</v>
      </c>
      <c r="T379" t="n">
        <v>2</v>
      </c>
      <c r="U379" t="inlineStr">
        <is>
          <t>2004-09-21</t>
        </is>
      </c>
      <c r="V379" t="inlineStr">
        <is>
          <t>2004-09-21</t>
        </is>
      </c>
      <c r="W379" t="inlineStr">
        <is>
          <t>1992-08-24</t>
        </is>
      </c>
      <c r="X379" t="inlineStr">
        <is>
          <t>1992-08-24</t>
        </is>
      </c>
      <c r="Y379" t="n">
        <v>254</v>
      </c>
      <c r="Z379" t="n">
        <v>226</v>
      </c>
      <c r="AA379" t="n">
        <v>281</v>
      </c>
      <c r="AB379" t="n">
        <v>3</v>
      </c>
      <c r="AC379" t="n">
        <v>4</v>
      </c>
      <c r="AD379" t="n">
        <v>14</v>
      </c>
      <c r="AE379" t="n">
        <v>15</v>
      </c>
      <c r="AF379" t="n">
        <v>4</v>
      </c>
      <c r="AG379" t="n">
        <v>4</v>
      </c>
      <c r="AH379" t="n">
        <v>4</v>
      </c>
      <c r="AI379" t="n">
        <v>4</v>
      </c>
      <c r="AJ379" t="n">
        <v>9</v>
      </c>
      <c r="AK379" t="n">
        <v>9</v>
      </c>
      <c r="AL379" t="n">
        <v>2</v>
      </c>
      <c r="AM379" t="n">
        <v>3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HYPERLINK("https://creighton-primo.hosted.exlibrisgroup.com/primo-explore/search?tab=default_tab&amp;search_scope=EVERYTHING&amp;vid=01CRU&amp;lang=en_US&amp;offset=0&amp;query=any,contains,991000178819702656","Catalog Record")</f>
        <v/>
      </c>
      <c r="AT379">
        <f>HYPERLINK("http://www.worldcat.org/oclc/9370905","WorldCat Record")</f>
        <v/>
      </c>
      <c r="AU379" t="inlineStr">
        <is>
          <t>836654006:eng</t>
        </is>
      </c>
      <c r="AV379" t="inlineStr">
        <is>
          <t>9370905</t>
        </is>
      </c>
      <c r="AW379" t="inlineStr">
        <is>
          <t>991000178819702656</t>
        </is>
      </c>
      <c r="AX379" t="inlineStr">
        <is>
          <t>991000178819702656</t>
        </is>
      </c>
      <c r="AY379" t="inlineStr">
        <is>
          <t>2267492750002656</t>
        </is>
      </c>
      <c r="AZ379" t="inlineStr">
        <is>
          <t>BOOK</t>
        </is>
      </c>
      <c r="BB379" t="inlineStr">
        <is>
          <t>9780312501242</t>
        </is>
      </c>
      <c r="BC379" t="inlineStr">
        <is>
          <t>32285001270981</t>
        </is>
      </c>
      <c r="BD379" t="inlineStr">
        <is>
          <t>893419263</t>
        </is>
      </c>
    </row>
    <row r="380">
      <c r="A380" t="inlineStr">
        <is>
          <t>No</t>
        </is>
      </c>
      <c r="B380" t="inlineStr">
        <is>
          <t>PS3231 .A69</t>
        </is>
      </c>
      <c r="C380" t="inlineStr">
        <is>
          <t>0                      PS 3231000A  69</t>
        </is>
      </c>
      <c r="D380" t="inlineStr">
        <is>
          <t>The solitary singer : a critical biography of Walt Whitman.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Allen, Gay Wilson, 1903-1995.</t>
        </is>
      </c>
      <c r="L380" t="inlineStr">
        <is>
          <t>New York : Macmillan, 1955.</t>
        </is>
      </c>
      <c r="M380" t="inlineStr">
        <is>
          <t>1955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PS </t>
        </is>
      </c>
      <c r="S380" t="n">
        <v>1</v>
      </c>
      <c r="T380" t="n">
        <v>1</v>
      </c>
      <c r="U380" t="inlineStr">
        <is>
          <t>1992-04-27</t>
        </is>
      </c>
      <c r="V380" t="inlineStr">
        <is>
          <t>1992-04-27</t>
        </is>
      </c>
      <c r="W380" t="inlineStr">
        <is>
          <t>1990-08-17</t>
        </is>
      </c>
      <c r="X380" t="inlineStr">
        <is>
          <t>1990-08-17</t>
        </is>
      </c>
      <c r="Y380" t="n">
        <v>1178</v>
      </c>
      <c r="Z380" t="n">
        <v>1054</v>
      </c>
      <c r="AA380" t="n">
        <v>1637</v>
      </c>
      <c r="AB380" t="n">
        <v>14</v>
      </c>
      <c r="AC380" t="n">
        <v>15</v>
      </c>
      <c r="AD380" t="n">
        <v>50</v>
      </c>
      <c r="AE380" t="n">
        <v>59</v>
      </c>
      <c r="AF380" t="n">
        <v>20</v>
      </c>
      <c r="AG380" t="n">
        <v>26</v>
      </c>
      <c r="AH380" t="n">
        <v>8</v>
      </c>
      <c r="AI380" t="n">
        <v>9</v>
      </c>
      <c r="AJ380" t="n">
        <v>23</v>
      </c>
      <c r="AK380" t="n">
        <v>26</v>
      </c>
      <c r="AL380" t="n">
        <v>10</v>
      </c>
      <c r="AM380" t="n">
        <v>11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HYPERLINK("http://catalog.hathitrust.org/Record/001112506","HathiTrust Record")</f>
        <v/>
      </c>
      <c r="AS380">
        <f>HYPERLINK("https://creighton-primo.hosted.exlibrisgroup.com/primo-explore/search?tab=default_tab&amp;search_scope=EVERYTHING&amp;vid=01CRU&amp;lang=en_US&amp;offset=0&amp;query=any,contains,991003174479702656","Catalog Record")</f>
        <v/>
      </c>
      <c r="AT380">
        <f>HYPERLINK("http://www.worldcat.org/oclc/709913","WorldCat Record")</f>
        <v/>
      </c>
      <c r="AU380" t="inlineStr">
        <is>
          <t>198031852:eng</t>
        </is>
      </c>
      <c r="AV380" t="inlineStr">
        <is>
          <t>709913</t>
        </is>
      </c>
      <c r="AW380" t="inlineStr">
        <is>
          <t>991003174479702656</t>
        </is>
      </c>
      <c r="AX380" t="inlineStr">
        <is>
          <t>991003174479702656</t>
        </is>
      </c>
      <c r="AY380" t="inlineStr">
        <is>
          <t>2267583070002656</t>
        </is>
      </c>
      <c r="AZ380" t="inlineStr">
        <is>
          <t>BOOK</t>
        </is>
      </c>
      <c r="BC380" t="inlineStr">
        <is>
          <t>32285000283795</t>
        </is>
      </c>
      <c r="BD380" t="inlineStr">
        <is>
          <t>893511633</t>
        </is>
      </c>
    </row>
    <row r="381">
      <c r="A381" t="inlineStr">
        <is>
          <t>No</t>
        </is>
      </c>
      <c r="B381" t="inlineStr">
        <is>
          <t>PS3231 .A7</t>
        </is>
      </c>
      <c r="C381" t="inlineStr">
        <is>
          <t>0                      PS 3231000A  7</t>
        </is>
      </c>
      <c r="D381" t="inlineStr">
        <is>
          <t>Walt Whitman handbook / by Gay Wilson Allen.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Yes</t>
        </is>
      </c>
      <c r="J381" t="inlineStr">
        <is>
          <t>0</t>
        </is>
      </c>
      <c r="K381" t="inlineStr">
        <is>
          <t>Allen, Gay Wilson, 1903-1995.</t>
        </is>
      </c>
      <c r="L381" t="inlineStr">
        <is>
          <t>Chicago : Packard and company, 1946.</t>
        </is>
      </c>
      <c r="M381" t="inlineStr">
        <is>
          <t>1946</t>
        </is>
      </c>
      <c r="O381" t="inlineStr">
        <is>
          <t>eng</t>
        </is>
      </c>
      <c r="P381" t="inlineStr">
        <is>
          <t>ilu</t>
        </is>
      </c>
      <c r="R381" t="inlineStr">
        <is>
          <t xml:space="preserve">PS </t>
        </is>
      </c>
      <c r="S381" t="n">
        <v>8</v>
      </c>
      <c r="T381" t="n">
        <v>8</v>
      </c>
      <c r="U381" t="inlineStr">
        <is>
          <t>2002-02-18</t>
        </is>
      </c>
      <c r="V381" t="inlineStr">
        <is>
          <t>2002-02-18</t>
        </is>
      </c>
      <c r="W381" t="inlineStr">
        <is>
          <t>1990-08-17</t>
        </is>
      </c>
      <c r="X381" t="inlineStr">
        <is>
          <t>1990-08-17</t>
        </is>
      </c>
      <c r="Y381" t="n">
        <v>730</v>
      </c>
      <c r="Z381" t="n">
        <v>669</v>
      </c>
      <c r="AA381" t="n">
        <v>1127</v>
      </c>
      <c r="AB381" t="n">
        <v>10</v>
      </c>
      <c r="AC381" t="n">
        <v>12</v>
      </c>
      <c r="AD381" t="n">
        <v>34</v>
      </c>
      <c r="AE381" t="n">
        <v>49</v>
      </c>
      <c r="AF381" t="n">
        <v>11</v>
      </c>
      <c r="AG381" t="n">
        <v>20</v>
      </c>
      <c r="AH381" t="n">
        <v>5</v>
      </c>
      <c r="AI381" t="n">
        <v>6</v>
      </c>
      <c r="AJ381" t="n">
        <v>17</v>
      </c>
      <c r="AK381" t="n">
        <v>23</v>
      </c>
      <c r="AL381" t="n">
        <v>9</v>
      </c>
      <c r="AM381" t="n">
        <v>11</v>
      </c>
      <c r="AN381" t="n">
        <v>0</v>
      </c>
      <c r="AO381" t="n">
        <v>0</v>
      </c>
      <c r="AP381" t="inlineStr">
        <is>
          <t>Yes</t>
        </is>
      </c>
      <c r="AQ381" t="inlineStr">
        <is>
          <t>No</t>
        </is>
      </c>
      <c r="AR381">
        <f>HYPERLINK("http://catalog.hathitrust.org/Record/001028020","HathiTrust Record")</f>
        <v/>
      </c>
      <c r="AS381">
        <f>HYPERLINK("https://creighton-primo.hosted.exlibrisgroup.com/primo-explore/search?tab=default_tab&amp;search_scope=EVERYTHING&amp;vid=01CRU&amp;lang=en_US&amp;offset=0&amp;query=any,contains,991001368849702656","Catalog Record")</f>
        <v/>
      </c>
      <c r="AT381">
        <f>HYPERLINK("http://www.worldcat.org/oclc/222923","WorldCat Record")</f>
        <v/>
      </c>
      <c r="AU381" t="inlineStr">
        <is>
          <t>1872658278:eng</t>
        </is>
      </c>
      <c r="AV381" t="inlineStr">
        <is>
          <t>222923</t>
        </is>
      </c>
      <c r="AW381" t="inlineStr">
        <is>
          <t>991001368849702656</t>
        </is>
      </c>
      <c r="AX381" t="inlineStr">
        <is>
          <t>991001368849702656</t>
        </is>
      </c>
      <c r="AY381" t="inlineStr">
        <is>
          <t>2262039480002656</t>
        </is>
      </c>
      <c r="AZ381" t="inlineStr">
        <is>
          <t>BOOK</t>
        </is>
      </c>
      <c r="BC381" t="inlineStr">
        <is>
          <t>32285000283779</t>
        </is>
      </c>
      <c r="BD381" t="inlineStr">
        <is>
          <t>893702972</t>
        </is>
      </c>
    </row>
    <row r="382">
      <c r="A382" t="inlineStr">
        <is>
          <t>No</t>
        </is>
      </c>
      <c r="B382" t="inlineStr">
        <is>
          <t>PS3231 .A7 1957</t>
        </is>
      </c>
      <c r="C382" t="inlineStr">
        <is>
          <t>0                      PS 3231000A  7           1957</t>
        </is>
      </c>
      <c r="D382" t="inlineStr">
        <is>
          <t>Walt Whitman handbook / by Gay Wilson Allen.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K382" t="inlineStr">
        <is>
          <t>Allen, Gay Wilson, 1903-1995.</t>
        </is>
      </c>
      <c r="L382" t="inlineStr">
        <is>
          <t>New York : Hendricks House, [1957]</t>
        </is>
      </c>
      <c r="M382" t="inlineStr">
        <is>
          <t>1957</t>
        </is>
      </c>
      <c r="O382" t="inlineStr">
        <is>
          <t>eng</t>
        </is>
      </c>
      <c r="P382" t="inlineStr">
        <is>
          <t xml:space="preserve">xx </t>
        </is>
      </c>
      <c r="R382" t="inlineStr">
        <is>
          <t xml:space="preserve">PS </t>
        </is>
      </c>
      <c r="S382" t="n">
        <v>2</v>
      </c>
      <c r="T382" t="n">
        <v>2</v>
      </c>
      <c r="U382" t="inlineStr">
        <is>
          <t>2004-10-04</t>
        </is>
      </c>
      <c r="V382" t="inlineStr">
        <is>
          <t>2004-10-04</t>
        </is>
      </c>
      <c r="W382" t="inlineStr">
        <is>
          <t>1990-08-17</t>
        </is>
      </c>
      <c r="X382" t="inlineStr">
        <is>
          <t>1990-08-17</t>
        </is>
      </c>
      <c r="Y382" t="n">
        <v>217</v>
      </c>
      <c r="Z382" t="n">
        <v>175</v>
      </c>
      <c r="AA382" t="n">
        <v>1127</v>
      </c>
      <c r="AB382" t="n">
        <v>1</v>
      </c>
      <c r="AC382" t="n">
        <v>12</v>
      </c>
      <c r="AD382" t="n">
        <v>6</v>
      </c>
      <c r="AE382" t="n">
        <v>49</v>
      </c>
      <c r="AF382" t="n">
        <v>2</v>
      </c>
      <c r="AG382" t="n">
        <v>20</v>
      </c>
      <c r="AH382" t="n">
        <v>1</v>
      </c>
      <c r="AI382" t="n">
        <v>6</v>
      </c>
      <c r="AJ382" t="n">
        <v>5</v>
      </c>
      <c r="AK382" t="n">
        <v>23</v>
      </c>
      <c r="AL382" t="n">
        <v>0</v>
      </c>
      <c r="AM382" t="n">
        <v>11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HYPERLINK("http://catalog.hathitrust.org/Record/102058907","HathiTrust Record")</f>
        <v/>
      </c>
      <c r="AS382">
        <f>HYPERLINK("https://creighton-primo.hosted.exlibrisgroup.com/primo-explore/search?tab=default_tab&amp;search_scope=EVERYTHING&amp;vid=01CRU&amp;lang=en_US&amp;offset=0&amp;query=any,contains,991003737029702656","Catalog Record")</f>
        <v/>
      </c>
      <c r="AT382">
        <f>HYPERLINK("http://www.worldcat.org/oclc/1394778","WorldCat Record")</f>
        <v/>
      </c>
      <c r="AU382" t="inlineStr">
        <is>
          <t>1872658278:eng</t>
        </is>
      </c>
      <c r="AV382" t="inlineStr">
        <is>
          <t>1394778</t>
        </is>
      </c>
      <c r="AW382" t="inlineStr">
        <is>
          <t>991003737029702656</t>
        </is>
      </c>
      <c r="AX382" t="inlineStr">
        <is>
          <t>991003737029702656</t>
        </is>
      </c>
      <c r="AY382" t="inlineStr">
        <is>
          <t>2261369890002656</t>
        </is>
      </c>
      <c r="AZ382" t="inlineStr">
        <is>
          <t>BOOK</t>
        </is>
      </c>
      <c r="BC382" t="inlineStr">
        <is>
          <t>32285000283761</t>
        </is>
      </c>
      <c r="BD382" t="inlineStr">
        <is>
          <t>893775088</t>
        </is>
      </c>
    </row>
    <row r="383">
      <c r="A383" t="inlineStr">
        <is>
          <t>No</t>
        </is>
      </c>
      <c r="B383" t="inlineStr">
        <is>
          <t>PS3231 .A833</t>
        </is>
      </c>
      <c r="C383" t="inlineStr">
        <is>
          <t>0                      PS 3231000A  833</t>
        </is>
      </c>
      <c r="D383" t="inlineStr">
        <is>
          <t>The evolution of Walt Whitman / [translated by Richard P. Adams and the author]</t>
        </is>
      </c>
      <c r="F383" t="inlineStr">
        <is>
          <t>Yes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Asselineau, Roger.</t>
        </is>
      </c>
      <c r="L383" t="inlineStr">
        <is>
          <t>Cambridge : Belknap Press of Harvard University Press, 1960-62.</t>
        </is>
      </c>
      <c r="M383" t="inlineStr">
        <is>
          <t>1960</t>
        </is>
      </c>
      <c r="O383" t="inlineStr">
        <is>
          <t>eng</t>
        </is>
      </c>
      <c r="P383" t="inlineStr">
        <is>
          <t>mau</t>
        </is>
      </c>
      <c r="R383" t="inlineStr">
        <is>
          <t xml:space="preserve">PS </t>
        </is>
      </c>
      <c r="S383" t="n">
        <v>3</v>
      </c>
      <c r="T383" t="n">
        <v>3</v>
      </c>
      <c r="U383" t="inlineStr">
        <is>
          <t>1995-01-23</t>
        </is>
      </c>
      <c r="V383" t="inlineStr">
        <is>
          <t>1995-01-23</t>
        </is>
      </c>
      <c r="W383" t="inlineStr">
        <is>
          <t>1990-08-17</t>
        </is>
      </c>
      <c r="X383" t="inlineStr">
        <is>
          <t>1990-08-17</t>
        </is>
      </c>
      <c r="Y383" t="n">
        <v>1243</v>
      </c>
      <c r="Z383" t="n">
        <v>1117</v>
      </c>
      <c r="AA383" t="n">
        <v>1136</v>
      </c>
      <c r="AB383" t="n">
        <v>8</v>
      </c>
      <c r="AC383" t="n">
        <v>9</v>
      </c>
      <c r="AD383" t="n">
        <v>48</v>
      </c>
      <c r="AE383" t="n">
        <v>49</v>
      </c>
      <c r="AF383" t="n">
        <v>22</v>
      </c>
      <c r="AG383" t="n">
        <v>22</v>
      </c>
      <c r="AH383" t="n">
        <v>8</v>
      </c>
      <c r="AI383" t="n">
        <v>8</v>
      </c>
      <c r="AJ383" t="n">
        <v>23</v>
      </c>
      <c r="AK383" t="n">
        <v>23</v>
      </c>
      <c r="AL383" t="n">
        <v>7</v>
      </c>
      <c r="AM383" t="n">
        <v>8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HYPERLINK("http://catalog.hathitrust.org/Record/000223503","HathiTrust Record")</f>
        <v/>
      </c>
      <c r="AS383">
        <f>HYPERLINK("https://creighton-primo.hosted.exlibrisgroup.com/primo-explore/search?tab=default_tab&amp;search_scope=EVERYTHING&amp;vid=01CRU&amp;lang=en_US&amp;offset=0&amp;query=any,contains,991001209509702656","Catalog Record")</f>
        <v/>
      </c>
      <c r="AT383">
        <f>HYPERLINK("http://www.worldcat.org/oclc/192944","WorldCat Record")</f>
        <v/>
      </c>
      <c r="AU383" t="inlineStr">
        <is>
          <t>4920183871:eng</t>
        </is>
      </c>
      <c r="AV383" t="inlineStr">
        <is>
          <t>192944</t>
        </is>
      </c>
      <c r="AW383" t="inlineStr">
        <is>
          <t>991001209509702656</t>
        </is>
      </c>
      <c r="AX383" t="inlineStr">
        <is>
          <t>991001209509702656</t>
        </is>
      </c>
      <c r="AY383" t="inlineStr">
        <is>
          <t>2256390740002656</t>
        </is>
      </c>
      <c r="AZ383" t="inlineStr">
        <is>
          <t>BOOK</t>
        </is>
      </c>
      <c r="BC383" t="inlineStr">
        <is>
          <t>32285000283753</t>
        </is>
      </c>
      <c r="BD383" t="inlineStr">
        <is>
          <t>893515993</t>
        </is>
      </c>
    </row>
    <row r="384">
      <c r="A384" t="inlineStr">
        <is>
          <t>No</t>
        </is>
      </c>
      <c r="B384" t="inlineStr">
        <is>
          <t>PS3231 .B25</t>
        </is>
      </c>
      <c r="C384" t="inlineStr">
        <is>
          <t>0                      PS 3231000B  25</t>
        </is>
      </c>
      <c r="D384" t="inlineStr">
        <is>
          <t>Walt Whitman / by John Bailey.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Bailey, John Cann, 1864-1931.</t>
        </is>
      </c>
      <c r="L384" t="inlineStr">
        <is>
          <t>New York : The Macmillan Company, 1926.</t>
        </is>
      </c>
      <c r="M384" t="inlineStr">
        <is>
          <t>1926</t>
        </is>
      </c>
      <c r="O384" t="inlineStr">
        <is>
          <t>eng</t>
        </is>
      </c>
      <c r="P384" t="inlineStr">
        <is>
          <t>nyu</t>
        </is>
      </c>
      <c r="Q384" t="inlineStr">
        <is>
          <t>English men of letters</t>
        </is>
      </c>
      <c r="R384" t="inlineStr">
        <is>
          <t xml:space="preserve">PS </t>
        </is>
      </c>
      <c r="S384" t="n">
        <v>1</v>
      </c>
      <c r="T384" t="n">
        <v>1</v>
      </c>
      <c r="U384" t="inlineStr">
        <is>
          <t>2003-10-31</t>
        </is>
      </c>
      <c r="V384" t="inlineStr">
        <is>
          <t>2003-10-31</t>
        </is>
      </c>
      <c r="W384" t="inlineStr">
        <is>
          <t>1990-08-17</t>
        </is>
      </c>
      <c r="X384" t="inlineStr">
        <is>
          <t>1990-08-17</t>
        </is>
      </c>
      <c r="Y384" t="n">
        <v>578</v>
      </c>
      <c r="Z384" t="n">
        <v>438</v>
      </c>
      <c r="AA384" t="n">
        <v>587</v>
      </c>
      <c r="AB384" t="n">
        <v>5</v>
      </c>
      <c r="AC384" t="n">
        <v>6</v>
      </c>
      <c r="AD384" t="n">
        <v>26</v>
      </c>
      <c r="AE384" t="n">
        <v>36</v>
      </c>
      <c r="AF384" t="n">
        <v>11</v>
      </c>
      <c r="AG384" t="n">
        <v>15</v>
      </c>
      <c r="AH384" t="n">
        <v>3</v>
      </c>
      <c r="AI384" t="n">
        <v>6</v>
      </c>
      <c r="AJ384" t="n">
        <v>12</v>
      </c>
      <c r="AK384" t="n">
        <v>17</v>
      </c>
      <c r="AL384" t="n">
        <v>4</v>
      </c>
      <c r="AM384" t="n">
        <v>5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R384">
        <f>HYPERLINK("http://catalog.hathitrust.org/Record/002369162","HathiTrust Record")</f>
        <v/>
      </c>
      <c r="AS384">
        <f>HYPERLINK("https://creighton-primo.hosted.exlibrisgroup.com/primo-explore/search?tab=default_tab&amp;search_scope=EVERYTHING&amp;vid=01CRU&amp;lang=en_US&amp;offset=0&amp;query=any,contains,991003031759702656","Catalog Record")</f>
        <v/>
      </c>
      <c r="AT384">
        <f>HYPERLINK("http://www.worldcat.org/oclc/594768","WorldCat Record")</f>
        <v/>
      </c>
      <c r="AU384" t="inlineStr">
        <is>
          <t>336606:eng</t>
        </is>
      </c>
      <c r="AV384" t="inlineStr">
        <is>
          <t>594768</t>
        </is>
      </c>
      <c r="AW384" t="inlineStr">
        <is>
          <t>991003031759702656</t>
        </is>
      </c>
      <c r="AX384" t="inlineStr">
        <is>
          <t>991003031759702656</t>
        </is>
      </c>
      <c r="AY384" t="inlineStr">
        <is>
          <t>2269894670002656</t>
        </is>
      </c>
      <c r="AZ384" t="inlineStr">
        <is>
          <t>BOOK</t>
        </is>
      </c>
      <c r="BC384" t="inlineStr">
        <is>
          <t>32285000283746</t>
        </is>
      </c>
      <c r="BD384" t="inlineStr">
        <is>
          <t>893774319</t>
        </is>
      </c>
    </row>
    <row r="385">
      <c r="A385" t="inlineStr">
        <is>
          <t>No</t>
        </is>
      </c>
      <c r="B385" t="inlineStr">
        <is>
          <t>PS3231 .B66 1970</t>
        </is>
      </c>
      <c r="C385" t="inlineStr">
        <is>
          <t>0                      PS 3231000B  66          1970</t>
        </is>
      </c>
      <c r="D385" t="inlineStr">
        <is>
          <t>Whitman as editor of the Brooklyn daily eagle / [by] Thomas L. Brasher.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Brasher, Thomas L. (Thomas Lowber), 1912-</t>
        </is>
      </c>
      <c r="L385" t="inlineStr">
        <is>
          <t>Detroit : Wayne State University Press, 1970.</t>
        </is>
      </c>
      <c r="M385" t="inlineStr">
        <is>
          <t>1970</t>
        </is>
      </c>
      <c r="O385" t="inlineStr">
        <is>
          <t>eng</t>
        </is>
      </c>
      <c r="P385" t="inlineStr">
        <is>
          <t>miu</t>
        </is>
      </c>
      <c r="R385" t="inlineStr">
        <is>
          <t xml:space="preserve">PS </t>
        </is>
      </c>
      <c r="S385" t="n">
        <v>3</v>
      </c>
      <c r="T385" t="n">
        <v>3</v>
      </c>
      <c r="U385" t="inlineStr">
        <is>
          <t>1999-11-09</t>
        </is>
      </c>
      <c r="V385" t="inlineStr">
        <is>
          <t>1999-11-09</t>
        </is>
      </c>
      <c r="W385" t="inlineStr">
        <is>
          <t>1990-08-17</t>
        </is>
      </c>
      <c r="X385" t="inlineStr">
        <is>
          <t>1990-08-17</t>
        </is>
      </c>
      <c r="Y385" t="n">
        <v>657</v>
      </c>
      <c r="Z385" t="n">
        <v>578</v>
      </c>
      <c r="AA385" t="n">
        <v>588</v>
      </c>
      <c r="AB385" t="n">
        <v>3</v>
      </c>
      <c r="AC385" t="n">
        <v>3</v>
      </c>
      <c r="AD385" t="n">
        <v>27</v>
      </c>
      <c r="AE385" t="n">
        <v>27</v>
      </c>
      <c r="AF385" t="n">
        <v>11</v>
      </c>
      <c r="AG385" t="n">
        <v>11</v>
      </c>
      <c r="AH385" t="n">
        <v>6</v>
      </c>
      <c r="AI385" t="n">
        <v>6</v>
      </c>
      <c r="AJ385" t="n">
        <v>16</v>
      </c>
      <c r="AK385" t="n">
        <v>16</v>
      </c>
      <c r="AL385" t="n">
        <v>2</v>
      </c>
      <c r="AM385" t="n">
        <v>2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HYPERLINK("http://catalog.hathitrust.org/Record/001188398","HathiTrust Record")</f>
        <v/>
      </c>
      <c r="AS385">
        <f>HYPERLINK("https://creighton-primo.hosted.exlibrisgroup.com/primo-explore/search?tab=default_tab&amp;search_scope=EVERYTHING&amp;vid=01CRU&amp;lang=en_US&amp;offset=0&amp;query=any,contains,991000505299702656","Catalog Record")</f>
        <v/>
      </c>
      <c r="AT385">
        <f>HYPERLINK("http://www.worldcat.org/oclc/82596","WorldCat Record")</f>
        <v/>
      </c>
      <c r="AU385" t="inlineStr">
        <is>
          <t>476027:eng</t>
        </is>
      </c>
      <c r="AV385" t="inlineStr">
        <is>
          <t>82596</t>
        </is>
      </c>
      <c r="AW385" t="inlineStr">
        <is>
          <t>991000505299702656</t>
        </is>
      </c>
      <c r="AX385" t="inlineStr">
        <is>
          <t>991000505299702656</t>
        </is>
      </c>
      <c r="AY385" t="inlineStr">
        <is>
          <t>2271921170002656</t>
        </is>
      </c>
      <c r="AZ385" t="inlineStr">
        <is>
          <t>BOOK</t>
        </is>
      </c>
      <c r="BB385" t="inlineStr">
        <is>
          <t>9780814314081</t>
        </is>
      </c>
      <c r="BC385" t="inlineStr">
        <is>
          <t>32285000283738</t>
        </is>
      </c>
      <c r="BD385" t="inlineStr">
        <is>
          <t>893243328</t>
        </is>
      </c>
    </row>
    <row r="386">
      <c r="A386" t="inlineStr">
        <is>
          <t>No</t>
        </is>
      </c>
      <c r="B386" t="inlineStr">
        <is>
          <t>PS3231 .B67</t>
        </is>
      </c>
      <c r="C386" t="inlineStr">
        <is>
          <t>0                      PS 3231000B  67</t>
        </is>
      </c>
      <c r="D386" t="inlineStr">
        <is>
          <t>Walt Whitman and the critics : a checklist of criticism, 1900-1978 / Jeanetta Boswell.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Boswell, Jeanetta, 1922-</t>
        </is>
      </c>
      <c r="L386" t="inlineStr">
        <is>
          <t>Metuchen, N.J. : Scarecrow Press, 1980.</t>
        </is>
      </c>
      <c r="M386" t="inlineStr">
        <is>
          <t>1980</t>
        </is>
      </c>
      <c r="O386" t="inlineStr">
        <is>
          <t>eng</t>
        </is>
      </c>
      <c r="P386" t="inlineStr">
        <is>
          <t>nju</t>
        </is>
      </c>
      <c r="Q386" t="inlineStr">
        <is>
          <t>The Scarecrow author bibliographies ; no. 51</t>
        </is>
      </c>
      <c r="R386" t="inlineStr">
        <is>
          <t xml:space="preserve">PS </t>
        </is>
      </c>
      <c r="S386" t="n">
        <v>2</v>
      </c>
      <c r="T386" t="n">
        <v>2</v>
      </c>
      <c r="U386" t="inlineStr">
        <is>
          <t>1992-01-30</t>
        </is>
      </c>
      <c r="V386" t="inlineStr">
        <is>
          <t>1992-01-30</t>
        </is>
      </c>
      <c r="W386" t="inlineStr">
        <is>
          <t>1990-11-01</t>
        </is>
      </c>
      <c r="X386" t="inlineStr">
        <is>
          <t>1990-11-01</t>
        </is>
      </c>
      <c r="Y386" t="n">
        <v>492</v>
      </c>
      <c r="Z386" t="n">
        <v>401</v>
      </c>
      <c r="AA386" t="n">
        <v>403</v>
      </c>
      <c r="AB386" t="n">
        <v>3</v>
      </c>
      <c r="AC386" t="n">
        <v>3</v>
      </c>
      <c r="AD386" t="n">
        <v>18</v>
      </c>
      <c r="AE386" t="n">
        <v>18</v>
      </c>
      <c r="AF386" t="n">
        <v>7</v>
      </c>
      <c r="AG386" t="n">
        <v>7</v>
      </c>
      <c r="AH386" t="n">
        <v>6</v>
      </c>
      <c r="AI386" t="n">
        <v>6</v>
      </c>
      <c r="AJ386" t="n">
        <v>7</v>
      </c>
      <c r="AK386" t="n">
        <v>7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HYPERLINK("http://catalog.hathitrust.org/Record/000126298","HathiTrust Record")</f>
        <v/>
      </c>
      <c r="AS386">
        <f>HYPERLINK("https://creighton-primo.hosted.exlibrisgroup.com/primo-explore/search?tab=default_tab&amp;search_scope=EVERYTHING&amp;vid=01CRU&amp;lang=en_US&amp;offset=0&amp;query=any,contains,991005016649702656","Catalog Record")</f>
        <v/>
      </c>
      <c r="AT386">
        <f>HYPERLINK("http://www.worldcat.org/oclc/6626967","WorldCat Record")</f>
        <v/>
      </c>
      <c r="AU386" t="inlineStr">
        <is>
          <t>836661651:eng</t>
        </is>
      </c>
      <c r="AV386" t="inlineStr">
        <is>
          <t>6626967</t>
        </is>
      </c>
      <c r="AW386" t="inlineStr">
        <is>
          <t>991005016649702656</t>
        </is>
      </c>
      <c r="AX386" t="inlineStr">
        <is>
          <t>991005016649702656</t>
        </is>
      </c>
      <c r="AY386" t="inlineStr">
        <is>
          <t>2256242270002656</t>
        </is>
      </c>
      <c r="AZ386" t="inlineStr">
        <is>
          <t>BOOK</t>
        </is>
      </c>
      <c r="BB386" t="inlineStr">
        <is>
          <t>9780810813557</t>
        </is>
      </c>
      <c r="BC386" t="inlineStr">
        <is>
          <t>32285000375617</t>
        </is>
      </c>
      <c r="BD386" t="inlineStr">
        <is>
          <t>893344518</t>
        </is>
      </c>
    </row>
    <row r="387">
      <c r="A387" t="inlineStr">
        <is>
          <t>No</t>
        </is>
      </c>
      <c r="B387" t="inlineStr">
        <is>
          <t>PS3231 .C37 1985</t>
        </is>
      </c>
      <c r="C387" t="inlineStr">
        <is>
          <t>0                      PS 3231000C  37          1985</t>
        </is>
      </c>
      <c r="D387" t="inlineStr">
        <is>
          <t>My soul and I : the inner life of Walt Whitman / David Cavitch.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Cavitch, David, 1933-</t>
        </is>
      </c>
      <c r="L387" t="inlineStr">
        <is>
          <t>Boston : Beacon Press, c1985.</t>
        </is>
      </c>
      <c r="M387" t="inlineStr">
        <is>
          <t>1985</t>
        </is>
      </c>
      <c r="O387" t="inlineStr">
        <is>
          <t>eng</t>
        </is>
      </c>
      <c r="P387" t="inlineStr">
        <is>
          <t>mau</t>
        </is>
      </c>
      <c r="R387" t="inlineStr">
        <is>
          <t xml:space="preserve">PS </t>
        </is>
      </c>
      <c r="S387" t="n">
        <v>5</v>
      </c>
      <c r="T387" t="n">
        <v>5</v>
      </c>
      <c r="U387" t="inlineStr">
        <is>
          <t>2004-09-29</t>
        </is>
      </c>
      <c r="V387" t="inlineStr">
        <is>
          <t>2004-09-29</t>
        </is>
      </c>
      <c r="W387" t="inlineStr">
        <is>
          <t>1990-11-01</t>
        </is>
      </c>
      <c r="X387" t="inlineStr">
        <is>
          <t>1990-11-01</t>
        </is>
      </c>
      <c r="Y387" t="n">
        <v>589</v>
      </c>
      <c r="Z387" t="n">
        <v>529</v>
      </c>
      <c r="AA387" t="n">
        <v>531</v>
      </c>
      <c r="AB387" t="n">
        <v>4</v>
      </c>
      <c r="AC387" t="n">
        <v>4</v>
      </c>
      <c r="AD387" t="n">
        <v>24</v>
      </c>
      <c r="AE387" t="n">
        <v>24</v>
      </c>
      <c r="AF387" t="n">
        <v>9</v>
      </c>
      <c r="AG387" t="n">
        <v>9</v>
      </c>
      <c r="AH387" t="n">
        <v>4</v>
      </c>
      <c r="AI387" t="n">
        <v>4</v>
      </c>
      <c r="AJ387" t="n">
        <v>15</v>
      </c>
      <c r="AK387" t="n">
        <v>15</v>
      </c>
      <c r="AL387" t="n">
        <v>3</v>
      </c>
      <c r="AM387" t="n">
        <v>3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HYPERLINK("http://catalog.hathitrust.org/Record/000616064","HathiTrust Record")</f>
        <v/>
      </c>
      <c r="AS387">
        <f>HYPERLINK("https://creighton-primo.hosted.exlibrisgroup.com/primo-explore/search?tab=default_tab&amp;search_scope=EVERYTHING&amp;vid=01CRU&amp;lang=en_US&amp;offset=0&amp;query=any,contains,991000596849702656","Catalog Record")</f>
        <v/>
      </c>
      <c r="AT387">
        <f>HYPERLINK("http://www.worldcat.org/oclc/11813177","WorldCat Record")</f>
        <v/>
      </c>
      <c r="AU387" t="inlineStr">
        <is>
          <t>254987100:eng</t>
        </is>
      </c>
      <c r="AV387" t="inlineStr">
        <is>
          <t>11813177</t>
        </is>
      </c>
      <c r="AW387" t="inlineStr">
        <is>
          <t>991000596849702656</t>
        </is>
      </c>
      <c r="AX387" t="inlineStr">
        <is>
          <t>991000596849702656</t>
        </is>
      </c>
      <c r="AY387" t="inlineStr">
        <is>
          <t>2260552420002656</t>
        </is>
      </c>
      <c r="AZ387" t="inlineStr">
        <is>
          <t>BOOK</t>
        </is>
      </c>
      <c r="BB387" t="inlineStr">
        <is>
          <t>9780807070000</t>
        </is>
      </c>
      <c r="BC387" t="inlineStr">
        <is>
          <t>32285000375641</t>
        </is>
      </c>
      <c r="BD387" t="inlineStr">
        <is>
          <t>893333615</t>
        </is>
      </c>
    </row>
    <row r="388">
      <c r="A388" t="inlineStr">
        <is>
          <t>No</t>
        </is>
      </c>
      <c r="B388" t="inlineStr">
        <is>
          <t>PS3231 .C47</t>
        </is>
      </c>
      <c r="C388" t="inlineStr">
        <is>
          <t>0                      PS 3231000C  47</t>
        </is>
      </c>
      <c r="D388" t="inlineStr">
        <is>
          <t>Walt Whitman reconsidered.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Chase, Richard Volney, 1914-1962.</t>
        </is>
      </c>
      <c r="L388" t="inlineStr">
        <is>
          <t>New York : William Sloane Associates, [1955]</t>
        </is>
      </c>
      <c r="M388" t="inlineStr">
        <is>
          <t>1955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PS </t>
        </is>
      </c>
      <c r="S388" t="n">
        <v>5</v>
      </c>
      <c r="T388" t="n">
        <v>5</v>
      </c>
      <c r="U388" t="inlineStr">
        <is>
          <t>2004-09-29</t>
        </is>
      </c>
      <c r="V388" t="inlineStr">
        <is>
          <t>2004-09-29</t>
        </is>
      </c>
      <c r="W388" t="inlineStr">
        <is>
          <t>1990-08-17</t>
        </is>
      </c>
      <c r="X388" t="inlineStr">
        <is>
          <t>1990-08-17</t>
        </is>
      </c>
      <c r="Y388" t="n">
        <v>1102</v>
      </c>
      <c r="Z388" t="n">
        <v>996</v>
      </c>
      <c r="AA388" t="n">
        <v>1052</v>
      </c>
      <c r="AB388" t="n">
        <v>12</v>
      </c>
      <c r="AC388" t="n">
        <v>12</v>
      </c>
      <c r="AD388" t="n">
        <v>42</v>
      </c>
      <c r="AE388" t="n">
        <v>44</v>
      </c>
      <c r="AF388" t="n">
        <v>14</v>
      </c>
      <c r="AG388" t="n">
        <v>14</v>
      </c>
      <c r="AH388" t="n">
        <v>8</v>
      </c>
      <c r="AI388" t="n">
        <v>8</v>
      </c>
      <c r="AJ388" t="n">
        <v>18</v>
      </c>
      <c r="AK388" t="n">
        <v>20</v>
      </c>
      <c r="AL388" t="n">
        <v>11</v>
      </c>
      <c r="AM388" t="n">
        <v>11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HYPERLINK("http://catalog.hathitrust.org/Record/001188405","HathiTrust Record")</f>
        <v/>
      </c>
      <c r="AS388">
        <f>HYPERLINK("https://creighton-primo.hosted.exlibrisgroup.com/primo-explore/search?tab=default_tab&amp;search_scope=EVERYTHING&amp;vid=01CRU&amp;lang=en_US&amp;offset=0&amp;query=any,contains,991002169839702656","Catalog Record")</f>
        <v/>
      </c>
      <c r="AT388">
        <f>HYPERLINK("http://www.worldcat.org/oclc/276386","WorldCat Record")</f>
        <v/>
      </c>
      <c r="AU388" t="inlineStr">
        <is>
          <t>3901246142:eng</t>
        </is>
      </c>
      <c r="AV388" t="inlineStr">
        <is>
          <t>276386</t>
        </is>
      </c>
      <c r="AW388" t="inlineStr">
        <is>
          <t>991002169839702656</t>
        </is>
      </c>
      <c r="AX388" t="inlineStr">
        <is>
          <t>991002169839702656</t>
        </is>
      </c>
      <c r="AY388" t="inlineStr">
        <is>
          <t>2259770790002656</t>
        </is>
      </c>
      <c r="AZ388" t="inlineStr">
        <is>
          <t>BOOK</t>
        </is>
      </c>
      <c r="BC388" t="inlineStr">
        <is>
          <t>32285000283712</t>
        </is>
      </c>
      <c r="BD388" t="inlineStr">
        <is>
          <t>893427278</t>
        </is>
      </c>
    </row>
    <row r="389">
      <c r="A389" t="inlineStr">
        <is>
          <t>No</t>
        </is>
      </c>
      <c r="B389" t="inlineStr">
        <is>
          <t>PS3231 .F37</t>
        </is>
      </c>
      <c r="C389" t="inlineStr">
        <is>
          <t>0                      PS 3231000F  37</t>
        </is>
      </c>
      <c r="D389" t="inlineStr">
        <is>
          <t>Walt Whitman : poet of democracy / [by] Hugh I'Anson Fausset.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Fausset, Hugh I'Anson, 1895-1965.</t>
        </is>
      </c>
      <c r="L389" t="inlineStr">
        <is>
          <t>New Haven : Yale university press, 1942.</t>
        </is>
      </c>
      <c r="M389" t="inlineStr">
        <is>
          <t>1942</t>
        </is>
      </c>
      <c r="O389" t="inlineStr">
        <is>
          <t>eng</t>
        </is>
      </c>
      <c r="P389" t="inlineStr">
        <is>
          <t xml:space="preserve">xx </t>
        </is>
      </c>
      <c r="R389" t="inlineStr">
        <is>
          <t xml:space="preserve">PS </t>
        </is>
      </c>
      <c r="S389" t="n">
        <v>5</v>
      </c>
      <c r="T389" t="n">
        <v>5</v>
      </c>
      <c r="U389" t="inlineStr">
        <is>
          <t>1994-03-24</t>
        </is>
      </c>
      <c r="V389" t="inlineStr">
        <is>
          <t>1994-03-24</t>
        </is>
      </c>
      <c r="W389" t="inlineStr">
        <is>
          <t>1990-08-17</t>
        </is>
      </c>
      <c r="X389" t="inlineStr">
        <is>
          <t>1990-08-17</t>
        </is>
      </c>
      <c r="Y389" t="n">
        <v>490</v>
      </c>
      <c r="Z389" t="n">
        <v>479</v>
      </c>
      <c r="AA389" t="n">
        <v>824</v>
      </c>
      <c r="AB389" t="n">
        <v>4</v>
      </c>
      <c r="AC389" t="n">
        <v>9</v>
      </c>
      <c r="AD389" t="n">
        <v>22</v>
      </c>
      <c r="AE389" t="n">
        <v>39</v>
      </c>
      <c r="AF389" t="n">
        <v>10</v>
      </c>
      <c r="AG389" t="n">
        <v>16</v>
      </c>
      <c r="AH389" t="n">
        <v>3</v>
      </c>
      <c r="AI389" t="n">
        <v>8</v>
      </c>
      <c r="AJ389" t="n">
        <v>9</v>
      </c>
      <c r="AK389" t="n">
        <v>15</v>
      </c>
      <c r="AL389" t="n">
        <v>3</v>
      </c>
      <c r="AM389" t="n">
        <v>8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HYPERLINK("http://catalog.hathitrust.org/Record/003570792","HathiTrust Record")</f>
        <v/>
      </c>
      <c r="AS389">
        <f>HYPERLINK("https://creighton-primo.hosted.exlibrisgroup.com/primo-explore/search?tab=default_tab&amp;search_scope=EVERYTHING&amp;vid=01CRU&amp;lang=en_US&amp;offset=0&amp;query=any,contains,991003248469702656","Catalog Record")</f>
        <v/>
      </c>
      <c r="AT389">
        <f>HYPERLINK("http://www.worldcat.org/oclc/14727803","WorldCat Record")</f>
        <v/>
      </c>
      <c r="AU389" t="inlineStr">
        <is>
          <t>139058942:eng</t>
        </is>
      </c>
      <c r="AV389" t="inlineStr">
        <is>
          <t>14727803</t>
        </is>
      </c>
      <c r="AW389" t="inlineStr">
        <is>
          <t>991003248469702656</t>
        </is>
      </c>
      <c r="AX389" t="inlineStr">
        <is>
          <t>991003248469702656</t>
        </is>
      </c>
      <c r="AY389" t="inlineStr">
        <is>
          <t>2265845560002656</t>
        </is>
      </c>
      <c r="AZ389" t="inlineStr">
        <is>
          <t>BOOK</t>
        </is>
      </c>
      <c r="BC389" t="inlineStr">
        <is>
          <t>32285000283704</t>
        </is>
      </c>
      <c r="BD389" t="inlineStr">
        <is>
          <t>893317797</t>
        </is>
      </c>
    </row>
    <row r="390">
      <c r="A390" t="inlineStr">
        <is>
          <t>No</t>
        </is>
      </c>
      <c r="B390" t="inlineStr">
        <is>
          <t>PS3231 .P4 1969</t>
        </is>
      </c>
      <c r="C390" t="inlineStr">
        <is>
          <t>0                      PS 3231000P  4           1969</t>
        </is>
      </c>
      <c r="D390" t="inlineStr">
        <is>
          <t>Walt Whitman : his life and work / by Bliss Perry.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Yes</t>
        </is>
      </c>
      <c r="J390" t="inlineStr">
        <is>
          <t>0</t>
        </is>
      </c>
      <c r="K390" t="inlineStr">
        <is>
          <t>Perry, Bliss, 1860-1954.</t>
        </is>
      </c>
      <c r="L390" t="inlineStr">
        <is>
          <t>New York : AMS Press, [1969]</t>
        </is>
      </c>
      <c r="M390" t="inlineStr">
        <is>
          <t>1969</t>
        </is>
      </c>
      <c r="O390" t="inlineStr">
        <is>
          <t>eng</t>
        </is>
      </c>
      <c r="P390" t="inlineStr">
        <is>
          <t>nyu</t>
        </is>
      </c>
      <c r="R390" t="inlineStr">
        <is>
          <t xml:space="preserve">PS </t>
        </is>
      </c>
      <c r="S390" t="n">
        <v>2</v>
      </c>
      <c r="T390" t="n">
        <v>2</v>
      </c>
      <c r="U390" t="inlineStr">
        <is>
          <t>1992-04-06</t>
        </is>
      </c>
      <c r="V390" t="inlineStr">
        <is>
          <t>1992-04-06</t>
        </is>
      </c>
      <c r="W390" t="inlineStr">
        <is>
          <t>1990-11-01</t>
        </is>
      </c>
      <c r="X390" t="inlineStr">
        <is>
          <t>1990-11-01</t>
        </is>
      </c>
      <c r="Y390" t="n">
        <v>254</v>
      </c>
      <c r="Z390" t="n">
        <v>231</v>
      </c>
      <c r="AA390" t="n">
        <v>656</v>
      </c>
      <c r="AB390" t="n">
        <v>2</v>
      </c>
      <c r="AC390" t="n">
        <v>7</v>
      </c>
      <c r="AD390" t="n">
        <v>9</v>
      </c>
      <c r="AE390" t="n">
        <v>31</v>
      </c>
      <c r="AF390" t="n">
        <v>4</v>
      </c>
      <c r="AG390" t="n">
        <v>11</v>
      </c>
      <c r="AH390" t="n">
        <v>0</v>
      </c>
      <c r="AI390" t="n">
        <v>5</v>
      </c>
      <c r="AJ390" t="n">
        <v>5</v>
      </c>
      <c r="AK390" t="n">
        <v>13</v>
      </c>
      <c r="AL390" t="n">
        <v>1</v>
      </c>
      <c r="AM390" t="n">
        <v>6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HYPERLINK("http://catalog.hathitrust.org/Record/004437682","HathiTrust Record")</f>
        <v/>
      </c>
      <c r="AS390">
        <f>HYPERLINK("https://creighton-primo.hosted.exlibrisgroup.com/primo-explore/search?tab=default_tab&amp;search_scope=EVERYTHING&amp;vid=01CRU&amp;lang=en_US&amp;offset=0&amp;query=any,contains,991000035149702656","Catalog Record")</f>
        <v/>
      </c>
      <c r="AT390">
        <f>HYPERLINK("http://www.worldcat.org/oclc/20028","WorldCat Record")</f>
        <v/>
      </c>
      <c r="AU390" t="inlineStr">
        <is>
          <t>3768746536:eng</t>
        </is>
      </c>
      <c r="AV390" t="inlineStr">
        <is>
          <t>20028</t>
        </is>
      </c>
      <c r="AW390" t="inlineStr">
        <is>
          <t>991000035149702656</t>
        </is>
      </c>
      <c r="AX390" t="inlineStr">
        <is>
          <t>991000035149702656</t>
        </is>
      </c>
      <c r="AY390" t="inlineStr">
        <is>
          <t>2260920030002656</t>
        </is>
      </c>
      <c r="AZ390" t="inlineStr">
        <is>
          <t>BOOK</t>
        </is>
      </c>
      <c r="BC390" t="inlineStr">
        <is>
          <t>32285000375583</t>
        </is>
      </c>
      <c r="BD390" t="inlineStr">
        <is>
          <t>893601392</t>
        </is>
      </c>
    </row>
    <row r="391">
      <c r="A391" t="inlineStr">
        <is>
          <t>No</t>
        </is>
      </c>
      <c r="B391" t="inlineStr">
        <is>
          <t>PS3231 .S43</t>
        </is>
      </c>
      <c r="C391" t="inlineStr">
        <is>
          <t>0                      PS 3231000S  43</t>
        </is>
      </c>
      <c r="D391" t="inlineStr">
        <is>
          <t>Walt Whitman / translated from the Danish by Evie Allison Allen. With an introd. by Gay Wilson Allen.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Schyberg, Frederik, 1905-1950.</t>
        </is>
      </c>
      <c r="L391" t="inlineStr">
        <is>
          <t>New York : Columbia University Press, 1951.</t>
        </is>
      </c>
      <c r="M391" t="inlineStr">
        <is>
          <t>1951</t>
        </is>
      </c>
      <c r="O391" t="inlineStr">
        <is>
          <t>eng</t>
        </is>
      </c>
      <c r="P391" t="inlineStr">
        <is>
          <t xml:space="preserve">xx </t>
        </is>
      </c>
      <c r="R391" t="inlineStr">
        <is>
          <t xml:space="preserve">PS </t>
        </is>
      </c>
      <c r="S391" t="n">
        <v>2</v>
      </c>
      <c r="T391" t="n">
        <v>2</v>
      </c>
      <c r="U391" t="inlineStr">
        <is>
          <t>1997-10-05</t>
        </is>
      </c>
      <c r="V391" t="inlineStr">
        <is>
          <t>1997-10-05</t>
        </is>
      </c>
      <c r="W391" t="inlineStr">
        <is>
          <t>1990-08-17</t>
        </is>
      </c>
      <c r="X391" t="inlineStr">
        <is>
          <t>1990-08-17</t>
        </is>
      </c>
      <c r="Y391" t="n">
        <v>646</v>
      </c>
      <c r="Z391" t="n">
        <v>584</v>
      </c>
      <c r="AA391" t="n">
        <v>720</v>
      </c>
      <c r="AB391" t="n">
        <v>8</v>
      </c>
      <c r="AC391" t="n">
        <v>8</v>
      </c>
      <c r="AD391" t="n">
        <v>38</v>
      </c>
      <c r="AE391" t="n">
        <v>45</v>
      </c>
      <c r="AF391" t="n">
        <v>17</v>
      </c>
      <c r="AG391" t="n">
        <v>22</v>
      </c>
      <c r="AH391" t="n">
        <v>6</v>
      </c>
      <c r="AI391" t="n">
        <v>8</v>
      </c>
      <c r="AJ391" t="n">
        <v>17</v>
      </c>
      <c r="AK391" t="n">
        <v>18</v>
      </c>
      <c r="AL391" t="n">
        <v>6</v>
      </c>
      <c r="AM391" t="n">
        <v>6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R391">
        <f>HYPERLINK("http://catalog.hathitrust.org/Record/001112507","HathiTrust Record")</f>
        <v/>
      </c>
      <c r="AS391">
        <f>HYPERLINK("https://creighton-primo.hosted.exlibrisgroup.com/primo-explore/search?tab=default_tab&amp;search_scope=EVERYTHING&amp;vid=01CRU&amp;lang=en_US&amp;offset=0&amp;query=any,contains,991003586779702656","Catalog Record")</f>
        <v/>
      </c>
      <c r="AT391">
        <f>HYPERLINK("http://www.worldcat.org/oclc/1167571","WorldCat Record")</f>
        <v/>
      </c>
      <c r="AU391" t="inlineStr">
        <is>
          <t>4925614145:eng</t>
        </is>
      </c>
      <c r="AV391" t="inlineStr">
        <is>
          <t>1167571</t>
        </is>
      </c>
      <c r="AW391" t="inlineStr">
        <is>
          <t>991003586779702656</t>
        </is>
      </c>
      <c r="AX391" t="inlineStr">
        <is>
          <t>991003586779702656</t>
        </is>
      </c>
      <c r="AY391" t="inlineStr">
        <is>
          <t>2267961660002656</t>
        </is>
      </c>
      <c r="AZ391" t="inlineStr">
        <is>
          <t>BOOK</t>
        </is>
      </c>
      <c r="BC391" t="inlineStr">
        <is>
          <t>32285000283688</t>
        </is>
      </c>
      <c r="BD391" t="inlineStr">
        <is>
          <t>893240375</t>
        </is>
      </c>
    </row>
    <row r="392">
      <c r="A392" t="inlineStr">
        <is>
          <t>No</t>
        </is>
      </c>
      <c r="B392" t="inlineStr">
        <is>
          <t>PS3236 .S8 1974</t>
        </is>
      </c>
      <c r="C392" t="inlineStr">
        <is>
          <t>0                      PS 3236000S  8           1974</t>
        </is>
      </c>
      <c r="D392" t="inlineStr">
        <is>
          <t>The foreground of Leaves of grass / by Floyd Stovall 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Stovall, Floyd, 1896-1991.</t>
        </is>
      </c>
      <c r="L392" t="inlineStr">
        <is>
          <t>Charlottesville : University Press of Virginia, [1974]</t>
        </is>
      </c>
      <c r="M392" t="inlineStr">
        <is>
          <t>1974</t>
        </is>
      </c>
      <c r="O392" t="inlineStr">
        <is>
          <t>eng</t>
        </is>
      </c>
      <c r="P392" t="inlineStr">
        <is>
          <t>vau</t>
        </is>
      </c>
      <c r="R392" t="inlineStr">
        <is>
          <t xml:space="preserve">PS </t>
        </is>
      </c>
      <c r="S392" t="n">
        <v>3</v>
      </c>
      <c r="T392" t="n">
        <v>3</v>
      </c>
      <c r="U392" t="inlineStr">
        <is>
          <t>2004-10-04</t>
        </is>
      </c>
      <c r="V392" t="inlineStr">
        <is>
          <t>2004-10-04</t>
        </is>
      </c>
      <c r="W392" t="inlineStr">
        <is>
          <t>1990-11-01</t>
        </is>
      </c>
      <c r="X392" t="inlineStr">
        <is>
          <t>1990-11-01</t>
        </is>
      </c>
      <c r="Y392" t="n">
        <v>685</v>
      </c>
      <c r="Z392" t="n">
        <v>586</v>
      </c>
      <c r="AA392" t="n">
        <v>589</v>
      </c>
      <c r="AB392" t="n">
        <v>5</v>
      </c>
      <c r="AC392" t="n">
        <v>5</v>
      </c>
      <c r="AD392" t="n">
        <v>30</v>
      </c>
      <c r="AE392" t="n">
        <v>30</v>
      </c>
      <c r="AF392" t="n">
        <v>10</v>
      </c>
      <c r="AG392" t="n">
        <v>10</v>
      </c>
      <c r="AH392" t="n">
        <v>7</v>
      </c>
      <c r="AI392" t="n">
        <v>7</v>
      </c>
      <c r="AJ392" t="n">
        <v>15</v>
      </c>
      <c r="AK392" t="n">
        <v>15</v>
      </c>
      <c r="AL392" t="n">
        <v>4</v>
      </c>
      <c r="AM392" t="n">
        <v>4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HYPERLINK("https://creighton-primo.hosted.exlibrisgroup.com/primo-explore/search?tab=default_tab&amp;search_scope=EVERYTHING&amp;vid=01CRU&amp;lang=en_US&amp;offset=0&amp;query=any,contains,991003408309702656","Catalog Record")</f>
        <v/>
      </c>
      <c r="AT392">
        <f>HYPERLINK("http://www.worldcat.org/oclc/947671","WorldCat Record")</f>
        <v/>
      </c>
      <c r="AU392" t="inlineStr">
        <is>
          <t>291567256:eng</t>
        </is>
      </c>
      <c r="AV392" t="inlineStr">
        <is>
          <t>947671</t>
        </is>
      </c>
      <c r="AW392" t="inlineStr">
        <is>
          <t>991003408309702656</t>
        </is>
      </c>
      <c r="AX392" t="inlineStr">
        <is>
          <t>991003408309702656</t>
        </is>
      </c>
      <c r="AY392" t="inlineStr">
        <is>
          <t>2264454660002656</t>
        </is>
      </c>
      <c r="AZ392" t="inlineStr">
        <is>
          <t>BOOK</t>
        </is>
      </c>
      <c r="BB392" t="inlineStr">
        <is>
          <t>9780813905235</t>
        </is>
      </c>
      <c r="BC392" t="inlineStr">
        <is>
          <t>32285000375633</t>
        </is>
      </c>
      <c r="BD392" t="inlineStr">
        <is>
          <t>893441259</t>
        </is>
      </c>
    </row>
    <row r="393">
      <c r="A393" t="inlineStr">
        <is>
          <t>No</t>
        </is>
      </c>
      <c r="B393" t="inlineStr">
        <is>
          <t>PS3238 .A7</t>
        </is>
      </c>
      <c r="C393" t="inlineStr">
        <is>
          <t>0                      PS 3238000A  7</t>
        </is>
      </c>
      <c r="D393" t="inlineStr">
        <is>
          <t>The Artistic legacy of Walt Whitman; a tribute to Gay Wilson Allen. Edited by Edwin Haviland Miller.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L393" t="inlineStr">
        <is>
          <t>[New York] New York University Press, 1970.</t>
        </is>
      </c>
      <c r="M393" t="inlineStr">
        <is>
          <t>1970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PS </t>
        </is>
      </c>
      <c r="S393" t="n">
        <v>1</v>
      </c>
      <c r="T393" t="n">
        <v>1</v>
      </c>
      <c r="U393" t="inlineStr">
        <is>
          <t>2001-03-16</t>
        </is>
      </c>
      <c r="V393" t="inlineStr">
        <is>
          <t>2001-03-16</t>
        </is>
      </c>
      <c r="W393" t="inlineStr">
        <is>
          <t>1997-05-27</t>
        </is>
      </c>
      <c r="X393" t="inlineStr">
        <is>
          <t>1997-05-27</t>
        </is>
      </c>
      <c r="Y393" t="n">
        <v>834</v>
      </c>
      <c r="Z393" t="n">
        <v>757</v>
      </c>
      <c r="AA393" t="n">
        <v>759</v>
      </c>
      <c r="AB393" t="n">
        <v>8</v>
      </c>
      <c r="AC393" t="n">
        <v>8</v>
      </c>
      <c r="AD393" t="n">
        <v>34</v>
      </c>
      <c r="AE393" t="n">
        <v>34</v>
      </c>
      <c r="AF393" t="n">
        <v>12</v>
      </c>
      <c r="AG393" t="n">
        <v>12</v>
      </c>
      <c r="AH393" t="n">
        <v>7</v>
      </c>
      <c r="AI393" t="n">
        <v>7</v>
      </c>
      <c r="AJ393" t="n">
        <v>16</v>
      </c>
      <c r="AK393" t="n">
        <v>16</v>
      </c>
      <c r="AL393" t="n">
        <v>7</v>
      </c>
      <c r="AM393" t="n">
        <v>7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HYPERLINK("http://catalog.hathitrust.org/Record/001020839","HathiTrust Record")</f>
        <v/>
      </c>
      <c r="AS393">
        <f>HYPERLINK("https://creighton-primo.hosted.exlibrisgroup.com/primo-explore/search?tab=default_tab&amp;search_scope=EVERYTHING&amp;vid=01CRU&amp;lang=en_US&amp;offset=0&amp;query=any,contains,991000676729702656","Catalog Record")</f>
        <v/>
      </c>
      <c r="AT393">
        <f>HYPERLINK("http://www.worldcat.org/oclc/120400","WorldCat Record")</f>
        <v/>
      </c>
      <c r="AU393" t="inlineStr">
        <is>
          <t>796688977:eng</t>
        </is>
      </c>
      <c r="AV393" t="inlineStr">
        <is>
          <t>120400</t>
        </is>
      </c>
      <c r="AW393" t="inlineStr">
        <is>
          <t>991000676729702656</t>
        </is>
      </c>
      <c r="AX393" t="inlineStr">
        <is>
          <t>991000676729702656</t>
        </is>
      </c>
      <c r="AY393" t="inlineStr">
        <is>
          <t>2264234560002656</t>
        </is>
      </c>
      <c r="AZ393" t="inlineStr">
        <is>
          <t>BOOK</t>
        </is>
      </c>
      <c r="BC393" t="inlineStr">
        <is>
          <t>32285002717550</t>
        </is>
      </c>
      <c r="BD393" t="inlineStr">
        <is>
          <t>893790754</t>
        </is>
      </c>
    </row>
    <row r="394">
      <c r="A394" t="inlineStr">
        <is>
          <t>No</t>
        </is>
      </c>
      <c r="B394" t="inlineStr">
        <is>
          <t>PS3238 .C66</t>
        </is>
      </c>
      <c r="C394" t="inlineStr">
        <is>
          <t>0                      PS 3238000C  66</t>
        </is>
      </c>
      <c r="D394" t="inlineStr">
        <is>
          <t>The poet and the President: Whitman's Lincoln poems.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Coyle, William editor.</t>
        </is>
      </c>
      <c r="L394" t="inlineStr">
        <is>
          <t>New York, Odyssey Press [1962]</t>
        </is>
      </c>
      <c r="M394" t="inlineStr">
        <is>
          <t>1962</t>
        </is>
      </c>
      <c r="N394" t="inlineStr">
        <is>
          <t>[1st ed.]</t>
        </is>
      </c>
      <c r="O394" t="inlineStr">
        <is>
          <t>eng</t>
        </is>
      </c>
      <c r="P394" t="inlineStr">
        <is>
          <t>nyu</t>
        </is>
      </c>
      <c r="R394" t="inlineStr">
        <is>
          <t xml:space="preserve">PS </t>
        </is>
      </c>
      <c r="S394" t="n">
        <v>1</v>
      </c>
      <c r="T394" t="n">
        <v>1</v>
      </c>
      <c r="U394" t="inlineStr">
        <is>
          <t>1998-12-08</t>
        </is>
      </c>
      <c r="V394" t="inlineStr">
        <is>
          <t>1998-12-08</t>
        </is>
      </c>
      <c r="W394" t="inlineStr">
        <is>
          <t>1997-05-27</t>
        </is>
      </c>
      <c r="X394" t="inlineStr">
        <is>
          <t>1997-05-27</t>
        </is>
      </c>
      <c r="Y394" t="n">
        <v>339</v>
      </c>
      <c r="Z394" t="n">
        <v>315</v>
      </c>
      <c r="AA394" t="n">
        <v>323</v>
      </c>
      <c r="AB394" t="n">
        <v>4</v>
      </c>
      <c r="AC394" t="n">
        <v>4</v>
      </c>
      <c r="AD394" t="n">
        <v>18</v>
      </c>
      <c r="AE394" t="n">
        <v>18</v>
      </c>
      <c r="AF394" t="n">
        <v>6</v>
      </c>
      <c r="AG394" t="n">
        <v>6</v>
      </c>
      <c r="AH394" t="n">
        <v>4</v>
      </c>
      <c r="AI394" t="n">
        <v>4</v>
      </c>
      <c r="AJ394" t="n">
        <v>7</v>
      </c>
      <c r="AK394" t="n">
        <v>7</v>
      </c>
      <c r="AL394" t="n">
        <v>3</v>
      </c>
      <c r="AM394" t="n">
        <v>3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HYPERLINK("http://catalog.hathitrust.org/Record/001776027","HathiTrust Record")</f>
        <v/>
      </c>
      <c r="AS394">
        <f>HYPERLINK("https://creighton-primo.hosted.exlibrisgroup.com/primo-explore/search?tab=default_tab&amp;search_scope=EVERYTHING&amp;vid=01CRU&amp;lang=en_US&amp;offset=0&amp;query=any,contains,991004173789702656","Catalog Record")</f>
        <v/>
      </c>
      <c r="AT394">
        <f>HYPERLINK("http://www.worldcat.org/oclc/2591078","WorldCat Record")</f>
        <v/>
      </c>
      <c r="AU394" t="inlineStr">
        <is>
          <t>287183281:eng</t>
        </is>
      </c>
      <c r="AV394" t="inlineStr">
        <is>
          <t>2591078</t>
        </is>
      </c>
      <c r="AW394" t="inlineStr">
        <is>
          <t>991004173789702656</t>
        </is>
      </c>
      <c r="AX394" t="inlineStr">
        <is>
          <t>991004173789702656</t>
        </is>
      </c>
      <c r="AY394" t="inlineStr">
        <is>
          <t>2259976860002656</t>
        </is>
      </c>
      <c r="AZ394" t="inlineStr">
        <is>
          <t>BOOK</t>
        </is>
      </c>
      <c r="BC394" t="inlineStr">
        <is>
          <t>32285002717568</t>
        </is>
      </c>
      <c r="BD394" t="inlineStr">
        <is>
          <t>893875768</t>
        </is>
      </c>
    </row>
    <row r="395">
      <c r="A395" t="inlineStr">
        <is>
          <t>No</t>
        </is>
      </c>
      <c r="B395" t="inlineStr">
        <is>
          <t>PS3238 .H5 1971b</t>
        </is>
      </c>
      <c r="C395" t="inlineStr">
        <is>
          <t>0                      PS 3238000H  5           1971b</t>
        </is>
      </c>
      <c r="D395" t="inlineStr">
        <is>
          <t>Walt Whitman : the critical heritage.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Hindus, Milton compiler.</t>
        </is>
      </c>
      <c r="L395" t="inlineStr">
        <is>
          <t>New York : Barnes &amp; Noble, [1971]</t>
        </is>
      </c>
      <c r="M395" t="inlineStr">
        <is>
          <t>1971</t>
        </is>
      </c>
      <c r="O395" t="inlineStr">
        <is>
          <t>eng</t>
        </is>
      </c>
      <c r="P395" t="inlineStr">
        <is>
          <t>nyu</t>
        </is>
      </c>
      <c r="Q395" t="inlineStr">
        <is>
          <t>The Critical heritage series</t>
        </is>
      </c>
      <c r="R395" t="inlineStr">
        <is>
          <t xml:space="preserve">PS </t>
        </is>
      </c>
      <c r="S395" t="n">
        <v>5</v>
      </c>
      <c r="T395" t="n">
        <v>5</v>
      </c>
      <c r="U395" t="inlineStr">
        <is>
          <t>1997-10-05</t>
        </is>
      </c>
      <c r="V395" t="inlineStr">
        <is>
          <t>1997-10-05</t>
        </is>
      </c>
      <c r="W395" t="inlineStr">
        <is>
          <t>1990-08-20</t>
        </is>
      </c>
      <c r="X395" t="inlineStr">
        <is>
          <t>1990-08-20</t>
        </is>
      </c>
      <c r="Y395" t="n">
        <v>695</v>
      </c>
      <c r="Z395" t="n">
        <v>669</v>
      </c>
      <c r="AA395" t="n">
        <v>846</v>
      </c>
      <c r="AB395" t="n">
        <v>6</v>
      </c>
      <c r="AC395" t="n">
        <v>6</v>
      </c>
      <c r="AD395" t="n">
        <v>36</v>
      </c>
      <c r="AE395" t="n">
        <v>45</v>
      </c>
      <c r="AF395" t="n">
        <v>13</v>
      </c>
      <c r="AG395" t="n">
        <v>19</v>
      </c>
      <c r="AH395" t="n">
        <v>8</v>
      </c>
      <c r="AI395" t="n">
        <v>10</v>
      </c>
      <c r="AJ395" t="n">
        <v>19</v>
      </c>
      <c r="AK395" t="n">
        <v>23</v>
      </c>
      <c r="AL395" t="n">
        <v>5</v>
      </c>
      <c r="AM395" t="n">
        <v>5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HYPERLINK("http://catalog.hathitrust.org/Record/000004105","HathiTrust Record")</f>
        <v/>
      </c>
      <c r="AS395">
        <f>HYPERLINK("https://creighton-primo.hosted.exlibrisgroup.com/primo-explore/search?tab=default_tab&amp;search_scope=EVERYTHING&amp;vid=01CRU&amp;lang=en_US&amp;offset=0&amp;query=any,contains,991002207649702656","Catalog Record")</f>
        <v/>
      </c>
      <c r="AT395">
        <f>HYPERLINK("http://www.worldcat.org/oclc/286589","WorldCat Record")</f>
        <v/>
      </c>
      <c r="AU395" t="inlineStr">
        <is>
          <t>1911240718:eng</t>
        </is>
      </c>
      <c r="AV395" t="inlineStr">
        <is>
          <t>286589</t>
        </is>
      </c>
      <c r="AW395" t="inlineStr">
        <is>
          <t>991002207649702656</t>
        </is>
      </c>
      <c r="AX395" t="inlineStr">
        <is>
          <t>991002207649702656</t>
        </is>
      </c>
      <c r="AY395" t="inlineStr">
        <is>
          <t>2263058380002656</t>
        </is>
      </c>
      <c r="AZ395" t="inlineStr">
        <is>
          <t>BOOK</t>
        </is>
      </c>
      <c r="BB395" t="inlineStr">
        <is>
          <t>9780389042082</t>
        </is>
      </c>
      <c r="BC395" t="inlineStr">
        <is>
          <t>32285000283662</t>
        </is>
      </c>
      <c r="BD395" t="inlineStr">
        <is>
          <t>893873229</t>
        </is>
      </c>
    </row>
    <row r="396">
      <c r="A396" t="inlineStr">
        <is>
          <t>No</t>
        </is>
      </c>
      <c r="B396" t="inlineStr">
        <is>
          <t>PS3238 .M57</t>
        </is>
      </c>
      <c r="C396" t="inlineStr">
        <is>
          <t>0                      PS 3238000M  57</t>
        </is>
      </c>
      <c r="D396" t="inlineStr">
        <is>
          <t>Walt Whitman.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Yes</t>
        </is>
      </c>
      <c r="J396" t="inlineStr">
        <is>
          <t>0</t>
        </is>
      </c>
      <c r="K396" t="inlineStr">
        <is>
          <t>Miller, James E. (James Edwin), 1920-2010.</t>
        </is>
      </c>
      <c r="L396" t="inlineStr">
        <is>
          <t>New York : Twayne Publishers, [1962]</t>
        </is>
      </c>
      <c r="M396" t="inlineStr">
        <is>
          <t>1962</t>
        </is>
      </c>
      <c r="O396" t="inlineStr">
        <is>
          <t>eng</t>
        </is>
      </c>
      <c r="P396" t="inlineStr">
        <is>
          <t>nyu</t>
        </is>
      </c>
      <c r="Q396" t="inlineStr">
        <is>
          <t>Twayne's United States authors series, 20</t>
        </is>
      </c>
      <c r="R396" t="inlineStr">
        <is>
          <t xml:space="preserve">PS </t>
        </is>
      </c>
      <c r="S396" t="n">
        <v>6</v>
      </c>
      <c r="T396" t="n">
        <v>6</v>
      </c>
      <c r="U396" t="inlineStr">
        <is>
          <t>1995-10-31</t>
        </is>
      </c>
      <c r="V396" t="inlineStr">
        <is>
          <t>1995-10-31</t>
        </is>
      </c>
      <c r="W396" t="inlineStr">
        <is>
          <t>1990-08-20</t>
        </is>
      </c>
      <c r="X396" t="inlineStr">
        <is>
          <t>1990-08-20</t>
        </is>
      </c>
      <c r="Y396" t="n">
        <v>2003</v>
      </c>
      <c r="Z396" t="n">
        <v>1835</v>
      </c>
      <c r="AA396" t="n">
        <v>2314</v>
      </c>
      <c r="AB396" t="n">
        <v>17</v>
      </c>
      <c r="AC396" t="n">
        <v>20</v>
      </c>
      <c r="AD396" t="n">
        <v>50</v>
      </c>
      <c r="AE396" t="n">
        <v>59</v>
      </c>
      <c r="AF396" t="n">
        <v>22</v>
      </c>
      <c r="AG396" t="n">
        <v>25</v>
      </c>
      <c r="AH396" t="n">
        <v>7</v>
      </c>
      <c r="AI396" t="n">
        <v>9</v>
      </c>
      <c r="AJ396" t="n">
        <v>21</v>
      </c>
      <c r="AK396" t="n">
        <v>24</v>
      </c>
      <c r="AL396" t="n">
        <v>12</v>
      </c>
      <c r="AM396" t="n">
        <v>14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HYPERLINK("http://catalog.hathitrust.org/Record/001028032","HathiTrust Record")</f>
        <v/>
      </c>
      <c r="AS396">
        <f>HYPERLINK("https://creighton-primo.hosted.exlibrisgroup.com/primo-explore/search?tab=default_tab&amp;search_scope=EVERYTHING&amp;vid=01CRU&amp;lang=en_US&amp;offset=0&amp;query=any,contains,991001215199702656","Catalog Record")</f>
        <v/>
      </c>
      <c r="AT396">
        <f>HYPERLINK("http://www.worldcat.org/oclc/193754","WorldCat Record")</f>
        <v/>
      </c>
      <c r="AU396" t="inlineStr">
        <is>
          <t>4918895189:eng</t>
        </is>
      </c>
      <c r="AV396" t="inlineStr">
        <is>
          <t>193754</t>
        </is>
      </c>
      <c r="AW396" t="inlineStr">
        <is>
          <t>991001215199702656</t>
        </is>
      </c>
      <c r="AX396" t="inlineStr">
        <is>
          <t>991001215199702656</t>
        </is>
      </c>
      <c r="AY396" t="inlineStr">
        <is>
          <t>2268801160002656</t>
        </is>
      </c>
      <c r="AZ396" t="inlineStr">
        <is>
          <t>BOOK</t>
        </is>
      </c>
      <c r="BC396" t="inlineStr">
        <is>
          <t>32285000283639</t>
        </is>
      </c>
      <c r="BD396" t="inlineStr">
        <is>
          <t>893414064</t>
        </is>
      </c>
    </row>
    <row r="397">
      <c r="A397" t="inlineStr">
        <is>
          <t>No</t>
        </is>
      </c>
      <c r="B397" t="inlineStr">
        <is>
          <t>PS3238 .R25</t>
        </is>
      </c>
      <c r="C397" t="inlineStr">
        <is>
          <t>0                      PS 3238000R  25</t>
        </is>
      </c>
      <c r="D397" t="inlineStr">
        <is>
          <t>The roots of Whitman's grass / T.R. Rajasekharaiah.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Rajasekharaiah, T. R., 1926-</t>
        </is>
      </c>
      <c r="L397" t="inlineStr">
        <is>
          <t>Rutherford : Fairleigh Dickinson University Press, 1970.</t>
        </is>
      </c>
      <c r="M397" t="inlineStr">
        <is>
          <t>1970</t>
        </is>
      </c>
      <c r="O397" t="inlineStr">
        <is>
          <t>eng</t>
        </is>
      </c>
      <c r="P397" t="inlineStr">
        <is>
          <t>___</t>
        </is>
      </c>
      <c r="R397" t="inlineStr">
        <is>
          <t xml:space="preserve">PS </t>
        </is>
      </c>
      <c r="S397" t="n">
        <v>2</v>
      </c>
      <c r="T397" t="n">
        <v>2</v>
      </c>
      <c r="U397" t="inlineStr">
        <is>
          <t>1997-10-05</t>
        </is>
      </c>
      <c r="V397" t="inlineStr">
        <is>
          <t>1997-10-05</t>
        </is>
      </c>
      <c r="W397" t="inlineStr">
        <is>
          <t>1990-11-01</t>
        </is>
      </c>
      <c r="X397" t="inlineStr">
        <is>
          <t>1990-11-01</t>
        </is>
      </c>
      <c r="Y397" t="n">
        <v>577</v>
      </c>
      <c r="Z397" t="n">
        <v>506</v>
      </c>
      <c r="AA397" t="n">
        <v>513</v>
      </c>
      <c r="AB397" t="n">
        <v>6</v>
      </c>
      <c r="AC397" t="n">
        <v>6</v>
      </c>
      <c r="AD397" t="n">
        <v>24</v>
      </c>
      <c r="AE397" t="n">
        <v>24</v>
      </c>
      <c r="AF397" t="n">
        <v>6</v>
      </c>
      <c r="AG397" t="n">
        <v>6</v>
      </c>
      <c r="AH397" t="n">
        <v>6</v>
      </c>
      <c r="AI397" t="n">
        <v>6</v>
      </c>
      <c r="AJ397" t="n">
        <v>12</v>
      </c>
      <c r="AK397" t="n">
        <v>12</v>
      </c>
      <c r="AL397" t="n">
        <v>5</v>
      </c>
      <c r="AM397" t="n">
        <v>5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HYPERLINK("http://catalog.hathitrust.org/Record/001188430","HathiTrust Record")</f>
        <v/>
      </c>
      <c r="AS397">
        <f>HYPERLINK("https://creighton-primo.hosted.exlibrisgroup.com/primo-explore/search?tab=default_tab&amp;search_scope=EVERYTHING&amp;vid=01CRU&amp;lang=en_US&amp;offset=0&amp;query=any,contains,991001912519702656","Catalog Record")</f>
        <v/>
      </c>
      <c r="AT397">
        <f>HYPERLINK("http://www.worldcat.org/oclc/242634","WorldCat Record")</f>
        <v/>
      </c>
      <c r="AU397" t="inlineStr">
        <is>
          <t>1390427:eng</t>
        </is>
      </c>
      <c r="AV397" t="inlineStr">
        <is>
          <t>242634</t>
        </is>
      </c>
      <c r="AW397" t="inlineStr">
        <is>
          <t>991001912519702656</t>
        </is>
      </c>
      <c r="AX397" t="inlineStr">
        <is>
          <t>991001912519702656</t>
        </is>
      </c>
      <c r="AY397" t="inlineStr">
        <is>
          <t>2269473530002656</t>
        </is>
      </c>
      <c r="AZ397" t="inlineStr">
        <is>
          <t>BOOK</t>
        </is>
      </c>
      <c r="BC397" t="inlineStr">
        <is>
          <t>32285000375682</t>
        </is>
      </c>
      <c r="BD397" t="inlineStr">
        <is>
          <t>893340818</t>
        </is>
      </c>
    </row>
    <row r="398">
      <c r="A398" t="inlineStr">
        <is>
          <t>No</t>
        </is>
      </c>
      <c r="B398" t="inlineStr">
        <is>
          <t>PS3238 .W37</t>
        </is>
      </c>
      <c r="C398" t="inlineStr">
        <is>
          <t>0                      PS 3238000W  37</t>
        </is>
      </c>
      <c r="D398" t="inlineStr">
        <is>
          <t>Walt Whitman--the measure of his song / edited by Jim Perlman, Ed Folsom, &amp; Dan Campion ; introduction by Ed Folsom.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L398" t="inlineStr">
        <is>
          <t>Minneapolis : Holy Cow! Press, 1981.</t>
        </is>
      </c>
      <c r="M398" t="inlineStr">
        <is>
          <t>1981</t>
        </is>
      </c>
      <c r="O398" t="inlineStr">
        <is>
          <t>eng</t>
        </is>
      </c>
      <c r="P398" t="inlineStr">
        <is>
          <t>mnu</t>
        </is>
      </c>
      <c r="R398" t="inlineStr">
        <is>
          <t xml:space="preserve">PS </t>
        </is>
      </c>
      <c r="S398" t="n">
        <v>5</v>
      </c>
      <c r="T398" t="n">
        <v>5</v>
      </c>
      <c r="U398" t="inlineStr">
        <is>
          <t>1999-04-29</t>
        </is>
      </c>
      <c r="V398" t="inlineStr">
        <is>
          <t>1999-04-29</t>
        </is>
      </c>
      <c r="W398" t="inlineStr">
        <is>
          <t>1990-11-01</t>
        </is>
      </c>
      <c r="X398" t="inlineStr">
        <is>
          <t>1990-11-01</t>
        </is>
      </c>
      <c r="Y398" t="n">
        <v>744</v>
      </c>
      <c r="Z398" t="n">
        <v>684</v>
      </c>
      <c r="AA398" t="n">
        <v>1256</v>
      </c>
      <c r="AB398" t="n">
        <v>7</v>
      </c>
      <c r="AC398" t="n">
        <v>12</v>
      </c>
      <c r="AD398" t="n">
        <v>37</v>
      </c>
      <c r="AE398" t="n">
        <v>61</v>
      </c>
      <c r="AF398" t="n">
        <v>14</v>
      </c>
      <c r="AG398" t="n">
        <v>26</v>
      </c>
      <c r="AH398" t="n">
        <v>8</v>
      </c>
      <c r="AI398" t="n">
        <v>10</v>
      </c>
      <c r="AJ398" t="n">
        <v>17</v>
      </c>
      <c r="AK398" t="n">
        <v>25</v>
      </c>
      <c r="AL398" t="n">
        <v>6</v>
      </c>
      <c r="AM398" t="n">
        <v>11</v>
      </c>
      <c r="AN398" t="n">
        <v>0</v>
      </c>
      <c r="AO398" t="n">
        <v>2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HYPERLINK("http://catalog.hathitrust.org/Record/000192555","HathiTrust Record")</f>
        <v/>
      </c>
      <c r="AS398">
        <f>HYPERLINK("https://creighton-primo.hosted.exlibrisgroup.com/primo-explore/search?tab=default_tab&amp;search_scope=EVERYTHING&amp;vid=01CRU&amp;lang=en_US&amp;offset=0&amp;query=any,contains,991005130419702656","Catalog Record")</f>
        <v/>
      </c>
      <c r="AT398">
        <f>HYPERLINK("http://www.worldcat.org/oclc/7571900","WorldCat Record")</f>
        <v/>
      </c>
      <c r="AU398" t="inlineStr">
        <is>
          <t>309016472:eng</t>
        </is>
      </c>
      <c r="AV398" t="inlineStr">
        <is>
          <t>7571900</t>
        </is>
      </c>
      <c r="AW398" t="inlineStr">
        <is>
          <t>991005130419702656</t>
        </is>
      </c>
      <c r="AX398" t="inlineStr">
        <is>
          <t>991005130419702656</t>
        </is>
      </c>
      <c r="AY398" t="inlineStr">
        <is>
          <t>2272026060002656</t>
        </is>
      </c>
      <c r="AZ398" t="inlineStr">
        <is>
          <t>BOOK</t>
        </is>
      </c>
      <c r="BB398" t="inlineStr">
        <is>
          <t>9780930100087</t>
        </is>
      </c>
      <c r="BC398" t="inlineStr">
        <is>
          <t>32285000375690</t>
        </is>
      </c>
      <c r="BD398" t="inlineStr">
        <is>
          <t>893320078</t>
        </is>
      </c>
    </row>
    <row r="399">
      <c r="A399" t="inlineStr">
        <is>
          <t>No</t>
        </is>
      </c>
      <c r="B399" t="inlineStr">
        <is>
          <t>PS3238 .W45</t>
        </is>
      </c>
      <c r="C399" t="inlineStr">
        <is>
          <t>0                      PS 3238000W  45</t>
        </is>
      </c>
      <c r="D399" t="inlineStr">
        <is>
          <t>1980, Leaves of grass at 125 : eight essays / edited by William White.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Detroit : Wayne State University, 1980.</t>
        </is>
      </c>
      <c r="M399" t="inlineStr">
        <is>
          <t>1980</t>
        </is>
      </c>
      <c r="O399" t="inlineStr">
        <is>
          <t>eng</t>
        </is>
      </c>
      <c r="P399" t="inlineStr">
        <is>
          <t>miu</t>
        </is>
      </c>
      <c r="R399" t="inlineStr">
        <is>
          <t xml:space="preserve">PS </t>
        </is>
      </c>
      <c r="S399" t="n">
        <v>3</v>
      </c>
      <c r="T399" t="n">
        <v>3</v>
      </c>
      <c r="U399" t="inlineStr">
        <is>
          <t>2001-12-07</t>
        </is>
      </c>
      <c r="V399" t="inlineStr">
        <is>
          <t>2001-12-07</t>
        </is>
      </c>
      <c r="W399" t="inlineStr">
        <is>
          <t>1990-11-01</t>
        </is>
      </c>
      <c r="X399" t="inlineStr">
        <is>
          <t>1990-11-01</t>
        </is>
      </c>
      <c r="Y399" t="n">
        <v>201</v>
      </c>
      <c r="Z399" t="n">
        <v>174</v>
      </c>
      <c r="AA399" t="n">
        <v>190</v>
      </c>
      <c r="AB399" t="n">
        <v>1</v>
      </c>
      <c r="AC399" t="n">
        <v>1</v>
      </c>
      <c r="AD399" t="n">
        <v>9</v>
      </c>
      <c r="AE399" t="n">
        <v>9</v>
      </c>
      <c r="AF399" t="n">
        <v>1</v>
      </c>
      <c r="AG399" t="n">
        <v>1</v>
      </c>
      <c r="AH399" t="n">
        <v>2</v>
      </c>
      <c r="AI399" t="n">
        <v>2</v>
      </c>
      <c r="AJ399" t="n">
        <v>8</v>
      </c>
      <c r="AK399" t="n">
        <v>8</v>
      </c>
      <c r="AL399" t="n">
        <v>0</v>
      </c>
      <c r="AM399" t="n">
        <v>0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HYPERLINK("http://catalog.hathitrust.org/Record/006225006","HathiTrust Record")</f>
        <v/>
      </c>
      <c r="AS399">
        <f>HYPERLINK("https://creighton-primo.hosted.exlibrisgroup.com/primo-explore/search?tab=default_tab&amp;search_scope=EVERYTHING&amp;vid=01CRU&amp;lang=en_US&amp;offset=0&amp;query=any,contains,991005074479702656","Catalog Record")</f>
        <v/>
      </c>
      <c r="AT399">
        <f>HYPERLINK("http://www.worldcat.org/oclc/7742088","WorldCat Record")</f>
        <v/>
      </c>
      <c r="AU399" t="inlineStr">
        <is>
          <t>131845095:eng</t>
        </is>
      </c>
      <c r="AV399" t="inlineStr">
        <is>
          <t>7742088</t>
        </is>
      </c>
      <c r="AW399" t="inlineStr">
        <is>
          <t>991005074479702656</t>
        </is>
      </c>
      <c r="AX399" t="inlineStr">
        <is>
          <t>991005074479702656</t>
        </is>
      </c>
      <c r="AY399" t="inlineStr">
        <is>
          <t>2271066380002656</t>
        </is>
      </c>
      <c r="AZ399" t="inlineStr">
        <is>
          <t>BOOK</t>
        </is>
      </c>
      <c r="BC399" t="inlineStr">
        <is>
          <t>32285000375708</t>
        </is>
      </c>
      <c r="BD399" t="inlineStr">
        <is>
          <t>893254409</t>
        </is>
      </c>
    </row>
    <row r="400">
      <c r="A400" t="inlineStr">
        <is>
          <t>No</t>
        </is>
      </c>
      <c r="B400" t="inlineStr">
        <is>
          <t>PS324 .B62 1981</t>
        </is>
      </c>
      <c r="C400" t="inlineStr">
        <is>
          <t>0                      PS 0324000B  62          1981</t>
        </is>
      </c>
      <c r="D400" t="inlineStr">
        <is>
          <t>Language as gesture : essays in poetry / R. P.Blackmur.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Blackmur, R. P. (Richard P.), 1904-1965.</t>
        </is>
      </c>
      <c r="L400" t="inlineStr">
        <is>
          <t>New York : Columbia University Press, 1981, c1952.</t>
        </is>
      </c>
      <c r="M400" t="inlineStr">
        <is>
          <t>1981</t>
        </is>
      </c>
      <c r="N400" t="inlineStr">
        <is>
          <t>Columbia University Press morningside ed.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PS </t>
        </is>
      </c>
      <c r="S400" t="n">
        <v>1</v>
      </c>
      <c r="T400" t="n">
        <v>1</v>
      </c>
      <c r="U400" t="inlineStr">
        <is>
          <t>1992-12-12</t>
        </is>
      </c>
      <c r="V400" t="inlineStr">
        <is>
          <t>1992-12-12</t>
        </is>
      </c>
      <c r="W400" t="inlineStr">
        <is>
          <t>1992-08-24</t>
        </is>
      </c>
      <c r="X400" t="inlineStr">
        <is>
          <t>1992-08-24</t>
        </is>
      </c>
      <c r="Y400" t="n">
        <v>127</v>
      </c>
      <c r="Z400" t="n">
        <v>112</v>
      </c>
      <c r="AA400" t="n">
        <v>860</v>
      </c>
      <c r="AB400" t="n">
        <v>2</v>
      </c>
      <c r="AC400" t="n">
        <v>7</v>
      </c>
      <c r="AD400" t="n">
        <v>9</v>
      </c>
      <c r="AE400" t="n">
        <v>45</v>
      </c>
      <c r="AF400" t="n">
        <v>4</v>
      </c>
      <c r="AG400" t="n">
        <v>20</v>
      </c>
      <c r="AH400" t="n">
        <v>2</v>
      </c>
      <c r="AI400" t="n">
        <v>9</v>
      </c>
      <c r="AJ400" t="n">
        <v>5</v>
      </c>
      <c r="AK400" t="n">
        <v>22</v>
      </c>
      <c r="AL400" t="n">
        <v>1</v>
      </c>
      <c r="AM400" t="n">
        <v>6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HYPERLINK("http://catalog.hathitrust.org/Record/009809508","HathiTrust Record")</f>
        <v/>
      </c>
      <c r="AS400">
        <f>HYPERLINK("https://creighton-primo.hosted.exlibrisgroup.com/primo-explore/search?tab=default_tab&amp;search_scope=EVERYTHING&amp;vid=01CRU&amp;lang=en_US&amp;offset=0&amp;query=any,contains,991005085789702656","Catalog Record")</f>
        <v/>
      </c>
      <c r="AT400">
        <f>HYPERLINK("http://www.worldcat.org/oclc/7196549","WorldCat Record")</f>
        <v/>
      </c>
      <c r="AU400" t="inlineStr">
        <is>
          <t>420451:eng</t>
        </is>
      </c>
      <c r="AV400" t="inlineStr">
        <is>
          <t>7196549</t>
        </is>
      </c>
      <c r="AW400" t="inlineStr">
        <is>
          <t>991005085789702656</t>
        </is>
      </c>
      <c r="AX400" t="inlineStr">
        <is>
          <t>991005085789702656</t>
        </is>
      </c>
      <c r="AY400" t="inlineStr">
        <is>
          <t>2255813850002656</t>
        </is>
      </c>
      <c r="AZ400" t="inlineStr">
        <is>
          <t>BOOK</t>
        </is>
      </c>
      <c r="BB400" t="inlineStr">
        <is>
          <t>9780231052955</t>
        </is>
      </c>
      <c r="BC400" t="inlineStr">
        <is>
          <t>32285001271005</t>
        </is>
      </c>
      <c r="BD400" t="inlineStr">
        <is>
          <t>893501292</t>
        </is>
      </c>
    </row>
    <row r="401">
      <c r="A401" t="inlineStr">
        <is>
          <t>No</t>
        </is>
      </c>
      <c r="B401" t="inlineStr">
        <is>
          <t>PS324 .B69 1976</t>
        </is>
      </c>
      <c r="C401" t="inlineStr">
        <is>
          <t>0                      PS 0324000B  69          1976</t>
        </is>
      </c>
      <c r="D401" t="inlineStr">
        <is>
          <t>Transformations of romanticism in Yeats, Eliot, and Stevens / George Bornstein.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Bornstein, George.</t>
        </is>
      </c>
      <c r="L401" t="inlineStr">
        <is>
          <t>Chicago : University of Chicago Press, 1976.</t>
        </is>
      </c>
      <c r="M401" t="inlineStr">
        <is>
          <t>1976</t>
        </is>
      </c>
      <c r="O401" t="inlineStr">
        <is>
          <t>eng</t>
        </is>
      </c>
      <c r="P401" t="inlineStr">
        <is>
          <t>ilu</t>
        </is>
      </c>
      <c r="R401" t="inlineStr">
        <is>
          <t xml:space="preserve">PS </t>
        </is>
      </c>
      <c r="S401" t="n">
        <v>3</v>
      </c>
      <c r="T401" t="n">
        <v>3</v>
      </c>
      <c r="U401" t="inlineStr">
        <is>
          <t>2000-11-13</t>
        </is>
      </c>
      <c r="V401" t="inlineStr">
        <is>
          <t>2000-11-13</t>
        </is>
      </c>
      <c r="W401" t="inlineStr">
        <is>
          <t>1992-08-24</t>
        </is>
      </c>
      <c r="X401" t="inlineStr">
        <is>
          <t>1992-08-24</t>
        </is>
      </c>
      <c r="Y401" t="n">
        <v>708</v>
      </c>
      <c r="Z401" t="n">
        <v>571</v>
      </c>
      <c r="AA401" t="n">
        <v>576</v>
      </c>
      <c r="AB401" t="n">
        <v>4</v>
      </c>
      <c r="AC401" t="n">
        <v>4</v>
      </c>
      <c r="AD401" t="n">
        <v>35</v>
      </c>
      <c r="AE401" t="n">
        <v>35</v>
      </c>
      <c r="AF401" t="n">
        <v>13</v>
      </c>
      <c r="AG401" t="n">
        <v>13</v>
      </c>
      <c r="AH401" t="n">
        <v>7</v>
      </c>
      <c r="AI401" t="n">
        <v>7</v>
      </c>
      <c r="AJ401" t="n">
        <v>21</v>
      </c>
      <c r="AK401" t="n">
        <v>21</v>
      </c>
      <c r="AL401" t="n">
        <v>3</v>
      </c>
      <c r="AM401" t="n">
        <v>3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HYPERLINK("https://creighton-primo.hosted.exlibrisgroup.com/primo-explore/search?tab=default_tab&amp;search_scope=EVERYTHING&amp;vid=01CRU&amp;lang=en_US&amp;offset=0&amp;query=any,contains,991004010559702656","Catalog Record")</f>
        <v/>
      </c>
      <c r="AT401">
        <f>HYPERLINK("http://www.worldcat.org/oclc/2090910","WorldCat Record")</f>
        <v/>
      </c>
      <c r="AU401" t="inlineStr">
        <is>
          <t>417941:eng</t>
        </is>
      </c>
      <c r="AV401" t="inlineStr">
        <is>
          <t>2090910</t>
        </is>
      </c>
      <c r="AW401" t="inlineStr">
        <is>
          <t>991004010559702656</t>
        </is>
      </c>
      <c r="AX401" t="inlineStr">
        <is>
          <t>991004010559702656</t>
        </is>
      </c>
      <c r="AY401" t="inlineStr">
        <is>
          <t>2267043130002656</t>
        </is>
      </c>
      <c r="AZ401" t="inlineStr">
        <is>
          <t>BOOK</t>
        </is>
      </c>
      <c r="BB401" t="inlineStr">
        <is>
          <t>9780226066431</t>
        </is>
      </c>
      <c r="BC401" t="inlineStr">
        <is>
          <t>32285001271013</t>
        </is>
      </c>
      <c r="BD401" t="inlineStr">
        <is>
          <t>893894467</t>
        </is>
      </c>
    </row>
    <row r="402">
      <c r="A402" t="inlineStr">
        <is>
          <t>No</t>
        </is>
      </c>
      <c r="B402" t="inlineStr">
        <is>
          <t>PS324 .C7</t>
        </is>
      </c>
      <c r="C402" t="inlineStr">
        <is>
          <t>0                      PS 0324000C  7</t>
        </is>
      </c>
      <c r="D402" t="inlineStr">
        <is>
          <t>Our poets of today, by Howard Willard Cook.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Cook, Howard W. (Howard Willard), 1890-</t>
        </is>
      </c>
      <c r="L402" t="inlineStr">
        <is>
          <t>New York, Moffat, Yard &amp; company, 1918.</t>
        </is>
      </c>
      <c r="M402" t="inlineStr">
        <is>
          <t>1918</t>
        </is>
      </c>
      <c r="O402" t="inlineStr">
        <is>
          <t>eng</t>
        </is>
      </c>
      <c r="P402" t="inlineStr">
        <is>
          <t>nyu</t>
        </is>
      </c>
      <c r="Q402" t="inlineStr">
        <is>
          <t>Modern American writers</t>
        </is>
      </c>
      <c r="R402" t="inlineStr">
        <is>
          <t xml:space="preserve">PS </t>
        </is>
      </c>
      <c r="S402" t="n">
        <v>3</v>
      </c>
      <c r="T402" t="n">
        <v>3</v>
      </c>
      <c r="U402" t="inlineStr">
        <is>
          <t>1999-02-26</t>
        </is>
      </c>
      <c r="V402" t="inlineStr">
        <is>
          <t>1999-02-26</t>
        </is>
      </c>
      <c r="W402" t="inlineStr">
        <is>
          <t>1997-05-02</t>
        </is>
      </c>
      <c r="X402" t="inlineStr">
        <is>
          <t>1997-05-02</t>
        </is>
      </c>
      <c r="Y402" t="n">
        <v>116</v>
      </c>
      <c r="Z402" t="n">
        <v>109</v>
      </c>
      <c r="AA402" t="n">
        <v>285</v>
      </c>
      <c r="AB402" t="n">
        <v>2</v>
      </c>
      <c r="AC402" t="n">
        <v>2</v>
      </c>
      <c r="AD402" t="n">
        <v>8</v>
      </c>
      <c r="AE402" t="n">
        <v>13</v>
      </c>
      <c r="AF402" t="n">
        <v>3</v>
      </c>
      <c r="AG402" t="n">
        <v>6</v>
      </c>
      <c r="AH402" t="n">
        <v>1</v>
      </c>
      <c r="AI402" t="n">
        <v>3</v>
      </c>
      <c r="AJ402" t="n">
        <v>4</v>
      </c>
      <c r="AK402" t="n">
        <v>6</v>
      </c>
      <c r="AL402" t="n">
        <v>1</v>
      </c>
      <c r="AM402" t="n">
        <v>1</v>
      </c>
      <c r="AN402" t="n">
        <v>0</v>
      </c>
      <c r="AO402" t="n">
        <v>0</v>
      </c>
      <c r="AP402" t="inlineStr">
        <is>
          <t>Yes</t>
        </is>
      </c>
      <c r="AQ402" t="inlineStr">
        <is>
          <t>No</t>
        </is>
      </c>
      <c r="AR402">
        <f>HYPERLINK("http://catalog.hathitrust.org/Record/007647032","HathiTrust Record")</f>
        <v/>
      </c>
      <c r="AS402">
        <f>HYPERLINK("https://creighton-primo.hosted.exlibrisgroup.com/primo-explore/search?tab=default_tab&amp;search_scope=EVERYTHING&amp;vid=01CRU&amp;lang=en_US&amp;offset=0&amp;query=any,contains,991003029269702656","Catalog Record")</f>
        <v/>
      </c>
      <c r="AT402">
        <f>HYPERLINK("http://www.worldcat.org/oclc/592505","WorldCat Record")</f>
        <v/>
      </c>
      <c r="AU402" t="inlineStr">
        <is>
          <t>1788980:eng</t>
        </is>
      </c>
      <c r="AV402" t="inlineStr">
        <is>
          <t>592505</t>
        </is>
      </c>
      <c r="AW402" t="inlineStr">
        <is>
          <t>991003029269702656</t>
        </is>
      </c>
      <c r="AX402" t="inlineStr">
        <is>
          <t>991003029269702656</t>
        </is>
      </c>
      <c r="AY402" t="inlineStr">
        <is>
          <t>2264292200002656</t>
        </is>
      </c>
      <c r="AZ402" t="inlineStr">
        <is>
          <t>BOOK</t>
        </is>
      </c>
      <c r="BC402" t="inlineStr">
        <is>
          <t>32285002636529</t>
        </is>
      </c>
      <c r="BD402" t="inlineStr">
        <is>
          <t>893710975</t>
        </is>
      </c>
    </row>
    <row r="403">
      <c r="A403" t="inlineStr">
        <is>
          <t>No</t>
        </is>
      </c>
      <c r="B403" t="inlineStr">
        <is>
          <t>PS324 .F7 1968</t>
        </is>
      </c>
      <c r="C403" t="inlineStr">
        <is>
          <t>0                      PS 0324000F  7           1968</t>
        </is>
      </c>
      <c r="D403" t="inlineStr">
        <is>
          <t>Pleasure dome; on reading modern poetry. --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Frankenberg, Lloyd, 1907-1975.</t>
        </is>
      </c>
      <c r="L403" t="inlineStr">
        <is>
          <t>New York : Gordian Press, 1968, c1949.</t>
        </is>
      </c>
      <c r="M403" t="inlineStr">
        <is>
          <t>1968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PS </t>
        </is>
      </c>
      <c r="S403" t="n">
        <v>2</v>
      </c>
      <c r="T403" t="n">
        <v>2</v>
      </c>
      <c r="U403" t="inlineStr">
        <is>
          <t>2002-09-13</t>
        </is>
      </c>
      <c r="V403" t="inlineStr">
        <is>
          <t>2002-09-13</t>
        </is>
      </c>
      <c r="W403" t="inlineStr">
        <is>
          <t>1992-08-24</t>
        </is>
      </c>
      <c r="X403" t="inlineStr">
        <is>
          <t>1992-08-24</t>
        </is>
      </c>
      <c r="Y403" t="n">
        <v>372</v>
      </c>
      <c r="Z403" t="n">
        <v>332</v>
      </c>
      <c r="AA403" t="n">
        <v>833</v>
      </c>
      <c r="AB403" t="n">
        <v>2</v>
      </c>
      <c r="AC403" t="n">
        <v>3</v>
      </c>
      <c r="AD403" t="n">
        <v>6</v>
      </c>
      <c r="AE403" t="n">
        <v>35</v>
      </c>
      <c r="AF403" t="n">
        <v>4</v>
      </c>
      <c r="AG403" t="n">
        <v>15</v>
      </c>
      <c r="AH403" t="n">
        <v>1</v>
      </c>
      <c r="AI403" t="n">
        <v>7</v>
      </c>
      <c r="AJ403" t="n">
        <v>1</v>
      </c>
      <c r="AK403" t="n">
        <v>18</v>
      </c>
      <c r="AL403" t="n">
        <v>1</v>
      </c>
      <c r="AM403" t="n">
        <v>2</v>
      </c>
      <c r="AN403" t="n">
        <v>0</v>
      </c>
      <c r="AO403" t="n">
        <v>0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HYPERLINK("http://catalog.hathitrust.org/Record/102069580","HathiTrust Record")</f>
        <v/>
      </c>
      <c r="AS403">
        <f>HYPERLINK("https://creighton-primo.hosted.exlibrisgroup.com/primo-explore/search?tab=default_tab&amp;search_scope=EVERYTHING&amp;vid=01CRU&amp;lang=en_US&amp;offset=0&amp;query=any,contains,991001092369702656","Catalog Record")</f>
        <v/>
      </c>
      <c r="AT403">
        <f>HYPERLINK("http://www.worldcat.org/oclc/181662","WorldCat Record")</f>
        <v/>
      </c>
      <c r="AU403" t="inlineStr">
        <is>
          <t>281941723:eng</t>
        </is>
      </c>
      <c r="AV403" t="inlineStr">
        <is>
          <t>181662</t>
        </is>
      </c>
      <c r="AW403" t="inlineStr">
        <is>
          <t>991001092369702656</t>
        </is>
      </c>
      <c r="AX403" t="inlineStr">
        <is>
          <t>991001092369702656</t>
        </is>
      </c>
      <c r="AY403" t="inlineStr">
        <is>
          <t>2272519310002656</t>
        </is>
      </c>
      <c r="AZ403" t="inlineStr">
        <is>
          <t>BOOK</t>
        </is>
      </c>
      <c r="BC403" t="inlineStr">
        <is>
          <t>32285001271047</t>
        </is>
      </c>
      <c r="BD403" t="inlineStr">
        <is>
          <t>893690317</t>
        </is>
      </c>
    </row>
    <row r="404">
      <c r="A404" t="inlineStr">
        <is>
          <t>No</t>
        </is>
      </c>
      <c r="B404" t="inlineStr">
        <is>
          <t>PS324 .H8 1967</t>
        </is>
      </c>
      <c r="C404" t="inlineStr">
        <is>
          <t>0                      PS 0324000H  8           1967</t>
        </is>
      </c>
      <c r="D404" t="inlineStr">
        <is>
          <t>Poets in progress: critical prefaces to thirteen modern American poets, edited by Edward Hungerford.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Hungerford, Edward Buell, 1900- editor.</t>
        </is>
      </c>
      <c r="L404" t="inlineStr">
        <is>
          <t>[Evanston, Ill.] Northwestern University Press, 1967.</t>
        </is>
      </c>
      <c r="M404" t="inlineStr">
        <is>
          <t>1967</t>
        </is>
      </c>
      <c r="O404" t="inlineStr">
        <is>
          <t>eng</t>
        </is>
      </c>
      <c r="P404" t="inlineStr">
        <is>
          <t>ilu</t>
        </is>
      </c>
      <c r="R404" t="inlineStr">
        <is>
          <t xml:space="preserve">PS </t>
        </is>
      </c>
      <c r="S404" t="n">
        <v>2</v>
      </c>
      <c r="T404" t="n">
        <v>2</v>
      </c>
      <c r="U404" t="inlineStr">
        <is>
          <t>2002-11-11</t>
        </is>
      </c>
      <c r="V404" t="inlineStr">
        <is>
          <t>2002-11-11</t>
        </is>
      </c>
      <c r="W404" t="inlineStr">
        <is>
          <t>1997-05-02</t>
        </is>
      </c>
      <c r="X404" t="inlineStr">
        <is>
          <t>1997-05-02</t>
        </is>
      </c>
      <c r="Y404" t="n">
        <v>432</v>
      </c>
      <c r="Z404" t="n">
        <v>381</v>
      </c>
      <c r="AA404" t="n">
        <v>401</v>
      </c>
      <c r="AB404" t="n">
        <v>3</v>
      </c>
      <c r="AC404" t="n">
        <v>3</v>
      </c>
      <c r="AD404" t="n">
        <v>25</v>
      </c>
      <c r="AE404" t="n">
        <v>27</v>
      </c>
      <c r="AF404" t="n">
        <v>9</v>
      </c>
      <c r="AG404" t="n">
        <v>10</v>
      </c>
      <c r="AH404" t="n">
        <v>7</v>
      </c>
      <c r="AI404" t="n">
        <v>8</v>
      </c>
      <c r="AJ404" t="n">
        <v>13</v>
      </c>
      <c r="AK404" t="n">
        <v>13</v>
      </c>
      <c r="AL404" t="n">
        <v>2</v>
      </c>
      <c r="AM404" t="n">
        <v>2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HYPERLINK("http://catalog.hathitrust.org/Record/001440715","HathiTrust Record")</f>
        <v/>
      </c>
      <c r="AS404">
        <f>HYPERLINK("https://creighton-primo.hosted.exlibrisgroup.com/primo-explore/search?tab=default_tab&amp;search_scope=EVERYTHING&amp;vid=01CRU&amp;lang=en_US&amp;offset=0&amp;query=any,contains,991003585499702656","Catalog Record")</f>
        <v/>
      </c>
      <c r="AT404">
        <f>HYPERLINK("http://www.worldcat.org/oclc/1166020","WorldCat Record")</f>
        <v/>
      </c>
      <c r="AU404" t="inlineStr">
        <is>
          <t>375583834:eng</t>
        </is>
      </c>
      <c r="AV404" t="inlineStr">
        <is>
          <t>1166020</t>
        </is>
      </c>
      <c r="AW404" t="inlineStr">
        <is>
          <t>991003585499702656</t>
        </is>
      </c>
      <c r="AX404" t="inlineStr">
        <is>
          <t>991003585499702656</t>
        </is>
      </c>
      <c r="AY404" t="inlineStr">
        <is>
          <t>2266214640002656</t>
        </is>
      </c>
      <c r="AZ404" t="inlineStr">
        <is>
          <t>BOOK</t>
        </is>
      </c>
      <c r="BC404" t="inlineStr">
        <is>
          <t>32285002636545</t>
        </is>
      </c>
      <c r="BD404" t="inlineStr">
        <is>
          <t>893428956</t>
        </is>
      </c>
    </row>
    <row r="405">
      <c r="A405" t="inlineStr">
        <is>
          <t>No</t>
        </is>
      </c>
      <c r="B405" t="inlineStr">
        <is>
          <t>PS324 .L8</t>
        </is>
      </c>
      <c r="C405" t="inlineStr">
        <is>
          <t>0                      PS 0324000L  8</t>
        </is>
      </c>
      <c r="D405" t="inlineStr">
        <is>
          <t>Tendencies in modern American poetry / by Amy Lowell.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Lowell, Amy, 1874-1925.</t>
        </is>
      </c>
      <c r="L405" t="inlineStr">
        <is>
          <t>New York ; Boston : Houghton Mifflin, 1917.</t>
        </is>
      </c>
      <c r="M405" t="inlineStr">
        <is>
          <t>1917</t>
        </is>
      </c>
      <c r="O405" t="inlineStr">
        <is>
          <t>eng</t>
        </is>
      </c>
      <c r="P405" t="inlineStr">
        <is>
          <t>mau</t>
        </is>
      </c>
      <c r="R405" t="inlineStr">
        <is>
          <t xml:space="preserve">PS </t>
        </is>
      </c>
      <c r="S405" t="n">
        <v>5</v>
      </c>
      <c r="T405" t="n">
        <v>5</v>
      </c>
      <c r="U405" t="inlineStr">
        <is>
          <t>2000-12-06</t>
        </is>
      </c>
      <c r="V405" t="inlineStr">
        <is>
          <t>2000-12-06</t>
        </is>
      </c>
      <c r="W405" t="inlineStr">
        <is>
          <t>1992-02-21</t>
        </is>
      </c>
      <c r="X405" t="inlineStr">
        <is>
          <t>1992-02-21</t>
        </is>
      </c>
      <c r="Y405" t="n">
        <v>148</v>
      </c>
      <c r="Z405" t="n">
        <v>134</v>
      </c>
      <c r="AA405" t="n">
        <v>1043</v>
      </c>
      <c r="AB405" t="n">
        <v>3</v>
      </c>
      <c r="AC405" t="n">
        <v>11</v>
      </c>
      <c r="AD405" t="n">
        <v>6</v>
      </c>
      <c r="AE405" t="n">
        <v>48</v>
      </c>
      <c r="AF405" t="n">
        <v>1</v>
      </c>
      <c r="AG405" t="n">
        <v>19</v>
      </c>
      <c r="AH405" t="n">
        <v>0</v>
      </c>
      <c r="AI405" t="n">
        <v>10</v>
      </c>
      <c r="AJ405" t="n">
        <v>3</v>
      </c>
      <c r="AK405" t="n">
        <v>21</v>
      </c>
      <c r="AL405" t="n">
        <v>2</v>
      </c>
      <c r="AM405" t="n">
        <v>10</v>
      </c>
      <c r="AN405" t="n">
        <v>0</v>
      </c>
      <c r="AO405" t="n">
        <v>0</v>
      </c>
      <c r="AP405" t="inlineStr">
        <is>
          <t>Yes</t>
        </is>
      </c>
      <c r="AQ405" t="inlineStr">
        <is>
          <t>No</t>
        </is>
      </c>
      <c r="AR405">
        <f>HYPERLINK("http://catalog.hathitrust.org/Record/012348539","HathiTrust Record")</f>
        <v/>
      </c>
      <c r="AS405">
        <f>HYPERLINK("https://creighton-primo.hosted.exlibrisgroup.com/primo-explore/search?tab=default_tab&amp;search_scope=EVERYTHING&amp;vid=01CRU&amp;lang=en_US&amp;offset=0&amp;query=any,contains,991004971779702656","Catalog Record")</f>
        <v/>
      </c>
      <c r="AT405">
        <f>HYPERLINK("http://www.worldcat.org/oclc/6365587","WorldCat Record")</f>
        <v/>
      </c>
      <c r="AU405" t="inlineStr">
        <is>
          <t>502744:eng</t>
        </is>
      </c>
      <c r="AV405" t="inlineStr">
        <is>
          <t>6365587</t>
        </is>
      </c>
      <c r="AW405" t="inlineStr">
        <is>
          <t>991004971779702656</t>
        </is>
      </c>
      <c r="AX405" t="inlineStr">
        <is>
          <t>991004971779702656</t>
        </is>
      </c>
      <c r="AY405" t="inlineStr">
        <is>
          <t>2271431220002656</t>
        </is>
      </c>
      <c r="AZ405" t="inlineStr">
        <is>
          <t>BOOK</t>
        </is>
      </c>
      <c r="BC405" t="inlineStr">
        <is>
          <t>32285000973031</t>
        </is>
      </c>
      <c r="BD405" t="inlineStr">
        <is>
          <t>893236117</t>
        </is>
      </c>
    </row>
    <row r="406">
      <c r="A406" t="inlineStr">
        <is>
          <t>No</t>
        </is>
      </c>
      <c r="B406" t="inlineStr">
        <is>
          <t>PS324 .L85 1971</t>
        </is>
      </c>
      <c r="C406" t="inlineStr">
        <is>
          <t>0                      PS 0324000L  85          1971</t>
        </is>
      </c>
      <c r="D406" t="inlineStr">
        <is>
          <t>American mirror; social, ethical and religious aspects of American literature, 1930-1940.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Luccock, Halford Edward, 1885-1960.</t>
        </is>
      </c>
      <c r="L406" t="inlineStr">
        <is>
          <t>New York, Cooper Square Publishers, 1971 [c1940]</t>
        </is>
      </c>
      <c r="M406" t="inlineStr">
        <is>
          <t>1971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PS </t>
        </is>
      </c>
      <c r="S406" t="n">
        <v>1</v>
      </c>
      <c r="T406" t="n">
        <v>1</v>
      </c>
      <c r="U406" t="inlineStr">
        <is>
          <t>2002-09-29</t>
        </is>
      </c>
      <c r="V406" t="inlineStr">
        <is>
          <t>2002-09-29</t>
        </is>
      </c>
      <c r="W406" t="inlineStr">
        <is>
          <t>1997-05-02</t>
        </is>
      </c>
      <c r="X406" t="inlineStr">
        <is>
          <t>1997-05-02</t>
        </is>
      </c>
      <c r="Y406" t="n">
        <v>278</v>
      </c>
      <c r="Z406" t="n">
        <v>243</v>
      </c>
      <c r="AA406" t="n">
        <v>725</v>
      </c>
      <c r="AB406" t="n">
        <v>2</v>
      </c>
      <c r="AC406" t="n">
        <v>4</v>
      </c>
      <c r="AD406" t="n">
        <v>10</v>
      </c>
      <c r="AE406" t="n">
        <v>26</v>
      </c>
      <c r="AF406" t="n">
        <v>5</v>
      </c>
      <c r="AG406" t="n">
        <v>9</v>
      </c>
      <c r="AH406" t="n">
        <v>2</v>
      </c>
      <c r="AI406" t="n">
        <v>7</v>
      </c>
      <c r="AJ406" t="n">
        <v>7</v>
      </c>
      <c r="AK406" t="n">
        <v>15</v>
      </c>
      <c r="AL406" t="n">
        <v>1</v>
      </c>
      <c r="AM406" t="n">
        <v>3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HYPERLINK("http://catalog.hathitrust.org/Record/004428946","HathiTrust Record")</f>
        <v/>
      </c>
      <c r="AS406">
        <f>HYPERLINK("https://creighton-primo.hosted.exlibrisgroup.com/primo-explore/search?tab=default_tab&amp;search_scope=EVERYTHING&amp;vid=01CRU&amp;lang=en_US&amp;offset=0&amp;query=any,contains,991000923209702656","Catalog Record")</f>
        <v/>
      </c>
      <c r="AT406">
        <f>HYPERLINK("http://www.worldcat.org/oclc/162351","WorldCat Record")</f>
        <v/>
      </c>
      <c r="AU406" t="inlineStr">
        <is>
          <t>477228:eng</t>
        </is>
      </c>
      <c r="AV406" t="inlineStr">
        <is>
          <t>162351</t>
        </is>
      </c>
      <c r="AW406" t="inlineStr">
        <is>
          <t>991000923209702656</t>
        </is>
      </c>
      <c r="AX406" t="inlineStr">
        <is>
          <t>991000923209702656</t>
        </is>
      </c>
      <c r="AY406" t="inlineStr">
        <is>
          <t>2269030160002656</t>
        </is>
      </c>
      <c r="AZ406" t="inlineStr">
        <is>
          <t>BOOK</t>
        </is>
      </c>
      <c r="BB406" t="inlineStr">
        <is>
          <t>9780815403852</t>
        </is>
      </c>
      <c r="BC406" t="inlineStr">
        <is>
          <t>32285002636552</t>
        </is>
      </c>
      <c r="BD406" t="inlineStr">
        <is>
          <t>893261661</t>
        </is>
      </c>
    </row>
    <row r="407">
      <c r="A407" t="inlineStr">
        <is>
          <t>No</t>
        </is>
      </c>
      <c r="B407" t="inlineStr">
        <is>
          <t>PS324 .R64 1979</t>
        </is>
      </c>
      <c r="C407" t="inlineStr">
        <is>
          <t>0                      PS 0324000R  64          1979</t>
        </is>
      </c>
      <c r="D407" t="inlineStr">
        <is>
          <t>The universal drum : dance imagery in the poetry of Eliot, Crane, Roethke, and Williams / Audrey T. Rodgers.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Rodgers, Audrey T.</t>
        </is>
      </c>
      <c r="L407" t="inlineStr">
        <is>
          <t>University Park : Pennsylvania State University Press, c1979.</t>
        </is>
      </c>
      <c r="M407" t="inlineStr">
        <is>
          <t>1979</t>
        </is>
      </c>
      <c r="O407" t="inlineStr">
        <is>
          <t>eng</t>
        </is>
      </c>
      <c r="P407" t="inlineStr">
        <is>
          <t>pau</t>
        </is>
      </c>
      <c r="R407" t="inlineStr">
        <is>
          <t xml:space="preserve">PS </t>
        </is>
      </c>
      <c r="S407" t="n">
        <v>3</v>
      </c>
      <c r="T407" t="n">
        <v>3</v>
      </c>
      <c r="U407" t="inlineStr">
        <is>
          <t>2003-09-12</t>
        </is>
      </c>
      <c r="V407" t="inlineStr">
        <is>
          <t>2003-09-12</t>
        </is>
      </c>
      <c r="W407" t="inlineStr">
        <is>
          <t>1992-08-24</t>
        </is>
      </c>
      <c r="X407" t="inlineStr">
        <is>
          <t>1992-08-24</t>
        </is>
      </c>
      <c r="Y407" t="n">
        <v>443</v>
      </c>
      <c r="Z407" t="n">
        <v>363</v>
      </c>
      <c r="AA407" t="n">
        <v>366</v>
      </c>
      <c r="AB407" t="n">
        <v>4</v>
      </c>
      <c r="AC407" t="n">
        <v>4</v>
      </c>
      <c r="AD407" t="n">
        <v>18</v>
      </c>
      <c r="AE407" t="n">
        <v>18</v>
      </c>
      <c r="AF407" t="n">
        <v>6</v>
      </c>
      <c r="AG407" t="n">
        <v>6</v>
      </c>
      <c r="AH407" t="n">
        <v>5</v>
      </c>
      <c r="AI407" t="n">
        <v>5</v>
      </c>
      <c r="AJ407" t="n">
        <v>8</v>
      </c>
      <c r="AK407" t="n">
        <v>8</v>
      </c>
      <c r="AL407" t="n">
        <v>3</v>
      </c>
      <c r="AM407" t="n">
        <v>3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HYPERLINK("http://catalog.hathitrust.org/Record/000023874","HathiTrust Record")</f>
        <v/>
      </c>
      <c r="AS407">
        <f>HYPERLINK("https://creighton-primo.hosted.exlibrisgroup.com/primo-explore/search?tab=default_tab&amp;search_scope=EVERYTHING&amp;vid=01CRU&amp;lang=en_US&amp;offset=0&amp;query=any,contains,991004754999702656","Catalog Record")</f>
        <v/>
      </c>
      <c r="AT407">
        <f>HYPERLINK("http://www.worldcat.org/oclc/4957331","WorldCat Record")</f>
        <v/>
      </c>
      <c r="AU407" t="inlineStr">
        <is>
          <t>285525924:eng</t>
        </is>
      </c>
      <c r="AV407" t="inlineStr">
        <is>
          <t>4957331</t>
        </is>
      </c>
      <c r="AW407" t="inlineStr">
        <is>
          <t>991004754999702656</t>
        </is>
      </c>
      <c r="AX407" t="inlineStr">
        <is>
          <t>991004754999702656</t>
        </is>
      </c>
      <c r="AY407" t="inlineStr">
        <is>
          <t>2270658810002656</t>
        </is>
      </c>
      <c r="AZ407" t="inlineStr">
        <is>
          <t>BOOK</t>
        </is>
      </c>
      <c r="BB407" t="inlineStr">
        <is>
          <t>9780271002200</t>
        </is>
      </c>
      <c r="BC407" t="inlineStr">
        <is>
          <t>32285001271096</t>
        </is>
      </c>
      <c r="BD407" t="inlineStr">
        <is>
          <t>893801304</t>
        </is>
      </c>
    </row>
    <row r="408">
      <c r="A408" t="inlineStr">
        <is>
          <t>No</t>
        </is>
      </c>
      <c r="B408" t="inlineStr">
        <is>
          <t>PS324 .S5</t>
        </is>
      </c>
      <c r="C408" t="inlineStr">
        <is>
          <t>0                      PS 0324000S  5</t>
        </is>
      </c>
      <c r="D408" t="inlineStr">
        <is>
          <t>A revolution in taste : studies of Dylan Thomas, Allen Ginsberg, Sylvia Plath, and Robert Lowell / Louis Simpson.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Simpson, Louis, 1923-2012.</t>
        </is>
      </c>
      <c r="L408" t="inlineStr">
        <is>
          <t>New York : MacMillan, c1978, 1979 paperback printing.</t>
        </is>
      </c>
      <c r="M408" t="inlineStr">
        <is>
          <t>1978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PS </t>
        </is>
      </c>
      <c r="S408" t="n">
        <v>6</v>
      </c>
      <c r="T408" t="n">
        <v>6</v>
      </c>
      <c r="U408" t="inlineStr">
        <is>
          <t>2001-10-28</t>
        </is>
      </c>
      <c r="V408" t="inlineStr">
        <is>
          <t>2001-10-28</t>
        </is>
      </c>
      <c r="W408" t="inlineStr">
        <is>
          <t>1992-08-24</t>
        </is>
      </c>
      <c r="X408" t="inlineStr">
        <is>
          <t>1992-08-24</t>
        </is>
      </c>
      <c r="Y408" t="n">
        <v>1081</v>
      </c>
      <c r="Z408" t="n">
        <v>988</v>
      </c>
      <c r="AA408" t="n">
        <v>1011</v>
      </c>
      <c r="AB408" t="n">
        <v>11</v>
      </c>
      <c r="AC408" t="n">
        <v>11</v>
      </c>
      <c r="AD408" t="n">
        <v>40</v>
      </c>
      <c r="AE408" t="n">
        <v>42</v>
      </c>
      <c r="AF408" t="n">
        <v>15</v>
      </c>
      <c r="AG408" t="n">
        <v>16</v>
      </c>
      <c r="AH408" t="n">
        <v>8</v>
      </c>
      <c r="AI408" t="n">
        <v>9</v>
      </c>
      <c r="AJ408" t="n">
        <v>16</v>
      </c>
      <c r="AK408" t="n">
        <v>18</v>
      </c>
      <c r="AL408" t="n">
        <v>7</v>
      </c>
      <c r="AM408" t="n">
        <v>7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HYPERLINK("http://catalog.hathitrust.org/Record/000174016","HathiTrust Record")</f>
        <v/>
      </c>
      <c r="AS408">
        <f>HYPERLINK("https://creighton-primo.hosted.exlibrisgroup.com/primo-explore/search?tab=default_tab&amp;search_scope=EVERYTHING&amp;vid=01CRU&amp;lang=en_US&amp;offset=0&amp;query=any,contains,991004545009702656","Catalog Record")</f>
        <v/>
      </c>
      <c r="AT408">
        <f>HYPERLINK("http://www.worldcat.org/oclc/3912994","WorldCat Record")</f>
        <v/>
      </c>
      <c r="AU408" t="inlineStr">
        <is>
          <t>13161461:eng</t>
        </is>
      </c>
      <c r="AV408" t="inlineStr">
        <is>
          <t>3912994</t>
        </is>
      </c>
      <c r="AW408" t="inlineStr">
        <is>
          <t>991004545009702656</t>
        </is>
      </c>
      <c r="AX408" t="inlineStr">
        <is>
          <t>991004545009702656</t>
        </is>
      </c>
      <c r="AY408" t="inlineStr">
        <is>
          <t>2260353340002656</t>
        </is>
      </c>
      <c r="AZ408" t="inlineStr">
        <is>
          <t>BOOK</t>
        </is>
      </c>
      <c r="BB408" t="inlineStr">
        <is>
          <t>9780026113205</t>
        </is>
      </c>
      <c r="BC408" t="inlineStr">
        <is>
          <t>32285001271112</t>
        </is>
      </c>
      <c r="BD408" t="inlineStr">
        <is>
          <t>893606167</t>
        </is>
      </c>
    </row>
    <row r="409">
      <c r="A409" t="inlineStr">
        <is>
          <t>No</t>
        </is>
      </c>
      <c r="B409" t="inlineStr">
        <is>
          <t>PS324 .U63</t>
        </is>
      </c>
      <c r="C409" t="inlineStr">
        <is>
          <t>0                      PS 0324000U  63</t>
        </is>
      </c>
      <c r="D409" t="inlineStr">
        <is>
          <t>American poetry since 1900 / by Louis Untermeyer.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Untermeyer, Louis, 1885-1977.</t>
        </is>
      </c>
      <c r="L409" t="inlineStr">
        <is>
          <t>New York : H. Holt and Company, 1923.</t>
        </is>
      </c>
      <c r="M409" t="inlineStr">
        <is>
          <t>1923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PS </t>
        </is>
      </c>
      <c r="S409" t="n">
        <v>2</v>
      </c>
      <c r="T409" t="n">
        <v>2</v>
      </c>
      <c r="U409" t="inlineStr">
        <is>
          <t>1993-11-29</t>
        </is>
      </c>
      <c r="V409" t="inlineStr">
        <is>
          <t>1993-11-29</t>
        </is>
      </c>
      <c r="W409" t="inlineStr">
        <is>
          <t>1993-10-18</t>
        </is>
      </c>
      <c r="X409" t="inlineStr">
        <is>
          <t>1993-10-18</t>
        </is>
      </c>
      <c r="Y409" t="n">
        <v>590</v>
      </c>
      <c r="Z409" t="n">
        <v>564</v>
      </c>
      <c r="AA409" t="n">
        <v>638</v>
      </c>
      <c r="AB409" t="n">
        <v>7</v>
      </c>
      <c r="AC409" t="n">
        <v>8</v>
      </c>
      <c r="AD409" t="n">
        <v>30</v>
      </c>
      <c r="AE409" t="n">
        <v>35</v>
      </c>
      <c r="AF409" t="n">
        <v>15</v>
      </c>
      <c r="AG409" t="n">
        <v>15</v>
      </c>
      <c r="AH409" t="n">
        <v>2</v>
      </c>
      <c r="AI409" t="n">
        <v>3</v>
      </c>
      <c r="AJ409" t="n">
        <v>15</v>
      </c>
      <c r="AK409" t="n">
        <v>19</v>
      </c>
      <c r="AL409" t="n">
        <v>5</v>
      </c>
      <c r="AM409" t="n">
        <v>6</v>
      </c>
      <c r="AN409" t="n">
        <v>0</v>
      </c>
      <c r="AO409" t="n">
        <v>0</v>
      </c>
      <c r="AP409" t="inlineStr">
        <is>
          <t>Yes</t>
        </is>
      </c>
      <c r="AQ409" t="inlineStr">
        <is>
          <t>No</t>
        </is>
      </c>
      <c r="AR409">
        <f>HYPERLINK("http://catalog.hathitrust.org/Record/001440741","HathiTrust Record")</f>
        <v/>
      </c>
      <c r="AS409">
        <f>HYPERLINK("https://creighton-primo.hosted.exlibrisgroup.com/primo-explore/search?tab=default_tab&amp;search_scope=EVERYTHING&amp;vid=01CRU&amp;lang=en_US&amp;offset=0&amp;query=any,contains,991003147559702656","Catalog Record")</f>
        <v/>
      </c>
      <c r="AT409">
        <f>HYPERLINK("http://www.worldcat.org/oclc/687745","WorldCat Record")</f>
        <v/>
      </c>
      <c r="AU409" t="inlineStr">
        <is>
          <t>505360:eng</t>
        </is>
      </c>
      <c r="AV409" t="inlineStr">
        <is>
          <t>687745</t>
        </is>
      </c>
      <c r="AW409" t="inlineStr">
        <is>
          <t>991003147559702656</t>
        </is>
      </c>
      <c r="AX409" t="inlineStr">
        <is>
          <t>991003147559702656</t>
        </is>
      </c>
      <c r="AY409" t="inlineStr">
        <is>
          <t>2269866830002656</t>
        </is>
      </c>
      <c r="AZ409" t="inlineStr">
        <is>
          <t>BOOK</t>
        </is>
      </c>
      <c r="BC409" t="inlineStr">
        <is>
          <t>32285001793503</t>
        </is>
      </c>
      <c r="BD409" t="inlineStr">
        <is>
          <t>893686235</t>
        </is>
      </c>
    </row>
    <row r="410">
      <c r="A410" t="inlineStr">
        <is>
          <t>No</t>
        </is>
      </c>
      <c r="B410" t="inlineStr">
        <is>
          <t>PS3242.P64 E74 1989</t>
        </is>
      </c>
      <c r="C410" t="inlineStr">
        <is>
          <t>0                      PS 3242000P  64                 E  74          1989</t>
        </is>
      </c>
      <c r="D410" t="inlineStr">
        <is>
          <t>Whitman the political poet / Betsy Erkkila.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Erkkila, Betsy, 1944-</t>
        </is>
      </c>
      <c r="L410" t="inlineStr">
        <is>
          <t>New York : Oxford University Press, 1989.</t>
        </is>
      </c>
      <c r="M410" t="inlineStr">
        <is>
          <t>1989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PS </t>
        </is>
      </c>
      <c r="S410" t="n">
        <v>3</v>
      </c>
      <c r="T410" t="n">
        <v>3</v>
      </c>
      <c r="U410" t="inlineStr">
        <is>
          <t>2004-02-23</t>
        </is>
      </c>
      <c r="V410" t="inlineStr">
        <is>
          <t>2004-02-23</t>
        </is>
      </c>
      <c r="W410" t="inlineStr">
        <is>
          <t>1990-02-07</t>
        </is>
      </c>
      <c r="X410" t="inlineStr">
        <is>
          <t>1990-02-07</t>
        </is>
      </c>
      <c r="Y410" t="n">
        <v>816</v>
      </c>
      <c r="Z410" t="n">
        <v>684</v>
      </c>
      <c r="AA410" t="n">
        <v>730</v>
      </c>
      <c r="AB410" t="n">
        <v>6</v>
      </c>
      <c r="AC410" t="n">
        <v>6</v>
      </c>
      <c r="AD410" t="n">
        <v>39</v>
      </c>
      <c r="AE410" t="n">
        <v>40</v>
      </c>
      <c r="AF410" t="n">
        <v>16</v>
      </c>
      <c r="AG410" t="n">
        <v>16</v>
      </c>
      <c r="AH410" t="n">
        <v>7</v>
      </c>
      <c r="AI410" t="n">
        <v>8</v>
      </c>
      <c r="AJ410" t="n">
        <v>22</v>
      </c>
      <c r="AK410" t="n">
        <v>22</v>
      </c>
      <c r="AL410" t="n">
        <v>5</v>
      </c>
      <c r="AM410" t="n">
        <v>5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HYPERLINK("https://creighton-primo.hosted.exlibrisgroup.com/primo-explore/search?tab=default_tab&amp;search_scope=EVERYTHING&amp;vid=01CRU&amp;lang=en_US&amp;offset=0&amp;query=any,contains,991001233259702656","Catalog Record")</f>
        <v/>
      </c>
      <c r="AT410">
        <f>HYPERLINK("http://www.worldcat.org/oclc/17548902","WorldCat Record")</f>
        <v/>
      </c>
      <c r="AU410" t="inlineStr">
        <is>
          <t>16178755:eng</t>
        </is>
      </c>
      <c r="AV410" t="inlineStr">
        <is>
          <t>17548902</t>
        </is>
      </c>
      <c r="AW410" t="inlineStr">
        <is>
          <t>991001233259702656</t>
        </is>
      </c>
      <c r="AX410" t="inlineStr">
        <is>
          <t>991001233259702656</t>
        </is>
      </c>
      <c r="AY410" t="inlineStr">
        <is>
          <t>2269476290002656</t>
        </is>
      </c>
      <c r="AZ410" t="inlineStr">
        <is>
          <t>BOOK</t>
        </is>
      </c>
      <c r="BB410" t="inlineStr">
        <is>
          <t>9780195054385</t>
        </is>
      </c>
      <c r="BC410" t="inlineStr">
        <is>
          <t>32285000033703</t>
        </is>
      </c>
      <c r="BD410" t="inlineStr">
        <is>
          <t>893426447</t>
        </is>
      </c>
    </row>
    <row r="411">
      <c r="A411" t="inlineStr">
        <is>
          <t>No</t>
        </is>
      </c>
      <c r="B411" t="inlineStr">
        <is>
          <t>PS3242.S3 B4 1974</t>
        </is>
      </c>
      <c r="C411" t="inlineStr">
        <is>
          <t>0                      PS 3242000S  3                  B  4           1974</t>
        </is>
      </c>
      <c r="D411" t="inlineStr">
        <is>
          <t>Walt Whitman--poet of science.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Beaver, Joseph, 1920-</t>
        </is>
      </c>
      <c r="L411" t="inlineStr">
        <is>
          <t>New York : Octagon Books, 1974 [c1951]</t>
        </is>
      </c>
      <c r="M411" t="inlineStr">
        <is>
          <t>1974</t>
        </is>
      </c>
      <c r="O411" t="inlineStr">
        <is>
          <t>eng</t>
        </is>
      </c>
      <c r="P411" t="inlineStr">
        <is>
          <t>nyu</t>
        </is>
      </c>
      <c r="R411" t="inlineStr">
        <is>
          <t xml:space="preserve">PS </t>
        </is>
      </c>
      <c r="S411" t="n">
        <v>0</v>
      </c>
      <c r="T411" t="n">
        <v>0</v>
      </c>
      <c r="U411" t="inlineStr">
        <is>
          <t>2003-03-12</t>
        </is>
      </c>
      <c r="V411" t="inlineStr">
        <is>
          <t>2003-03-12</t>
        </is>
      </c>
      <c r="W411" t="inlineStr">
        <is>
          <t>1990-08-20</t>
        </is>
      </c>
      <c r="X411" t="inlineStr">
        <is>
          <t>1990-08-20</t>
        </is>
      </c>
      <c r="Y411" t="n">
        <v>184</v>
      </c>
      <c r="Z411" t="n">
        <v>163</v>
      </c>
      <c r="AA411" t="n">
        <v>403</v>
      </c>
      <c r="AB411" t="n">
        <v>1</v>
      </c>
      <c r="AC411" t="n">
        <v>3</v>
      </c>
      <c r="AD411" t="n">
        <v>10</v>
      </c>
      <c r="AE411" t="n">
        <v>22</v>
      </c>
      <c r="AF411" t="n">
        <v>4</v>
      </c>
      <c r="AG411" t="n">
        <v>8</v>
      </c>
      <c r="AH411" t="n">
        <v>3</v>
      </c>
      <c r="AI411" t="n">
        <v>6</v>
      </c>
      <c r="AJ411" t="n">
        <v>5</v>
      </c>
      <c r="AK411" t="n">
        <v>12</v>
      </c>
      <c r="AL411" t="n">
        <v>0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HYPERLINK("http://catalog.hathitrust.org/Record/102074027","HathiTrust Record")</f>
        <v/>
      </c>
      <c r="AS411">
        <f>HYPERLINK("https://creighton-primo.hosted.exlibrisgroup.com/primo-explore/search?tab=default_tab&amp;search_scope=EVERYTHING&amp;vid=01CRU&amp;lang=en_US&amp;offset=0&amp;query=any,contains,991003224849702656","Catalog Record")</f>
        <v/>
      </c>
      <c r="AT411">
        <f>HYPERLINK("http://www.worldcat.org/oclc/749801","WorldCat Record")</f>
        <v/>
      </c>
      <c r="AU411" t="inlineStr">
        <is>
          <t>451051:eng</t>
        </is>
      </c>
      <c r="AV411" t="inlineStr">
        <is>
          <t>749801</t>
        </is>
      </c>
      <c r="AW411" t="inlineStr">
        <is>
          <t>991003224849702656</t>
        </is>
      </c>
      <c r="AX411" t="inlineStr">
        <is>
          <t>991003224849702656</t>
        </is>
      </c>
      <c r="AY411" t="inlineStr">
        <is>
          <t>2255319830002656</t>
        </is>
      </c>
      <c r="AZ411" t="inlineStr">
        <is>
          <t>BOOK</t>
        </is>
      </c>
      <c r="BB411" t="inlineStr">
        <is>
          <t>9780374905149</t>
        </is>
      </c>
      <c r="BC411" t="inlineStr">
        <is>
          <t>32285000283597</t>
        </is>
      </c>
      <c r="BD411" t="inlineStr">
        <is>
          <t>893717436</t>
        </is>
      </c>
    </row>
    <row r="412">
      <c r="A412" t="inlineStr">
        <is>
          <t>No</t>
        </is>
      </c>
      <c r="B412" t="inlineStr">
        <is>
          <t>PS325 .M38 1989</t>
        </is>
      </c>
      <c r="C412" t="inlineStr">
        <is>
          <t>0                      PS 0325000M  38          1989</t>
        </is>
      </c>
      <c r="D412" t="inlineStr">
        <is>
          <t>White paper on contemporary American poetry / J.D. McClatchy.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McClatchy, J. D., 1945-2018.</t>
        </is>
      </c>
      <c r="L412" t="inlineStr">
        <is>
          <t>New York : Columbia University Press, c1989.</t>
        </is>
      </c>
      <c r="M412" t="inlineStr">
        <is>
          <t>1989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PS </t>
        </is>
      </c>
      <c r="S412" t="n">
        <v>4</v>
      </c>
      <c r="T412" t="n">
        <v>4</v>
      </c>
      <c r="U412" t="inlineStr">
        <is>
          <t>1996-02-28</t>
        </is>
      </c>
      <c r="V412" t="inlineStr">
        <is>
          <t>1996-02-28</t>
        </is>
      </c>
      <c r="W412" t="inlineStr">
        <is>
          <t>1990-03-27</t>
        </is>
      </c>
      <c r="X412" t="inlineStr">
        <is>
          <t>1990-03-27</t>
        </is>
      </c>
      <c r="Y412" t="n">
        <v>719</v>
      </c>
      <c r="Z412" t="n">
        <v>626</v>
      </c>
      <c r="AA412" t="n">
        <v>631</v>
      </c>
      <c r="AB412" t="n">
        <v>6</v>
      </c>
      <c r="AC412" t="n">
        <v>6</v>
      </c>
      <c r="AD412" t="n">
        <v>26</v>
      </c>
      <c r="AE412" t="n">
        <v>26</v>
      </c>
      <c r="AF412" t="n">
        <v>9</v>
      </c>
      <c r="AG412" t="n">
        <v>9</v>
      </c>
      <c r="AH412" t="n">
        <v>7</v>
      </c>
      <c r="AI412" t="n">
        <v>7</v>
      </c>
      <c r="AJ412" t="n">
        <v>14</v>
      </c>
      <c r="AK412" t="n">
        <v>14</v>
      </c>
      <c r="AL412" t="n">
        <v>4</v>
      </c>
      <c r="AM412" t="n">
        <v>4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HYPERLINK("https://creighton-primo.hosted.exlibrisgroup.com/primo-explore/search?tab=default_tab&amp;search_scope=EVERYTHING&amp;vid=01CRU&amp;lang=en_US&amp;offset=0&amp;query=any,contains,991001427879702656","Catalog Record")</f>
        <v/>
      </c>
      <c r="AT412">
        <f>HYPERLINK("http://www.worldcat.org/oclc/19064216","WorldCat Record")</f>
        <v/>
      </c>
      <c r="AU412" t="inlineStr">
        <is>
          <t>18578803:eng</t>
        </is>
      </c>
      <c r="AV412" t="inlineStr">
        <is>
          <t>19064216</t>
        </is>
      </c>
      <c r="AW412" t="inlineStr">
        <is>
          <t>991001427879702656</t>
        </is>
      </c>
      <c r="AX412" t="inlineStr">
        <is>
          <t>991001427879702656</t>
        </is>
      </c>
      <c r="AY412" t="inlineStr">
        <is>
          <t>2260732210002656</t>
        </is>
      </c>
      <c r="AZ412" t="inlineStr">
        <is>
          <t>BOOK</t>
        </is>
      </c>
      <c r="BB412" t="inlineStr">
        <is>
          <t>9780231069441</t>
        </is>
      </c>
      <c r="BC412" t="inlineStr">
        <is>
          <t>32285000083625</t>
        </is>
      </c>
      <c r="BD412" t="inlineStr">
        <is>
          <t>893503418</t>
        </is>
      </c>
    </row>
    <row r="413">
      <c r="A413" t="inlineStr">
        <is>
          <t>No</t>
        </is>
      </c>
      <c r="B413" t="inlineStr">
        <is>
          <t>PS3281 .P48</t>
        </is>
      </c>
      <c r="C413" t="inlineStr">
        <is>
          <t>0                      PS 3281000P  48</t>
        </is>
      </c>
      <c r="D413" t="inlineStr">
        <is>
          <t>John Greenleaf Whittier : an introduction and interpretation.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Pickard, John B.</t>
        </is>
      </c>
      <c r="L413" t="inlineStr">
        <is>
          <t>New York : Barnes &amp; Noble, [1961]</t>
        </is>
      </c>
      <c r="M413" t="inlineStr">
        <is>
          <t>1961</t>
        </is>
      </c>
      <c r="O413" t="inlineStr">
        <is>
          <t>eng</t>
        </is>
      </c>
      <c r="P413" t="inlineStr">
        <is>
          <t>nyu</t>
        </is>
      </c>
      <c r="Q413" t="inlineStr">
        <is>
          <t>American authors and critics series ; AC4</t>
        </is>
      </c>
      <c r="R413" t="inlineStr">
        <is>
          <t xml:space="preserve">PS </t>
        </is>
      </c>
      <c r="S413" t="n">
        <v>2</v>
      </c>
      <c r="T413" t="n">
        <v>2</v>
      </c>
      <c r="U413" t="inlineStr">
        <is>
          <t>1996-04-30</t>
        </is>
      </c>
      <c r="V413" t="inlineStr">
        <is>
          <t>1996-04-30</t>
        </is>
      </c>
      <c r="W413" t="inlineStr">
        <is>
          <t>1992-12-15</t>
        </is>
      </c>
      <c r="X413" t="inlineStr">
        <is>
          <t>1992-12-15</t>
        </is>
      </c>
      <c r="Y413" t="n">
        <v>1101</v>
      </c>
      <c r="Z413" t="n">
        <v>1008</v>
      </c>
      <c r="AA413" t="n">
        <v>1078</v>
      </c>
      <c r="AB413" t="n">
        <v>5</v>
      </c>
      <c r="AC413" t="n">
        <v>5</v>
      </c>
      <c r="AD413" t="n">
        <v>34</v>
      </c>
      <c r="AE413" t="n">
        <v>39</v>
      </c>
      <c r="AF413" t="n">
        <v>14</v>
      </c>
      <c r="AG413" t="n">
        <v>18</v>
      </c>
      <c r="AH413" t="n">
        <v>7</v>
      </c>
      <c r="AI413" t="n">
        <v>7</v>
      </c>
      <c r="AJ413" t="n">
        <v>17</v>
      </c>
      <c r="AK413" t="n">
        <v>20</v>
      </c>
      <c r="AL413" t="n">
        <v>4</v>
      </c>
      <c r="AM413" t="n">
        <v>4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R413">
        <f>HYPERLINK("http://catalog.hathitrust.org/Record/001188469","HathiTrust Record")</f>
        <v/>
      </c>
      <c r="AS413">
        <f>HYPERLINK("https://creighton-primo.hosted.exlibrisgroup.com/primo-explore/search?tab=default_tab&amp;search_scope=EVERYTHING&amp;vid=01CRU&amp;lang=en_US&amp;offset=0&amp;query=any,contains,991001407549702656","Catalog Record")</f>
        <v/>
      </c>
      <c r="AT413">
        <f>HYPERLINK("http://www.worldcat.org/oclc/230177","WorldCat Record")</f>
        <v/>
      </c>
      <c r="AU413" t="inlineStr">
        <is>
          <t>1351904:eng</t>
        </is>
      </c>
      <c r="AV413" t="inlineStr">
        <is>
          <t>230177</t>
        </is>
      </c>
      <c r="AW413" t="inlineStr">
        <is>
          <t>991001407549702656</t>
        </is>
      </c>
      <c r="AX413" t="inlineStr">
        <is>
          <t>991001407549702656</t>
        </is>
      </c>
      <c r="AY413" t="inlineStr">
        <is>
          <t>2269334500002656</t>
        </is>
      </c>
      <c r="AZ413" t="inlineStr">
        <is>
          <t>BOOK</t>
        </is>
      </c>
      <c r="BC413" t="inlineStr">
        <is>
          <t>32285001441400</t>
        </is>
      </c>
      <c r="BD413" t="inlineStr">
        <is>
          <t>893261831</t>
        </is>
      </c>
    </row>
    <row r="414">
      <c r="A414" t="inlineStr">
        <is>
          <t>No</t>
        </is>
      </c>
      <c r="B414" t="inlineStr">
        <is>
          <t>PS3281 .V65</t>
        </is>
      </c>
      <c r="C414" t="inlineStr">
        <is>
          <t>0                      PS 3281000V  65</t>
        </is>
      </c>
      <c r="D414" t="inlineStr">
        <is>
          <t>Whittier : a comprehensive annotated bibliography / by Albert J. von Frank.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Von Frank, Albert J.</t>
        </is>
      </c>
      <c r="L414" t="inlineStr">
        <is>
          <t>New York : Garland Pub., 1976.</t>
        </is>
      </c>
      <c r="M414" t="inlineStr">
        <is>
          <t>1976</t>
        </is>
      </c>
      <c r="O414" t="inlineStr">
        <is>
          <t>eng</t>
        </is>
      </c>
      <c r="P414" t="inlineStr">
        <is>
          <t>nyu</t>
        </is>
      </c>
      <c r="Q414" t="inlineStr">
        <is>
          <t>Garland reference library in the humanities ; v. 35</t>
        </is>
      </c>
      <c r="R414" t="inlineStr">
        <is>
          <t xml:space="preserve">PS </t>
        </is>
      </c>
      <c r="S414" t="n">
        <v>2</v>
      </c>
      <c r="T414" t="n">
        <v>2</v>
      </c>
      <c r="U414" t="inlineStr">
        <is>
          <t>1995-09-11</t>
        </is>
      </c>
      <c r="V414" t="inlineStr">
        <is>
          <t>1995-09-11</t>
        </is>
      </c>
      <c r="W414" t="inlineStr">
        <is>
          <t>1990-11-02</t>
        </is>
      </c>
      <c r="X414" t="inlineStr">
        <is>
          <t>1990-11-02</t>
        </is>
      </c>
      <c r="Y414" t="n">
        <v>276</v>
      </c>
      <c r="Z414" t="n">
        <v>231</v>
      </c>
      <c r="AA414" t="n">
        <v>237</v>
      </c>
      <c r="AB414" t="n">
        <v>2</v>
      </c>
      <c r="AC414" t="n">
        <v>2</v>
      </c>
      <c r="AD414" t="n">
        <v>13</v>
      </c>
      <c r="AE414" t="n">
        <v>13</v>
      </c>
      <c r="AF414" t="n">
        <v>4</v>
      </c>
      <c r="AG414" t="n">
        <v>4</v>
      </c>
      <c r="AH414" t="n">
        <v>5</v>
      </c>
      <c r="AI414" t="n">
        <v>5</v>
      </c>
      <c r="AJ414" t="n">
        <v>7</v>
      </c>
      <c r="AK414" t="n">
        <v>7</v>
      </c>
      <c r="AL414" t="n">
        <v>1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HYPERLINK("http://catalog.hathitrust.org/Record/000709235","HathiTrust Record")</f>
        <v/>
      </c>
      <c r="AS414">
        <f>HYPERLINK("https://creighton-primo.hosted.exlibrisgroup.com/primo-explore/search?tab=default_tab&amp;search_scope=EVERYTHING&amp;vid=01CRU&amp;lang=en_US&amp;offset=0&amp;query=any,contains,991003980899702656","Catalog Record")</f>
        <v/>
      </c>
      <c r="AT414">
        <f>HYPERLINK("http://www.worldcat.org/oclc/2020041","WorldCat Record")</f>
        <v/>
      </c>
      <c r="AU414" t="inlineStr">
        <is>
          <t>346678680:eng</t>
        </is>
      </c>
      <c r="AV414" t="inlineStr">
        <is>
          <t>2020041</t>
        </is>
      </c>
      <c r="AW414" t="inlineStr">
        <is>
          <t>991003980899702656</t>
        </is>
      </c>
      <c r="AX414" t="inlineStr">
        <is>
          <t>991003980899702656</t>
        </is>
      </c>
      <c r="AY414" t="inlineStr">
        <is>
          <t>2271689770002656</t>
        </is>
      </c>
      <c r="AZ414" t="inlineStr">
        <is>
          <t>BOOK</t>
        </is>
      </c>
      <c r="BB414" t="inlineStr">
        <is>
          <t>9780824099770</t>
        </is>
      </c>
      <c r="BC414" t="inlineStr">
        <is>
          <t>32285000375732</t>
        </is>
      </c>
      <c r="BD414" t="inlineStr">
        <is>
          <t>893894430</t>
        </is>
      </c>
    </row>
    <row r="415">
      <c r="A415" t="inlineStr">
        <is>
          <t>No</t>
        </is>
      </c>
      <c r="B415" t="inlineStr">
        <is>
          <t>PS3281 .W3</t>
        </is>
      </c>
      <c r="C415" t="inlineStr">
        <is>
          <t>0                      PS 3281000W  3</t>
        </is>
      </c>
      <c r="D415" t="inlineStr">
        <is>
          <t>John Greenleaf Whittier : a portrait in paradox / [by] Edward Wagenknecht.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Wagenknecht, Edward, 1900-2004.</t>
        </is>
      </c>
      <c r="L415" t="inlineStr">
        <is>
          <t>New York : Oxford University Press, 1967.</t>
        </is>
      </c>
      <c r="M415" t="inlineStr">
        <is>
          <t>1967</t>
        </is>
      </c>
      <c r="O415" t="inlineStr">
        <is>
          <t>eng</t>
        </is>
      </c>
      <c r="P415" t="inlineStr">
        <is>
          <t>nyu</t>
        </is>
      </c>
      <c r="R415" t="inlineStr">
        <is>
          <t xml:space="preserve">PS </t>
        </is>
      </c>
      <c r="S415" t="n">
        <v>4</v>
      </c>
      <c r="T415" t="n">
        <v>4</v>
      </c>
      <c r="U415" t="inlineStr">
        <is>
          <t>1996-04-30</t>
        </is>
      </c>
      <c r="V415" t="inlineStr">
        <is>
          <t>1996-04-30</t>
        </is>
      </c>
      <c r="W415" t="inlineStr">
        <is>
          <t>1992-12-15</t>
        </is>
      </c>
      <c r="X415" t="inlineStr">
        <is>
          <t>1992-12-15</t>
        </is>
      </c>
      <c r="Y415" t="n">
        <v>1377</v>
      </c>
      <c r="Z415" t="n">
        <v>1278</v>
      </c>
      <c r="AA415" t="n">
        <v>1292</v>
      </c>
      <c r="AB415" t="n">
        <v>9</v>
      </c>
      <c r="AC415" t="n">
        <v>9</v>
      </c>
      <c r="AD415" t="n">
        <v>45</v>
      </c>
      <c r="AE415" t="n">
        <v>45</v>
      </c>
      <c r="AF415" t="n">
        <v>17</v>
      </c>
      <c r="AG415" t="n">
        <v>17</v>
      </c>
      <c r="AH415" t="n">
        <v>9</v>
      </c>
      <c r="AI415" t="n">
        <v>9</v>
      </c>
      <c r="AJ415" t="n">
        <v>21</v>
      </c>
      <c r="AK415" t="n">
        <v>21</v>
      </c>
      <c r="AL415" t="n">
        <v>7</v>
      </c>
      <c r="AM415" t="n">
        <v>7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HYPERLINK("http://catalog.hathitrust.org/Record/001028054","HathiTrust Record")</f>
        <v/>
      </c>
      <c r="AS415">
        <f>HYPERLINK("https://creighton-primo.hosted.exlibrisgroup.com/primo-explore/search?tab=default_tab&amp;search_scope=EVERYTHING&amp;vid=01CRU&amp;lang=en_US&amp;offset=0&amp;query=any,contains,991001903929702656","Catalog Record")</f>
        <v/>
      </c>
      <c r="AT415">
        <f>HYPERLINK("http://www.worldcat.org/oclc/239629","WorldCat Record")</f>
        <v/>
      </c>
      <c r="AU415" t="inlineStr">
        <is>
          <t>376883778:eng</t>
        </is>
      </c>
      <c r="AV415" t="inlineStr">
        <is>
          <t>239629</t>
        </is>
      </c>
      <c r="AW415" t="inlineStr">
        <is>
          <t>991001903929702656</t>
        </is>
      </c>
      <c r="AX415" t="inlineStr">
        <is>
          <t>991001903929702656</t>
        </is>
      </c>
      <c r="AY415" t="inlineStr">
        <is>
          <t>2256842490002656</t>
        </is>
      </c>
      <c r="AZ415" t="inlineStr">
        <is>
          <t>BOOK</t>
        </is>
      </c>
      <c r="BC415" t="inlineStr">
        <is>
          <t>32285001441392</t>
        </is>
      </c>
      <c r="BD415" t="inlineStr">
        <is>
          <t>893433225</t>
        </is>
      </c>
    </row>
    <row r="416">
      <c r="A416" t="inlineStr">
        <is>
          <t>No</t>
        </is>
      </c>
      <c r="B416" t="inlineStr">
        <is>
          <t>PS332 .M4 1994</t>
        </is>
      </c>
      <c r="C416" t="inlineStr">
        <is>
          <t>0                      PS 0332000M  4           1994</t>
        </is>
      </c>
      <c r="D416" t="inlineStr">
        <is>
          <t>An outline history of American drama / by Walter J. Meserve.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Meserve, Walter J.</t>
        </is>
      </c>
      <c r="L416" t="inlineStr">
        <is>
          <t>New York : Feedback Theatrebooks &amp; Prospero Press, c1994.</t>
        </is>
      </c>
      <c r="M416" t="inlineStr">
        <is>
          <t>1994</t>
        </is>
      </c>
      <c r="N416" t="inlineStr">
        <is>
          <t>2nd ed., rev. &amp; updated.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PS </t>
        </is>
      </c>
      <c r="S416" t="n">
        <v>2</v>
      </c>
      <c r="T416" t="n">
        <v>2</v>
      </c>
      <c r="U416" t="inlineStr">
        <is>
          <t>2001-10-09</t>
        </is>
      </c>
      <c r="V416" t="inlineStr">
        <is>
          <t>2001-10-09</t>
        </is>
      </c>
      <c r="W416" t="inlineStr">
        <is>
          <t>1997-09-26</t>
        </is>
      </c>
      <c r="X416" t="inlineStr">
        <is>
          <t>1997-09-26</t>
        </is>
      </c>
      <c r="Y416" t="n">
        <v>270</v>
      </c>
      <c r="Z416" t="n">
        <v>248</v>
      </c>
      <c r="AA416" t="n">
        <v>605</v>
      </c>
      <c r="AB416" t="n">
        <v>6</v>
      </c>
      <c r="AC416" t="n">
        <v>8</v>
      </c>
      <c r="AD416" t="n">
        <v>18</v>
      </c>
      <c r="AE416" t="n">
        <v>30</v>
      </c>
      <c r="AF416" t="n">
        <v>11</v>
      </c>
      <c r="AG416" t="n">
        <v>15</v>
      </c>
      <c r="AH416" t="n">
        <v>1</v>
      </c>
      <c r="AI416" t="n">
        <v>3</v>
      </c>
      <c r="AJ416" t="n">
        <v>7</v>
      </c>
      <c r="AK416" t="n">
        <v>14</v>
      </c>
      <c r="AL416" t="n">
        <v>5</v>
      </c>
      <c r="AM416" t="n">
        <v>7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HYPERLINK("http://catalog.hathitrust.org/Record/003014971","HathiTrust Record")</f>
        <v/>
      </c>
      <c r="AS416">
        <f>HYPERLINK("https://creighton-primo.hosted.exlibrisgroup.com/primo-explore/search?tab=default_tab&amp;search_scope=EVERYTHING&amp;vid=01CRU&amp;lang=en_US&amp;offset=0&amp;query=any,contains,991002633319702656","Catalog Record")</f>
        <v/>
      </c>
      <c r="AT416">
        <f>HYPERLINK("http://www.worldcat.org/oclc/31944632","WorldCat Record")</f>
        <v/>
      </c>
      <c r="AU416" t="inlineStr">
        <is>
          <t>1648979:eng</t>
        </is>
      </c>
      <c r="AV416" t="inlineStr">
        <is>
          <t>31944632</t>
        </is>
      </c>
      <c r="AW416" t="inlineStr">
        <is>
          <t>991002633319702656</t>
        </is>
      </c>
      <c r="AX416" t="inlineStr">
        <is>
          <t>991002633319702656</t>
        </is>
      </c>
      <c r="AY416" t="inlineStr">
        <is>
          <t>2262325870002656</t>
        </is>
      </c>
      <c r="AZ416" t="inlineStr">
        <is>
          <t>BOOK</t>
        </is>
      </c>
      <c r="BB416" t="inlineStr">
        <is>
          <t>9780937657188</t>
        </is>
      </c>
      <c r="BC416" t="inlineStr">
        <is>
          <t>32285003251104</t>
        </is>
      </c>
      <c r="BD416" t="inlineStr">
        <is>
          <t>893323166</t>
        </is>
      </c>
    </row>
    <row r="417">
      <c r="A417" t="inlineStr">
        <is>
          <t>No</t>
        </is>
      </c>
      <c r="B417" t="inlineStr">
        <is>
          <t>PS3346 .C6 1984</t>
        </is>
      </c>
      <c r="C417" t="inlineStr">
        <is>
          <t>0                      PS 3346000C  6           1984</t>
        </is>
      </c>
      <c r="D417" t="inlineStr">
        <is>
          <t>Owen Wister / by John L. Cobbs.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Cobbs, John L.</t>
        </is>
      </c>
      <c r="L417" t="inlineStr">
        <is>
          <t>Boston : Twayne Publishers, c1984.</t>
        </is>
      </c>
      <c r="M417" t="inlineStr">
        <is>
          <t>1984</t>
        </is>
      </c>
      <c r="O417" t="inlineStr">
        <is>
          <t>eng</t>
        </is>
      </c>
      <c r="P417" t="inlineStr">
        <is>
          <t>mau</t>
        </is>
      </c>
      <c r="Q417" t="inlineStr">
        <is>
          <t>Twayne's United States authors series ; TUSAS 475</t>
        </is>
      </c>
      <c r="R417" t="inlineStr">
        <is>
          <t xml:space="preserve">PS </t>
        </is>
      </c>
      <c r="S417" t="n">
        <v>1</v>
      </c>
      <c r="T417" t="n">
        <v>1</v>
      </c>
      <c r="U417" t="inlineStr">
        <is>
          <t>1996-01-17</t>
        </is>
      </c>
      <c r="V417" t="inlineStr">
        <is>
          <t>1996-01-17</t>
        </is>
      </c>
      <c r="W417" t="inlineStr">
        <is>
          <t>1990-11-02</t>
        </is>
      </c>
      <c r="X417" t="inlineStr">
        <is>
          <t>1990-11-02</t>
        </is>
      </c>
      <c r="Y417" t="n">
        <v>574</v>
      </c>
      <c r="Z417" t="n">
        <v>517</v>
      </c>
      <c r="AA417" t="n">
        <v>525</v>
      </c>
      <c r="AB417" t="n">
        <v>8</v>
      </c>
      <c r="AC417" t="n">
        <v>8</v>
      </c>
      <c r="AD417" t="n">
        <v>28</v>
      </c>
      <c r="AE417" t="n">
        <v>28</v>
      </c>
      <c r="AF417" t="n">
        <v>8</v>
      </c>
      <c r="AG417" t="n">
        <v>8</v>
      </c>
      <c r="AH417" t="n">
        <v>5</v>
      </c>
      <c r="AI417" t="n">
        <v>5</v>
      </c>
      <c r="AJ417" t="n">
        <v>16</v>
      </c>
      <c r="AK417" t="n">
        <v>16</v>
      </c>
      <c r="AL417" t="n">
        <v>7</v>
      </c>
      <c r="AM417" t="n">
        <v>7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HYPERLINK("http://catalog.hathitrust.org/Record/000291016","HathiTrust Record")</f>
        <v/>
      </c>
      <c r="AS417">
        <f>HYPERLINK("https://creighton-primo.hosted.exlibrisgroup.com/primo-explore/search?tab=default_tab&amp;search_scope=EVERYTHING&amp;vid=01CRU&amp;lang=en_US&amp;offset=0&amp;query=any,contains,991000398679702656","Catalog Record")</f>
        <v/>
      </c>
      <c r="AT417">
        <f>HYPERLINK("http://www.worldcat.org/oclc/10605417","WorldCat Record")</f>
        <v/>
      </c>
      <c r="AU417" t="inlineStr">
        <is>
          <t>2862686:eng</t>
        </is>
      </c>
      <c r="AV417" t="inlineStr">
        <is>
          <t>10605417</t>
        </is>
      </c>
      <c r="AW417" t="inlineStr">
        <is>
          <t>991000398679702656</t>
        </is>
      </c>
      <c r="AX417" t="inlineStr">
        <is>
          <t>991000398679702656</t>
        </is>
      </c>
      <c r="AY417" t="inlineStr">
        <is>
          <t>2258710700002656</t>
        </is>
      </c>
      <c r="AZ417" t="inlineStr">
        <is>
          <t>BOOK</t>
        </is>
      </c>
      <c r="BB417" t="inlineStr">
        <is>
          <t>9780805774160</t>
        </is>
      </c>
      <c r="BC417" t="inlineStr">
        <is>
          <t>32285000375757</t>
        </is>
      </c>
      <c r="BD417" t="inlineStr">
        <is>
          <t>893902984</t>
        </is>
      </c>
    </row>
    <row r="418">
      <c r="A418" t="inlineStr">
        <is>
          <t>No</t>
        </is>
      </c>
      <c r="B418" t="inlineStr">
        <is>
          <t>PS3346 .P39 1985</t>
        </is>
      </c>
      <c r="C418" t="inlineStr">
        <is>
          <t>0                      PS 3346000P  39          1985</t>
        </is>
      </c>
      <c r="D418" t="inlineStr">
        <is>
          <t>Owen Wister, chronicler of the West, gentleman of the East / by Darwin Payne.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Payne, Darwin.</t>
        </is>
      </c>
      <c r="L418" t="inlineStr">
        <is>
          <t>Dallas, Tex. : Southern Methodist University Press, 1985.</t>
        </is>
      </c>
      <c r="M418" t="inlineStr">
        <is>
          <t>1985</t>
        </is>
      </c>
      <c r="O418" t="inlineStr">
        <is>
          <t>eng</t>
        </is>
      </c>
      <c r="P418" t="inlineStr">
        <is>
          <t>txu</t>
        </is>
      </c>
      <c r="R418" t="inlineStr">
        <is>
          <t xml:space="preserve">PS </t>
        </is>
      </c>
      <c r="S418" t="n">
        <v>1</v>
      </c>
      <c r="T418" t="n">
        <v>1</v>
      </c>
      <c r="U418" t="inlineStr">
        <is>
          <t>1996-01-17</t>
        </is>
      </c>
      <c r="V418" t="inlineStr">
        <is>
          <t>1996-01-17</t>
        </is>
      </c>
      <c r="W418" t="inlineStr">
        <is>
          <t>1990-11-02</t>
        </is>
      </c>
      <c r="X418" t="inlineStr">
        <is>
          <t>1990-11-02</t>
        </is>
      </c>
      <c r="Y418" t="n">
        <v>676</v>
      </c>
      <c r="Z418" t="n">
        <v>628</v>
      </c>
      <c r="AA418" t="n">
        <v>648</v>
      </c>
      <c r="AB418" t="n">
        <v>8</v>
      </c>
      <c r="AC418" t="n">
        <v>9</v>
      </c>
      <c r="AD418" t="n">
        <v>28</v>
      </c>
      <c r="AE418" t="n">
        <v>28</v>
      </c>
      <c r="AF418" t="n">
        <v>13</v>
      </c>
      <c r="AG418" t="n">
        <v>13</v>
      </c>
      <c r="AH418" t="n">
        <v>6</v>
      </c>
      <c r="AI418" t="n">
        <v>6</v>
      </c>
      <c r="AJ418" t="n">
        <v>13</v>
      </c>
      <c r="AK418" t="n">
        <v>13</v>
      </c>
      <c r="AL418" t="n">
        <v>5</v>
      </c>
      <c r="AM418" t="n">
        <v>5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HYPERLINK("http://catalog.hathitrust.org/Record/000615900","HathiTrust Record")</f>
        <v/>
      </c>
      <c r="AS418">
        <f>HYPERLINK("https://creighton-primo.hosted.exlibrisgroup.com/primo-explore/search?tab=default_tab&amp;search_scope=EVERYTHING&amp;vid=01CRU&amp;lang=en_US&amp;offset=0&amp;query=any,contains,991000584259702656","Catalog Record")</f>
        <v/>
      </c>
      <c r="AT418">
        <f>HYPERLINK("http://www.worldcat.org/oclc/11755709","WorldCat Record")</f>
        <v/>
      </c>
      <c r="AU418" t="inlineStr">
        <is>
          <t>4305885:eng</t>
        </is>
      </c>
      <c r="AV418" t="inlineStr">
        <is>
          <t>11755709</t>
        </is>
      </c>
      <c r="AW418" t="inlineStr">
        <is>
          <t>991000584259702656</t>
        </is>
      </c>
      <c r="AX418" t="inlineStr">
        <is>
          <t>991000584259702656</t>
        </is>
      </c>
      <c r="AY418" t="inlineStr">
        <is>
          <t>2270765550002656</t>
        </is>
      </c>
      <c r="AZ418" t="inlineStr">
        <is>
          <t>BOOK</t>
        </is>
      </c>
      <c r="BB418" t="inlineStr">
        <is>
          <t>9780870742057</t>
        </is>
      </c>
      <c r="BC418" t="inlineStr">
        <is>
          <t>32285000375765</t>
        </is>
      </c>
      <c r="BD418" t="inlineStr">
        <is>
          <t>893771763</t>
        </is>
      </c>
    </row>
    <row r="419">
      <c r="A419" t="inlineStr">
        <is>
          <t>No</t>
        </is>
      </c>
      <c r="B419" t="inlineStr">
        <is>
          <t>PS3501 .N34</t>
        </is>
      </c>
      <c r="C419" t="inlineStr">
        <is>
          <t>0                      PS 3501000N  34</t>
        </is>
      </c>
      <c r="D419" t="inlineStr">
        <is>
          <t>After [by] Robert Anderson.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Anderson, Robert, 1917-2009.</t>
        </is>
      </c>
      <c r="L419" t="inlineStr">
        <is>
          <t>New York, Random House [1973]</t>
        </is>
      </c>
      <c r="M419" t="inlineStr">
        <is>
          <t>1973</t>
        </is>
      </c>
      <c r="N419" t="inlineStr">
        <is>
          <t>[1st ed.]</t>
        </is>
      </c>
      <c r="O419" t="inlineStr">
        <is>
          <t>eng</t>
        </is>
      </c>
      <c r="P419" t="inlineStr">
        <is>
          <t>nyu</t>
        </is>
      </c>
      <c r="R419" t="inlineStr">
        <is>
          <t xml:space="preserve">PS </t>
        </is>
      </c>
      <c r="S419" t="n">
        <v>2</v>
      </c>
      <c r="T419" t="n">
        <v>2</v>
      </c>
      <c r="U419" t="inlineStr">
        <is>
          <t>1999-04-14</t>
        </is>
      </c>
      <c r="V419" t="inlineStr">
        <is>
          <t>1999-04-14</t>
        </is>
      </c>
      <c r="W419" t="inlineStr">
        <is>
          <t>1997-05-27</t>
        </is>
      </c>
      <c r="X419" t="inlineStr">
        <is>
          <t>1997-05-27</t>
        </is>
      </c>
      <c r="Y419" t="n">
        <v>563</v>
      </c>
      <c r="Z419" t="n">
        <v>531</v>
      </c>
      <c r="AA419" t="n">
        <v>536</v>
      </c>
      <c r="AB419" t="n">
        <v>4</v>
      </c>
      <c r="AC419" t="n">
        <v>4</v>
      </c>
      <c r="AD419" t="n">
        <v>10</v>
      </c>
      <c r="AE419" t="n">
        <v>10</v>
      </c>
      <c r="AF419" t="n">
        <v>2</v>
      </c>
      <c r="AG419" t="n">
        <v>2</v>
      </c>
      <c r="AH419" t="n">
        <v>6</v>
      </c>
      <c r="AI419" t="n">
        <v>6</v>
      </c>
      <c r="AJ419" t="n">
        <v>4</v>
      </c>
      <c r="AK419" t="n">
        <v>4</v>
      </c>
      <c r="AL419" t="n">
        <v>2</v>
      </c>
      <c r="AM419" t="n">
        <v>2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HYPERLINK("http://catalog.hathitrust.org/Record/000658253","HathiTrust Record")</f>
        <v/>
      </c>
      <c r="AS419">
        <f>HYPERLINK("https://creighton-primo.hosted.exlibrisgroup.com/primo-explore/search?tab=default_tab&amp;search_scope=EVERYTHING&amp;vid=01CRU&amp;lang=en_US&amp;offset=0&amp;query=any,contains,991003024379702656","Catalog Record")</f>
        <v/>
      </c>
      <c r="AT419">
        <f>HYPERLINK("http://www.worldcat.org/oclc/588945","WorldCat Record")</f>
        <v/>
      </c>
      <c r="AU419" t="inlineStr">
        <is>
          <t>181979974:eng</t>
        </is>
      </c>
      <c r="AV419" t="inlineStr">
        <is>
          <t>588945</t>
        </is>
      </c>
      <c r="AW419" t="inlineStr">
        <is>
          <t>991003024379702656</t>
        </is>
      </c>
      <c r="AX419" t="inlineStr">
        <is>
          <t>991003024379702656</t>
        </is>
      </c>
      <c r="AY419" t="inlineStr">
        <is>
          <t>2270033000002656</t>
        </is>
      </c>
      <c r="AZ419" t="inlineStr">
        <is>
          <t>BOOK</t>
        </is>
      </c>
      <c r="BB419" t="inlineStr">
        <is>
          <t>9780394485362</t>
        </is>
      </c>
      <c r="BC419" t="inlineStr">
        <is>
          <t>32285002718483</t>
        </is>
      </c>
      <c r="BD419" t="inlineStr">
        <is>
          <t>893422091</t>
        </is>
      </c>
    </row>
    <row r="420">
      <c r="A420" t="inlineStr">
        <is>
          <t>No</t>
        </is>
      </c>
      <c r="B420" t="inlineStr">
        <is>
          <t>PS3501.G35 Z58 1972</t>
        </is>
      </c>
      <c r="C420" t="inlineStr">
        <is>
          <t>0                      PS 3501000G  35                 Z  58          1972</t>
        </is>
      </c>
      <c r="D420" t="inlineStr">
        <is>
          <t>A way of seeing; a critical study of James Agee, by Alfred T. Barson.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Barson, Alfred T.</t>
        </is>
      </c>
      <c r="L420" t="inlineStr">
        <is>
          <t>[Amherst] University of Massachusetts Press [1972]</t>
        </is>
      </c>
      <c r="M420" t="inlineStr">
        <is>
          <t>1972</t>
        </is>
      </c>
      <c r="O420" t="inlineStr">
        <is>
          <t>eng</t>
        </is>
      </c>
      <c r="P420" t="inlineStr">
        <is>
          <t>mau</t>
        </is>
      </c>
      <c r="R420" t="inlineStr">
        <is>
          <t xml:space="preserve">PS </t>
        </is>
      </c>
      <c r="S420" t="n">
        <v>1</v>
      </c>
      <c r="T420" t="n">
        <v>1</v>
      </c>
      <c r="U420" t="inlineStr">
        <is>
          <t>2003-10-15</t>
        </is>
      </c>
      <c r="V420" t="inlineStr">
        <is>
          <t>2003-10-15</t>
        </is>
      </c>
      <c r="W420" t="inlineStr">
        <is>
          <t>2003-10-15</t>
        </is>
      </c>
      <c r="X420" t="inlineStr">
        <is>
          <t>2003-10-15</t>
        </is>
      </c>
      <c r="Y420" t="n">
        <v>724</v>
      </c>
      <c r="Z420" t="n">
        <v>650</v>
      </c>
      <c r="AA420" t="n">
        <v>667</v>
      </c>
      <c r="AB420" t="n">
        <v>5</v>
      </c>
      <c r="AC420" t="n">
        <v>5</v>
      </c>
      <c r="AD420" t="n">
        <v>31</v>
      </c>
      <c r="AE420" t="n">
        <v>32</v>
      </c>
      <c r="AF420" t="n">
        <v>8</v>
      </c>
      <c r="AG420" t="n">
        <v>9</v>
      </c>
      <c r="AH420" t="n">
        <v>8</v>
      </c>
      <c r="AI420" t="n">
        <v>8</v>
      </c>
      <c r="AJ420" t="n">
        <v>17</v>
      </c>
      <c r="AK420" t="n">
        <v>17</v>
      </c>
      <c r="AL420" t="n">
        <v>4</v>
      </c>
      <c r="AM420" t="n">
        <v>4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HYPERLINK("http://catalog.hathitrust.org/Record/000621127","HathiTrust Record")</f>
        <v/>
      </c>
      <c r="AS420">
        <f>HYPERLINK("https://creighton-primo.hosted.exlibrisgroup.com/primo-explore/search?tab=default_tab&amp;search_scope=EVERYTHING&amp;vid=01CRU&amp;lang=en_US&amp;offset=0&amp;query=any,contains,991004162219702656","Catalog Record")</f>
        <v/>
      </c>
      <c r="AT420">
        <f>HYPERLINK("http://www.worldcat.org/oclc/496848","WorldCat Record")</f>
        <v/>
      </c>
      <c r="AU420" t="inlineStr">
        <is>
          <t>365702424:eng</t>
        </is>
      </c>
      <c r="AV420" t="inlineStr">
        <is>
          <t>496848</t>
        </is>
      </c>
      <c r="AW420" t="inlineStr">
        <is>
          <t>991004162219702656</t>
        </is>
      </c>
      <c r="AX420" t="inlineStr">
        <is>
          <t>991004162219702656</t>
        </is>
      </c>
      <c r="AY420" t="inlineStr">
        <is>
          <t>2271755030002656</t>
        </is>
      </c>
      <c r="AZ420" t="inlineStr">
        <is>
          <t>BOOK</t>
        </is>
      </c>
      <c r="BC420" t="inlineStr">
        <is>
          <t>32285004788419</t>
        </is>
      </c>
      <c r="BD420" t="inlineStr">
        <is>
          <t>893331266</t>
        </is>
      </c>
    </row>
    <row r="421">
      <c r="A421" t="inlineStr">
        <is>
          <t>No</t>
        </is>
      </c>
      <c r="B421" t="inlineStr">
        <is>
          <t>PS3501.L178 Z459 1973</t>
        </is>
      </c>
      <c r="C421" t="inlineStr">
        <is>
          <t>0                      PS 3501000L  178                Z  459         1973</t>
        </is>
      </c>
      <c r="D421" t="inlineStr">
        <is>
          <t>Edward Albee at home and abroad : a bibliography / compiled by Richard E. Amacher and Margaret Rule.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Amacher, Richard E.</t>
        </is>
      </c>
      <c r="L421" t="inlineStr">
        <is>
          <t>New York : AMS Press, [1973]</t>
        </is>
      </c>
      <c r="M421" t="inlineStr">
        <is>
          <t>1973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PS </t>
        </is>
      </c>
      <c r="S421" t="n">
        <v>2</v>
      </c>
      <c r="T421" t="n">
        <v>2</v>
      </c>
      <c r="U421" t="inlineStr">
        <is>
          <t>2001-09-28</t>
        </is>
      </c>
      <c r="V421" t="inlineStr">
        <is>
          <t>2001-09-28</t>
        </is>
      </c>
      <c r="W421" t="inlineStr">
        <is>
          <t>1993-08-13</t>
        </is>
      </c>
      <c r="X421" t="inlineStr">
        <is>
          <t>1993-08-13</t>
        </is>
      </c>
      <c r="Y421" t="n">
        <v>384</v>
      </c>
      <c r="Z421" t="n">
        <v>307</v>
      </c>
      <c r="AA421" t="n">
        <v>314</v>
      </c>
      <c r="AB421" t="n">
        <v>4</v>
      </c>
      <c r="AC421" t="n">
        <v>4</v>
      </c>
      <c r="AD421" t="n">
        <v>16</v>
      </c>
      <c r="AE421" t="n">
        <v>16</v>
      </c>
      <c r="AF421" t="n">
        <v>4</v>
      </c>
      <c r="AG421" t="n">
        <v>4</v>
      </c>
      <c r="AH421" t="n">
        <v>4</v>
      </c>
      <c r="AI421" t="n">
        <v>4</v>
      </c>
      <c r="AJ421" t="n">
        <v>10</v>
      </c>
      <c r="AK421" t="n">
        <v>10</v>
      </c>
      <c r="AL421" t="n">
        <v>3</v>
      </c>
      <c r="AM421" t="n">
        <v>3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HYPERLINK("http://catalog.hathitrust.org/Record/001397917","HathiTrust Record")</f>
        <v/>
      </c>
      <c r="AS421">
        <f>HYPERLINK("https://creighton-primo.hosted.exlibrisgroup.com/primo-explore/search?tab=default_tab&amp;search_scope=EVERYTHING&amp;vid=01CRU&amp;lang=en_US&amp;offset=0&amp;query=any,contains,991002910019702656","Catalog Record")</f>
        <v/>
      </c>
      <c r="AT421">
        <f>HYPERLINK("http://www.worldcat.org/oclc/521595","WorldCat Record")</f>
        <v/>
      </c>
      <c r="AU421" t="inlineStr">
        <is>
          <t>3856895879:eng</t>
        </is>
      </c>
      <c r="AV421" t="inlineStr">
        <is>
          <t>521595</t>
        </is>
      </c>
      <c r="AW421" t="inlineStr">
        <is>
          <t>991002910019702656</t>
        </is>
      </c>
      <c r="AX421" t="inlineStr">
        <is>
          <t>991002910019702656</t>
        </is>
      </c>
      <c r="AY421" t="inlineStr">
        <is>
          <t>2260576360002656</t>
        </is>
      </c>
      <c r="AZ421" t="inlineStr">
        <is>
          <t>BOOK</t>
        </is>
      </c>
      <c r="BB421" t="inlineStr">
        <is>
          <t>9780404079451</t>
        </is>
      </c>
      <c r="BC421" t="inlineStr">
        <is>
          <t>32285001754109</t>
        </is>
      </c>
      <c r="BD421" t="inlineStr">
        <is>
          <t>893342018</t>
        </is>
      </c>
    </row>
    <row r="422">
      <c r="A422" t="inlineStr">
        <is>
          <t>No</t>
        </is>
      </c>
      <c r="B422" t="inlineStr">
        <is>
          <t>PS3501.L375 P5 1976</t>
        </is>
      </c>
      <c r="C422" t="inlineStr">
        <is>
          <t>0                      PS 3501000L  375                P  5           1976</t>
        </is>
      </c>
      <c r="D422" t="inlineStr">
        <is>
          <t>Plays for small stages / by Mary Aldis.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Aldis, Mary, 1872-1949.</t>
        </is>
      </c>
      <c r="L422" t="inlineStr">
        <is>
          <t>Great Neck, N.Y. : Core Collection Books, 1976.</t>
        </is>
      </c>
      <c r="M422" t="inlineStr">
        <is>
          <t>1976</t>
        </is>
      </c>
      <c r="O422" t="inlineStr">
        <is>
          <t>eng</t>
        </is>
      </c>
      <c r="P422" t="inlineStr">
        <is>
          <t>nyu</t>
        </is>
      </c>
      <c r="Q422" t="inlineStr">
        <is>
          <t>One-act play reprint series</t>
        </is>
      </c>
      <c r="R422" t="inlineStr">
        <is>
          <t xml:space="preserve">PS </t>
        </is>
      </c>
      <c r="S422" t="n">
        <v>6</v>
      </c>
      <c r="T422" t="n">
        <v>6</v>
      </c>
      <c r="U422" t="inlineStr">
        <is>
          <t>1995-11-15</t>
        </is>
      </c>
      <c r="V422" t="inlineStr">
        <is>
          <t>1995-11-15</t>
        </is>
      </c>
      <c r="W422" t="inlineStr">
        <is>
          <t>1990-11-02</t>
        </is>
      </c>
      <c r="X422" t="inlineStr">
        <is>
          <t>1990-11-02</t>
        </is>
      </c>
      <c r="Y422" t="n">
        <v>98</v>
      </c>
      <c r="Z422" t="n">
        <v>92</v>
      </c>
      <c r="AA422" t="n">
        <v>224</v>
      </c>
      <c r="AB422" t="n">
        <v>2</v>
      </c>
      <c r="AC422" t="n">
        <v>5</v>
      </c>
      <c r="AD422" t="n">
        <v>2</v>
      </c>
      <c r="AE422" t="n">
        <v>7</v>
      </c>
      <c r="AF422" t="n">
        <v>1</v>
      </c>
      <c r="AG422" t="n">
        <v>2</v>
      </c>
      <c r="AH422" t="n">
        <v>1</v>
      </c>
      <c r="AI422" t="n">
        <v>2</v>
      </c>
      <c r="AJ422" t="n">
        <v>1</v>
      </c>
      <c r="AK422" t="n">
        <v>1</v>
      </c>
      <c r="AL422" t="n">
        <v>0</v>
      </c>
      <c r="AM422" t="n">
        <v>3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HYPERLINK("https://creighton-primo.hosted.exlibrisgroup.com/primo-explore/search?tab=default_tab&amp;search_scope=EVERYTHING&amp;vid=01CRU&amp;lang=en_US&amp;offset=0&amp;query=any,contains,991004229649702656","Catalog Record")</f>
        <v/>
      </c>
      <c r="AT422">
        <f>HYPERLINK("http://www.worldcat.org/oclc/2742746","WorldCat Record")</f>
        <v/>
      </c>
      <c r="AU422" t="inlineStr">
        <is>
          <t>2388240:eng</t>
        </is>
      </c>
      <c r="AV422" t="inlineStr">
        <is>
          <t>2742746</t>
        </is>
      </c>
      <c r="AW422" t="inlineStr">
        <is>
          <t>991004229649702656</t>
        </is>
      </c>
      <c r="AX422" t="inlineStr">
        <is>
          <t>991004229649702656</t>
        </is>
      </c>
      <c r="AY422" t="inlineStr">
        <is>
          <t>2261724220002656</t>
        </is>
      </c>
      <c r="AZ422" t="inlineStr">
        <is>
          <t>BOOK</t>
        </is>
      </c>
      <c r="BB422" t="inlineStr">
        <is>
          <t>9780848620004</t>
        </is>
      </c>
      <c r="BC422" t="inlineStr">
        <is>
          <t>32285000375849</t>
        </is>
      </c>
      <c r="BD422" t="inlineStr">
        <is>
          <t>893429810</t>
        </is>
      </c>
    </row>
    <row r="423">
      <c r="A423" t="inlineStr">
        <is>
          <t>No</t>
        </is>
      </c>
      <c r="B423" t="inlineStr">
        <is>
          <t>PS3501.L4625 Z66</t>
        </is>
      </c>
      <c r="C423" t="inlineStr">
        <is>
          <t>0                      PS 3501000L  4625               Z  66</t>
        </is>
      </c>
      <c r="D423" t="inlineStr">
        <is>
          <t>Nelson Algren / by Martha Heasley Cox and Wayne Chatterton.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Cox, Martha Heasley.</t>
        </is>
      </c>
      <c r="L423" t="inlineStr">
        <is>
          <t>Boston : Twayne Publishers, [1975]</t>
        </is>
      </c>
      <c r="M423" t="inlineStr">
        <is>
          <t>1975</t>
        </is>
      </c>
      <c r="O423" t="inlineStr">
        <is>
          <t>eng</t>
        </is>
      </c>
      <c r="P423" t="inlineStr">
        <is>
          <t>mau</t>
        </is>
      </c>
      <c r="Q423" t="inlineStr">
        <is>
          <t>Twayne's United States authors series ; TUSAS 249</t>
        </is>
      </c>
      <c r="R423" t="inlineStr">
        <is>
          <t xml:space="preserve">PS </t>
        </is>
      </c>
      <c r="S423" t="n">
        <v>2</v>
      </c>
      <c r="T423" t="n">
        <v>2</v>
      </c>
      <c r="U423" t="inlineStr">
        <is>
          <t>1994-04-23</t>
        </is>
      </c>
      <c r="V423" t="inlineStr">
        <is>
          <t>1994-04-23</t>
        </is>
      </c>
      <c r="W423" t="inlineStr">
        <is>
          <t>1994-03-21</t>
        </is>
      </c>
      <c r="X423" t="inlineStr">
        <is>
          <t>1994-03-21</t>
        </is>
      </c>
      <c r="Y423" t="n">
        <v>740</v>
      </c>
      <c r="Z423" t="n">
        <v>676</v>
      </c>
      <c r="AA423" t="n">
        <v>680</v>
      </c>
      <c r="AB423" t="n">
        <v>7</v>
      </c>
      <c r="AC423" t="n">
        <v>7</v>
      </c>
      <c r="AD423" t="n">
        <v>32</v>
      </c>
      <c r="AE423" t="n">
        <v>32</v>
      </c>
      <c r="AF423" t="n">
        <v>12</v>
      </c>
      <c r="AG423" t="n">
        <v>12</v>
      </c>
      <c r="AH423" t="n">
        <v>7</v>
      </c>
      <c r="AI423" t="n">
        <v>7</v>
      </c>
      <c r="AJ423" t="n">
        <v>15</v>
      </c>
      <c r="AK423" t="n">
        <v>15</v>
      </c>
      <c r="AL423" t="n">
        <v>5</v>
      </c>
      <c r="AM423" t="n">
        <v>5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HYPERLINK("https://creighton-primo.hosted.exlibrisgroup.com/primo-explore/search?tab=default_tab&amp;search_scope=EVERYTHING&amp;vid=01CRU&amp;lang=en_US&amp;offset=0&amp;query=any,contains,991003502129702656","Catalog Record")</f>
        <v/>
      </c>
      <c r="AT423">
        <f>HYPERLINK("http://www.worldcat.org/oclc/1054267","WorldCat Record")</f>
        <v/>
      </c>
      <c r="AU423" t="inlineStr">
        <is>
          <t>1972229:eng</t>
        </is>
      </c>
      <c r="AV423" t="inlineStr">
        <is>
          <t>1054267</t>
        </is>
      </c>
      <c r="AW423" t="inlineStr">
        <is>
          <t>991003502129702656</t>
        </is>
      </c>
      <c r="AX423" t="inlineStr">
        <is>
          <t>991003502129702656</t>
        </is>
      </c>
      <c r="AY423" t="inlineStr">
        <is>
          <t>2269240660002656</t>
        </is>
      </c>
      <c r="AZ423" t="inlineStr">
        <is>
          <t>BOOK</t>
        </is>
      </c>
      <c r="BB423" t="inlineStr">
        <is>
          <t>9780805700145</t>
        </is>
      </c>
      <c r="BC423" t="inlineStr">
        <is>
          <t>32285001854412</t>
        </is>
      </c>
      <c r="BD423" t="inlineStr">
        <is>
          <t>893874818</t>
        </is>
      </c>
    </row>
    <row r="424">
      <c r="A424" t="inlineStr">
        <is>
          <t>No</t>
        </is>
      </c>
      <c r="B424" t="inlineStr">
        <is>
          <t>PS3501.M6 Z53 1986</t>
        </is>
      </c>
      <c r="C424" t="inlineStr">
        <is>
          <t>0                      PS 3501000M  6                  Z  53          1986</t>
        </is>
      </c>
      <c r="D424" t="inlineStr">
        <is>
          <t>A.R. Ammons / edited with an introduction by Harold Bloom.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L424" t="inlineStr">
        <is>
          <t>New York : Chelsea House Publishers, 1986.</t>
        </is>
      </c>
      <c r="M424" t="inlineStr">
        <is>
          <t>1986</t>
        </is>
      </c>
      <c r="O424" t="inlineStr">
        <is>
          <t>eng</t>
        </is>
      </c>
      <c r="P424" t="inlineStr">
        <is>
          <t>nyu</t>
        </is>
      </c>
      <c r="Q424" t="inlineStr">
        <is>
          <t>Modern critical views</t>
        </is>
      </c>
      <c r="R424" t="inlineStr">
        <is>
          <t xml:space="preserve">PS </t>
        </is>
      </c>
      <c r="S424" t="n">
        <v>3</v>
      </c>
      <c r="T424" t="n">
        <v>3</v>
      </c>
      <c r="U424" t="inlineStr">
        <is>
          <t>1999-03-23</t>
        </is>
      </c>
      <c r="V424" t="inlineStr">
        <is>
          <t>1999-03-23</t>
        </is>
      </c>
      <c r="W424" t="inlineStr">
        <is>
          <t>1995-10-30</t>
        </is>
      </c>
      <c r="X424" t="inlineStr">
        <is>
          <t>1995-10-30</t>
        </is>
      </c>
      <c r="Y424" t="n">
        <v>577</v>
      </c>
      <c r="Z424" t="n">
        <v>519</v>
      </c>
      <c r="AA424" t="n">
        <v>530</v>
      </c>
      <c r="AB424" t="n">
        <v>3</v>
      </c>
      <c r="AC424" t="n">
        <v>3</v>
      </c>
      <c r="AD424" t="n">
        <v>18</v>
      </c>
      <c r="AE424" t="n">
        <v>18</v>
      </c>
      <c r="AF424" t="n">
        <v>6</v>
      </c>
      <c r="AG424" t="n">
        <v>6</v>
      </c>
      <c r="AH424" t="n">
        <v>6</v>
      </c>
      <c r="AI424" t="n">
        <v>6</v>
      </c>
      <c r="AJ424" t="n">
        <v>9</v>
      </c>
      <c r="AK424" t="n">
        <v>9</v>
      </c>
      <c r="AL424" t="n">
        <v>2</v>
      </c>
      <c r="AM424" t="n">
        <v>2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HYPERLINK("http://catalog.hathitrust.org/Record/000483851","HathiTrust Record")</f>
        <v/>
      </c>
      <c r="AS424">
        <f>HYPERLINK("https://creighton-primo.hosted.exlibrisgroup.com/primo-explore/search?tab=default_tab&amp;search_scope=EVERYTHING&amp;vid=01CRU&amp;lang=en_US&amp;offset=0&amp;query=any,contains,991000611719702656","Catalog Record")</f>
        <v/>
      </c>
      <c r="AT424">
        <f>HYPERLINK("http://www.worldcat.org/oclc/11916210","WorldCat Record")</f>
        <v/>
      </c>
      <c r="AU424" t="inlineStr">
        <is>
          <t>345941358:eng</t>
        </is>
      </c>
      <c r="AV424" t="inlineStr">
        <is>
          <t>11916210</t>
        </is>
      </c>
      <c r="AW424" t="inlineStr">
        <is>
          <t>991000611719702656</t>
        </is>
      </c>
      <c r="AX424" t="inlineStr">
        <is>
          <t>991000611719702656</t>
        </is>
      </c>
      <c r="AY424" t="inlineStr">
        <is>
          <t>2270475320002656</t>
        </is>
      </c>
      <c r="AZ424" t="inlineStr">
        <is>
          <t>BOOK</t>
        </is>
      </c>
      <c r="BB424" t="inlineStr">
        <is>
          <t>9780877546207</t>
        </is>
      </c>
      <c r="BC424" t="inlineStr">
        <is>
          <t>32285002099470</t>
        </is>
      </c>
      <c r="BD424" t="inlineStr">
        <is>
          <t>893438418</t>
        </is>
      </c>
    </row>
    <row r="425">
      <c r="A425" t="inlineStr">
        <is>
          <t>No</t>
        </is>
      </c>
      <c r="B425" t="inlineStr">
        <is>
          <t>PS3501.M6 Z8</t>
        </is>
      </c>
      <c r="C425" t="inlineStr">
        <is>
          <t>0                      PS 3501000M  6                  Z  8</t>
        </is>
      </c>
      <c r="D425" t="inlineStr">
        <is>
          <t>A. R. Ammons / by Alan Holder.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Holder, Alan, 1932-</t>
        </is>
      </c>
      <c r="L425" t="inlineStr">
        <is>
          <t>Boston : Twayne Publishers, c1978.</t>
        </is>
      </c>
      <c r="M425" t="inlineStr">
        <is>
          <t>1978</t>
        </is>
      </c>
      <c r="O425" t="inlineStr">
        <is>
          <t>eng</t>
        </is>
      </c>
      <c r="P425" t="inlineStr">
        <is>
          <t>mau</t>
        </is>
      </c>
      <c r="Q425" t="inlineStr">
        <is>
          <t>Twayne's United States authors series ; TUSAS 303</t>
        </is>
      </c>
      <c r="R425" t="inlineStr">
        <is>
          <t xml:space="preserve">PS </t>
        </is>
      </c>
      <c r="S425" t="n">
        <v>6</v>
      </c>
      <c r="T425" t="n">
        <v>6</v>
      </c>
      <c r="U425" t="inlineStr">
        <is>
          <t>1999-02-22</t>
        </is>
      </c>
      <c r="V425" t="inlineStr">
        <is>
          <t>1999-02-22</t>
        </is>
      </c>
      <c r="W425" t="inlineStr">
        <is>
          <t>1990-11-02</t>
        </is>
      </c>
      <c r="X425" t="inlineStr">
        <is>
          <t>1990-11-02</t>
        </is>
      </c>
      <c r="Y425" t="n">
        <v>720</v>
      </c>
      <c r="Z425" t="n">
        <v>640</v>
      </c>
      <c r="AA425" t="n">
        <v>641</v>
      </c>
      <c r="AB425" t="n">
        <v>4</v>
      </c>
      <c r="AC425" t="n">
        <v>4</v>
      </c>
      <c r="AD425" t="n">
        <v>29</v>
      </c>
      <c r="AE425" t="n">
        <v>29</v>
      </c>
      <c r="AF425" t="n">
        <v>11</v>
      </c>
      <c r="AG425" t="n">
        <v>11</v>
      </c>
      <c r="AH425" t="n">
        <v>6</v>
      </c>
      <c r="AI425" t="n">
        <v>6</v>
      </c>
      <c r="AJ425" t="n">
        <v>17</v>
      </c>
      <c r="AK425" t="n">
        <v>17</v>
      </c>
      <c r="AL425" t="n">
        <v>3</v>
      </c>
      <c r="AM425" t="n">
        <v>3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HYPERLINK("http://catalog.hathitrust.org/Record/007926553","HathiTrust Record")</f>
        <v/>
      </c>
      <c r="AS425">
        <f>HYPERLINK("https://creighton-primo.hosted.exlibrisgroup.com/primo-explore/search?tab=default_tab&amp;search_scope=EVERYTHING&amp;vid=01CRU&amp;lang=en_US&amp;offset=0&amp;query=any,contains,991004445139702656","Catalog Record")</f>
        <v/>
      </c>
      <c r="AT425">
        <f>HYPERLINK("http://www.worldcat.org/oclc/3481170","WorldCat Record")</f>
        <v/>
      </c>
      <c r="AU425" t="inlineStr">
        <is>
          <t>10535703:eng</t>
        </is>
      </c>
      <c r="AV425" t="inlineStr">
        <is>
          <t>3481170</t>
        </is>
      </c>
      <c r="AW425" t="inlineStr">
        <is>
          <t>991004445139702656</t>
        </is>
      </c>
      <c r="AX425" t="inlineStr">
        <is>
          <t>991004445139702656</t>
        </is>
      </c>
      <c r="AY425" t="inlineStr">
        <is>
          <t>2264440570002656</t>
        </is>
      </c>
      <c r="AZ425" t="inlineStr">
        <is>
          <t>BOOK</t>
        </is>
      </c>
      <c r="BB425" t="inlineStr">
        <is>
          <t>9780805772081</t>
        </is>
      </c>
      <c r="BC425" t="inlineStr">
        <is>
          <t>32285000375864</t>
        </is>
      </c>
      <c r="BD425" t="inlineStr">
        <is>
          <t>893782251</t>
        </is>
      </c>
    </row>
    <row r="426">
      <c r="A426" t="inlineStr">
        <is>
          <t>No</t>
        </is>
      </c>
      <c r="B426" t="inlineStr">
        <is>
          <t>PS3501.N4 Z63</t>
        </is>
      </c>
      <c r="C426" t="inlineStr">
        <is>
          <t>0                      PS 3501000N  4                  Z  63</t>
        </is>
      </c>
      <c r="D426" t="inlineStr">
        <is>
          <t>Homage to Sherwood Anderson, 1876-1941 / edited by Paul P. Appel.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L426" t="inlineStr">
        <is>
          <t>Mamaroneck, N.Y. : P. P. Appel, 1970.</t>
        </is>
      </c>
      <c r="M426" t="inlineStr">
        <is>
          <t>1970</t>
        </is>
      </c>
      <c r="O426" t="inlineStr">
        <is>
          <t>eng</t>
        </is>
      </c>
      <c r="P426" t="inlineStr">
        <is>
          <t>nyu</t>
        </is>
      </c>
      <c r="R426" t="inlineStr">
        <is>
          <t xml:space="preserve">PS </t>
        </is>
      </c>
      <c r="S426" t="n">
        <v>3</v>
      </c>
      <c r="T426" t="n">
        <v>3</v>
      </c>
      <c r="U426" t="inlineStr">
        <is>
          <t>1999-09-13</t>
        </is>
      </c>
      <c r="V426" t="inlineStr">
        <is>
          <t>1999-09-13</t>
        </is>
      </c>
      <c r="W426" t="inlineStr">
        <is>
          <t>1994-07-27</t>
        </is>
      </c>
      <c r="X426" t="inlineStr">
        <is>
          <t>1994-07-27</t>
        </is>
      </c>
      <c r="Y426" t="n">
        <v>552</v>
      </c>
      <c r="Z426" t="n">
        <v>489</v>
      </c>
      <c r="AA426" t="n">
        <v>502</v>
      </c>
      <c r="AB426" t="n">
        <v>5</v>
      </c>
      <c r="AC426" t="n">
        <v>5</v>
      </c>
      <c r="AD426" t="n">
        <v>25</v>
      </c>
      <c r="AE426" t="n">
        <v>25</v>
      </c>
      <c r="AF426" t="n">
        <v>9</v>
      </c>
      <c r="AG426" t="n">
        <v>9</v>
      </c>
      <c r="AH426" t="n">
        <v>5</v>
      </c>
      <c r="AI426" t="n">
        <v>5</v>
      </c>
      <c r="AJ426" t="n">
        <v>12</v>
      </c>
      <c r="AK426" t="n">
        <v>12</v>
      </c>
      <c r="AL426" t="n">
        <v>4</v>
      </c>
      <c r="AM426" t="n">
        <v>4</v>
      </c>
      <c r="AN426" t="n">
        <v>0</v>
      </c>
      <c r="AO426" t="n">
        <v>0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HYPERLINK("http://catalog.hathitrust.org/Record/000383464","HathiTrust Record")</f>
        <v/>
      </c>
      <c r="AS426">
        <f>HYPERLINK("https://creighton-primo.hosted.exlibrisgroup.com/primo-explore/search?tab=default_tab&amp;search_scope=EVERYTHING&amp;vid=01CRU&amp;lang=en_US&amp;offset=0&amp;query=any,contains,991000427979702656","Catalog Record")</f>
        <v/>
      </c>
      <c r="AT426">
        <f>HYPERLINK("http://www.worldcat.org/oclc/75511","WorldCat Record")</f>
        <v/>
      </c>
      <c r="AU426" t="inlineStr">
        <is>
          <t>377854388:eng</t>
        </is>
      </c>
      <c r="AV426" t="inlineStr">
        <is>
          <t>75511</t>
        </is>
      </c>
      <c r="AW426" t="inlineStr">
        <is>
          <t>991000427979702656</t>
        </is>
      </c>
      <c r="AX426" t="inlineStr">
        <is>
          <t>991000427979702656</t>
        </is>
      </c>
      <c r="AY426" t="inlineStr">
        <is>
          <t>2255689340002656</t>
        </is>
      </c>
      <c r="AZ426" t="inlineStr">
        <is>
          <t>BOOK</t>
        </is>
      </c>
      <c r="BB426" t="inlineStr">
        <is>
          <t>9780911858020</t>
        </is>
      </c>
      <c r="BC426" t="inlineStr">
        <is>
          <t>32285001937209</t>
        </is>
      </c>
      <c r="BD426" t="inlineStr">
        <is>
          <t>893890668</t>
        </is>
      </c>
    </row>
    <row r="427">
      <c r="A427" t="inlineStr">
        <is>
          <t>No</t>
        </is>
      </c>
      <c r="B427" t="inlineStr">
        <is>
          <t>PS3501.N569 P4</t>
        </is>
      </c>
      <c r="C427" t="inlineStr">
        <is>
          <t>0                      PS 3501000N  569                P  4</t>
        </is>
      </c>
      <c r="D427" t="inlineStr">
        <is>
          <t>The perfect tribute, by Mary Raymond Shipman Andrews.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Andrews, Mary Raymond Shipman, 1860-1936.</t>
        </is>
      </c>
      <c r="L427" t="inlineStr">
        <is>
          <t>New York, C. Scribner's sons, 1906.</t>
        </is>
      </c>
      <c r="M427" t="inlineStr">
        <is>
          <t>1906</t>
        </is>
      </c>
      <c r="O427" t="inlineStr">
        <is>
          <t>eng</t>
        </is>
      </c>
      <c r="P427" t="inlineStr">
        <is>
          <t>nyu</t>
        </is>
      </c>
      <c r="R427" t="inlineStr">
        <is>
          <t xml:space="preserve">PS </t>
        </is>
      </c>
      <c r="S427" t="n">
        <v>1</v>
      </c>
      <c r="T427" t="n">
        <v>1</v>
      </c>
      <c r="U427" t="inlineStr">
        <is>
          <t>2001-02-01</t>
        </is>
      </c>
      <c r="V427" t="inlineStr">
        <is>
          <t>2001-02-01</t>
        </is>
      </c>
      <c r="W427" t="inlineStr">
        <is>
          <t>1997-05-27</t>
        </is>
      </c>
      <c r="X427" t="inlineStr">
        <is>
          <t>1997-05-27</t>
        </is>
      </c>
      <c r="Y427" t="n">
        <v>512</v>
      </c>
      <c r="Z427" t="n">
        <v>489</v>
      </c>
      <c r="AA427" t="n">
        <v>1151</v>
      </c>
      <c r="AB427" t="n">
        <v>5</v>
      </c>
      <c r="AC427" t="n">
        <v>12</v>
      </c>
      <c r="AD427" t="n">
        <v>17</v>
      </c>
      <c r="AE427" t="n">
        <v>42</v>
      </c>
      <c r="AF427" t="n">
        <v>8</v>
      </c>
      <c r="AG427" t="n">
        <v>13</v>
      </c>
      <c r="AH427" t="n">
        <v>1</v>
      </c>
      <c r="AI427" t="n">
        <v>5</v>
      </c>
      <c r="AJ427" t="n">
        <v>5</v>
      </c>
      <c r="AK427" t="n">
        <v>18</v>
      </c>
      <c r="AL427" t="n">
        <v>4</v>
      </c>
      <c r="AM427" t="n">
        <v>8</v>
      </c>
      <c r="AN427" t="n">
        <v>0</v>
      </c>
      <c r="AO427" t="n">
        <v>3</v>
      </c>
      <c r="AP427" t="inlineStr">
        <is>
          <t>Yes</t>
        </is>
      </c>
      <c r="AQ427" t="inlineStr">
        <is>
          <t>No</t>
        </is>
      </c>
      <c r="AR427">
        <f>HYPERLINK("http://catalog.hathitrust.org/Record/008657963","HathiTrust Record")</f>
        <v/>
      </c>
      <c r="AS427">
        <f>HYPERLINK("https://creighton-primo.hosted.exlibrisgroup.com/primo-explore/search?tab=default_tab&amp;search_scope=EVERYTHING&amp;vid=01CRU&amp;lang=en_US&amp;offset=0&amp;query=any,contains,991003022309702656","Catalog Record")</f>
        <v/>
      </c>
      <c r="AT427">
        <f>HYPERLINK("http://www.worldcat.org/oclc/587074","WorldCat Record")</f>
        <v/>
      </c>
      <c r="AU427" t="inlineStr">
        <is>
          <t>1428304:eng</t>
        </is>
      </c>
      <c r="AV427" t="inlineStr">
        <is>
          <t>587074</t>
        </is>
      </c>
      <c r="AW427" t="inlineStr">
        <is>
          <t>991003022309702656</t>
        </is>
      </c>
      <c r="AX427" t="inlineStr">
        <is>
          <t>991003022309702656</t>
        </is>
      </c>
      <c r="AY427" t="inlineStr">
        <is>
          <t>2267073240002656</t>
        </is>
      </c>
      <c r="AZ427" t="inlineStr">
        <is>
          <t>BOOK</t>
        </is>
      </c>
      <c r="BC427" t="inlineStr">
        <is>
          <t>32285002718590</t>
        </is>
      </c>
      <c r="BD427" t="inlineStr">
        <is>
          <t>893799296</t>
        </is>
      </c>
    </row>
    <row r="428">
      <c r="A428" t="inlineStr">
        <is>
          <t>No</t>
        </is>
      </c>
      <c r="B428" t="inlineStr">
        <is>
          <t>PS3501.R5933 C36 1976</t>
        </is>
      </c>
      <c r="C428" t="inlineStr">
        <is>
          <t>0                      PS 3501000R  5933               C  36          1976</t>
        </is>
      </c>
      <c r="D428" t="inlineStr">
        <is>
          <t>The Camp Grant massacre : a novel / by Elliott Arnold.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Arnold, Elliott, 1912-1980.</t>
        </is>
      </c>
      <c r="L428" t="inlineStr">
        <is>
          <t>New York : Simon and Schuster, c1976.</t>
        </is>
      </c>
      <c r="M428" t="inlineStr">
        <is>
          <t>1976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PS </t>
        </is>
      </c>
      <c r="S428" t="n">
        <v>1</v>
      </c>
      <c r="T428" t="n">
        <v>1</v>
      </c>
      <c r="U428" t="inlineStr">
        <is>
          <t>2003-06-04</t>
        </is>
      </c>
      <c r="V428" t="inlineStr">
        <is>
          <t>2003-06-04</t>
        </is>
      </c>
      <c r="W428" t="inlineStr">
        <is>
          <t>2003-06-04</t>
        </is>
      </c>
      <c r="X428" t="inlineStr">
        <is>
          <t>2003-06-04</t>
        </is>
      </c>
      <c r="Y428" t="n">
        <v>487</v>
      </c>
      <c r="Z428" t="n">
        <v>473</v>
      </c>
      <c r="AA428" t="n">
        <v>475</v>
      </c>
      <c r="AB428" t="n">
        <v>7</v>
      </c>
      <c r="AC428" t="n">
        <v>7</v>
      </c>
      <c r="AD428" t="n">
        <v>7</v>
      </c>
      <c r="AE428" t="n">
        <v>7</v>
      </c>
      <c r="AF428" t="n">
        <v>1</v>
      </c>
      <c r="AG428" t="n">
        <v>1</v>
      </c>
      <c r="AH428" t="n">
        <v>0</v>
      </c>
      <c r="AI428" t="n">
        <v>0</v>
      </c>
      <c r="AJ428" t="n">
        <v>3</v>
      </c>
      <c r="AK428" t="n">
        <v>3</v>
      </c>
      <c r="AL428" t="n">
        <v>3</v>
      </c>
      <c r="AM428" t="n">
        <v>3</v>
      </c>
      <c r="AN428" t="n">
        <v>1</v>
      </c>
      <c r="AO428" t="n">
        <v>1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HYPERLINK("http://catalog.hathitrust.org/Record/000035222","HathiTrust Record")</f>
        <v/>
      </c>
      <c r="AS428">
        <f>HYPERLINK("https://creighton-primo.hosted.exlibrisgroup.com/primo-explore/search?tab=default_tab&amp;search_scope=EVERYTHING&amp;vid=01CRU&amp;lang=en_US&amp;offset=0&amp;query=any,contains,991004070069702656","Catalog Record")</f>
        <v/>
      </c>
      <c r="AT428">
        <f>HYPERLINK("http://www.worldcat.org/oclc/1584048","WorldCat Record")</f>
        <v/>
      </c>
      <c r="AU428" t="inlineStr">
        <is>
          <t>423372742:eng</t>
        </is>
      </c>
      <c r="AV428" t="inlineStr">
        <is>
          <t>1584048</t>
        </is>
      </c>
      <c r="AW428" t="inlineStr">
        <is>
          <t>991004070069702656</t>
        </is>
      </c>
      <c r="AX428" t="inlineStr">
        <is>
          <t>991004070069702656</t>
        </is>
      </c>
      <c r="AY428" t="inlineStr">
        <is>
          <t>2265186530002656</t>
        </is>
      </c>
      <c r="AZ428" t="inlineStr">
        <is>
          <t>BOOK</t>
        </is>
      </c>
      <c r="BB428" t="inlineStr">
        <is>
          <t>9780671221935</t>
        </is>
      </c>
      <c r="BC428" t="inlineStr">
        <is>
          <t>32285004750674</t>
        </is>
      </c>
      <c r="BD428" t="inlineStr">
        <is>
          <t>893882028</t>
        </is>
      </c>
    </row>
    <row r="429">
      <c r="A429" t="inlineStr">
        <is>
          <t>No</t>
        </is>
      </c>
      <c r="B429" t="inlineStr">
        <is>
          <t>PS3501.U55 Z63</t>
        </is>
      </c>
      <c r="C429" t="inlineStr">
        <is>
          <t>0                      PS 3501000U  55                 Z  63</t>
        </is>
      </c>
      <c r="D429" t="inlineStr">
        <is>
          <t>W.H. Auden, a biography / by Humphrey Carpenter.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Carpenter, Humphrey.</t>
        </is>
      </c>
      <c r="L429" t="inlineStr">
        <is>
          <t>London : Allen &amp; Unwin Ltd., 1981.</t>
        </is>
      </c>
      <c r="M429" t="inlineStr">
        <is>
          <t>1981</t>
        </is>
      </c>
      <c r="O429" t="inlineStr">
        <is>
          <t>eng</t>
        </is>
      </c>
      <c r="P429" t="inlineStr">
        <is>
          <t>enk</t>
        </is>
      </c>
      <c r="R429" t="inlineStr">
        <is>
          <t xml:space="preserve">PS </t>
        </is>
      </c>
      <c r="S429" t="n">
        <v>1</v>
      </c>
      <c r="T429" t="n">
        <v>1</v>
      </c>
      <c r="U429" t="inlineStr">
        <is>
          <t>1993-08-09</t>
        </is>
      </c>
      <c r="V429" t="inlineStr">
        <is>
          <t>1993-08-09</t>
        </is>
      </c>
      <c r="W429" t="inlineStr">
        <is>
          <t>1990-02-28</t>
        </is>
      </c>
      <c r="X429" t="inlineStr">
        <is>
          <t>1990-02-28</t>
        </is>
      </c>
      <c r="Y429" t="n">
        <v>1470</v>
      </c>
      <c r="Z429" t="n">
        <v>1387</v>
      </c>
      <c r="AA429" t="n">
        <v>1451</v>
      </c>
      <c r="AB429" t="n">
        <v>10</v>
      </c>
      <c r="AC429" t="n">
        <v>11</v>
      </c>
      <c r="AD429" t="n">
        <v>49</v>
      </c>
      <c r="AE429" t="n">
        <v>50</v>
      </c>
      <c r="AF429" t="n">
        <v>20</v>
      </c>
      <c r="AG429" t="n">
        <v>20</v>
      </c>
      <c r="AH429" t="n">
        <v>10</v>
      </c>
      <c r="AI429" t="n">
        <v>10</v>
      </c>
      <c r="AJ429" t="n">
        <v>23</v>
      </c>
      <c r="AK429" t="n">
        <v>23</v>
      </c>
      <c r="AL429" t="n">
        <v>8</v>
      </c>
      <c r="AM429" t="n">
        <v>9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HYPERLINK("http://catalog.hathitrust.org/Record/000104697","HathiTrust Record")</f>
        <v/>
      </c>
      <c r="AS429">
        <f>HYPERLINK("https://creighton-primo.hosted.exlibrisgroup.com/primo-explore/search?tab=default_tab&amp;search_scope=EVERYTHING&amp;vid=01CRU&amp;lang=en_US&amp;offset=0&amp;query=any,contains,991005147099702656","Catalog Record")</f>
        <v/>
      </c>
      <c r="AT429">
        <f>HYPERLINK("http://www.worldcat.org/oclc/7672079","WorldCat Record")</f>
        <v/>
      </c>
      <c r="AU429" t="inlineStr">
        <is>
          <t>3523306:eng</t>
        </is>
      </c>
      <c r="AV429" t="inlineStr">
        <is>
          <t>7672079</t>
        </is>
      </c>
      <c r="AW429" t="inlineStr">
        <is>
          <t>991005147099702656</t>
        </is>
      </c>
      <c r="AX429" t="inlineStr">
        <is>
          <t>991005147099702656</t>
        </is>
      </c>
      <c r="AY429" t="inlineStr">
        <is>
          <t>2272542910002656</t>
        </is>
      </c>
      <c r="AZ429" t="inlineStr">
        <is>
          <t>BOOK</t>
        </is>
      </c>
      <c r="BB429" t="inlineStr">
        <is>
          <t>9780395308530</t>
        </is>
      </c>
      <c r="BC429" t="inlineStr">
        <is>
          <t>32285000073162</t>
        </is>
      </c>
      <c r="BD429" t="inlineStr">
        <is>
          <t>893507686</t>
        </is>
      </c>
    </row>
    <row r="430">
      <c r="A430" t="inlineStr">
        <is>
          <t>No</t>
        </is>
      </c>
      <c r="B430" t="inlineStr">
        <is>
          <t>PS3501.U55 Z68 1981</t>
        </is>
      </c>
      <c r="C430" t="inlineStr">
        <is>
          <t>0                      PS 3501000U  55                 Z  68          1981</t>
        </is>
      </c>
      <c r="D430" t="inlineStr">
        <is>
          <t>Conversations with W. H. Auden / Howard Griffin. Edited by Donald Allen.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Griffin, Howard, 1915-1975.</t>
        </is>
      </c>
      <c r="L430" t="inlineStr">
        <is>
          <t>San Francisco : Grey Fox Press, 1981.</t>
        </is>
      </c>
      <c r="M430" t="inlineStr">
        <is>
          <t>1981</t>
        </is>
      </c>
      <c r="O430" t="inlineStr">
        <is>
          <t>eng</t>
        </is>
      </c>
      <c r="P430" t="inlineStr">
        <is>
          <t>cau</t>
        </is>
      </c>
      <c r="R430" t="inlineStr">
        <is>
          <t xml:space="preserve">PS </t>
        </is>
      </c>
      <c r="S430" t="n">
        <v>3</v>
      </c>
      <c r="T430" t="n">
        <v>3</v>
      </c>
      <c r="U430" t="inlineStr">
        <is>
          <t>1996-12-23</t>
        </is>
      </c>
      <c r="V430" t="inlineStr">
        <is>
          <t>1996-12-23</t>
        </is>
      </c>
      <c r="W430" t="inlineStr">
        <is>
          <t>1990-11-02</t>
        </is>
      </c>
      <c r="X430" t="inlineStr">
        <is>
          <t>1990-11-02</t>
        </is>
      </c>
      <c r="Y430" t="n">
        <v>335</v>
      </c>
      <c r="Z430" t="n">
        <v>283</v>
      </c>
      <c r="AA430" t="n">
        <v>293</v>
      </c>
      <c r="AB430" t="n">
        <v>2</v>
      </c>
      <c r="AC430" t="n">
        <v>2</v>
      </c>
      <c r="AD430" t="n">
        <v>10</v>
      </c>
      <c r="AE430" t="n">
        <v>10</v>
      </c>
      <c r="AF430" t="n">
        <v>4</v>
      </c>
      <c r="AG430" t="n">
        <v>4</v>
      </c>
      <c r="AH430" t="n">
        <v>1</v>
      </c>
      <c r="AI430" t="n">
        <v>1</v>
      </c>
      <c r="AJ430" t="n">
        <v>6</v>
      </c>
      <c r="AK430" t="n">
        <v>6</v>
      </c>
      <c r="AL430" t="n">
        <v>1</v>
      </c>
      <c r="AM430" t="n">
        <v>1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HYPERLINK("http://catalog.hathitrust.org/Record/000140551","HathiTrust Record")</f>
        <v/>
      </c>
      <c r="AS430">
        <f>HYPERLINK("https://creighton-primo.hosted.exlibrisgroup.com/primo-explore/search?tab=default_tab&amp;search_scope=EVERYTHING&amp;vid=01CRU&amp;lang=en_US&amp;offset=0&amp;query=any,contains,991005042969702656","Catalog Record")</f>
        <v/>
      </c>
      <c r="AT430">
        <f>HYPERLINK("http://www.worldcat.org/oclc/6813065","WorldCat Record")</f>
        <v/>
      </c>
      <c r="AU430" t="inlineStr">
        <is>
          <t>23864606:eng</t>
        </is>
      </c>
      <c r="AV430" t="inlineStr">
        <is>
          <t>6813065</t>
        </is>
      </c>
      <c r="AW430" t="inlineStr">
        <is>
          <t>991005042969702656</t>
        </is>
      </c>
      <c r="AX430" t="inlineStr">
        <is>
          <t>991005042969702656</t>
        </is>
      </c>
      <c r="AY430" t="inlineStr">
        <is>
          <t>2268280530002656</t>
        </is>
      </c>
      <c r="AZ430" t="inlineStr">
        <is>
          <t>BOOK</t>
        </is>
      </c>
      <c r="BB430" t="inlineStr">
        <is>
          <t>9780912516554</t>
        </is>
      </c>
      <c r="BC430" t="inlineStr">
        <is>
          <t>32285000375971</t>
        </is>
      </c>
      <c r="BD430" t="inlineStr">
        <is>
          <t>893876843</t>
        </is>
      </c>
    </row>
    <row r="431">
      <c r="A431" t="inlineStr">
        <is>
          <t>No</t>
        </is>
      </c>
      <c r="B431" t="inlineStr">
        <is>
          <t>PS3501.U55 Z78</t>
        </is>
      </c>
      <c r="C431" t="inlineStr">
        <is>
          <t>0                      PS 3501000U  55                 Z  78</t>
        </is>
      </c>
      <c r="D431" t="inlineStr">
        <is>
          <t>Early Auden / by Edward Mendelson.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Mendelson, Edward.</t>
        </is>
      </c>
      <c r="L431" t="inlineStr">
        <is>
          <t>New York : Viking Press, 1981.</t>
        </is>
      </c>
      <c r="M431" t="inlineStr">
        <is>
          <t>1981</t>
        </is>
      </c>
      <c r="O431" t="inlineStr">
        <is>
          <t>eng</t>
        </is>
      </c>
      <c r="P431" t="inlineStr">
        <is>
          <t>nyu</t>
        </is>
      </c>
      <c r="R431" t="inlineStr">
        <is>
          <t xml:space="preserve">PS </t>
        </is>
      </c>
      <c r="S431" t="n">
        <v>1</v>
      </c>
      <c r="T431" t="n">
        <v>1</v>
      </c>
      <c r="U431" t="inlineStr">
        <is>
          <t>2003-10-09</t>
        </is>
      </c>
      <c r="V431" t="inlineStr">
        <is>
          <t>2003-10-09</t>
        </is>
      </c>
      <c r="W431" t="inlineStr">
        <is>
          <t>1990-11-02</t>
        </is>
      </c>
      <c r="X431" t="inlineStr">
        <is>
          <t>1990-11-02</t>
        </is>
      </c>
      <c r="Y431" t="n">
        <v>1044</v>
      </c>
      <c r="Z431" t="n">
        <v>970</v>
      </c>
      <c r="AA431" t="n">
        <v>1227</v>
      </c>
      <c r="AB431" t="n">
        <v>5</v>
      </c>
      <c r="AC431" t="n">
        <v>6</v>
      </c>
      <c r="AD431" t="n">
        <v>41</v>
      </c>
      <c r="AE431" t="n">
        <v>52</v>
      </c>
      <c r="AF431" t="n">
        <v>22</v>
      </c>
      <c r="AG431" t="n">
        <v>26</v>
      </c>
      <c r="AH431" t="n">
        <v>9</v>
      </c>
      <c r="AI431" t="n">
        <v>11</v>
      </c>
      <c r="AJ431" t="n">
        <v>19</v>
      </c>
      <c r="AK431" t="n">
        <v>24</v>
      </c>
      <c r="AL431" t="n">
        <v>4</v>
      </c>
      <c r="AM431" t="n">
        <v>5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HYPERLINK("http://catalog.hathitrust.org/Record/000221688","HathiTrust Record")</f>
        <v/>
      </c>
      <c r="AS431">
        <f>HYPERLINK("https://creighton-primo.hosted.exlibrisgroup.com/primo-explore/search?tab=default_tab&amp;search_scope=EVERYTHING&amp;vid=01CRU&amp;lang=en_US&amp;offset=0&amp;query=any,contains,991005082319702656","Catalog Record")</f>
        <v/>
      </c>
      <c r="AT431">
        <f>HYPERLINK("http://www.worldcat.org/oclc/7174122","WorldCat Record")</f>
        <v/>
      </c>
      <c r="AU431" t="inlineStr">
        <is>
          <t>515575:eng</t>
        </is>
      </c>
      <c r="AV431" t="inlineStr">
        <is>
          <t>7174122</t>
        </is>
      </c>
      <c r="AW431" t="inlineStr">
        <is>
          <t>991005082319702656</t>
        </is>
      </c>
      <c r="AX431" t="inlineStr">
        <is>
          <t>991005082319702656</t>
        </is>
      </c>
      <c r="AY431" t="inlineStr">
        <is>
          <t>2271785580002656</t>
        </is>
      </c>
      <c r="AZ431" t="inlineStr">
        <is>
          <t>BOOK</t>
        </is>
      </c>
      <c r="BB431" t="inlineStr">
        <is>
          <t>9780670287123</t>
        </is>
      </c>
      <c r="BC431" t="inlineStr">
        <is>
          <t>32285000375989</t>
        </is>
      </c>
      <c r="BD431" t="inlineStr">
        <is>
          <t>893870484</t>
        </is>
      </c>
    </row>
    <row r="432">
      <c r="A432" t="inlineStr">
        <is>
          <t>No</t>
        </is>
      </c>
      <c r="B432" t="inlineStr">
        <is>
          <t>PS3501.U55 Z83 1979</t>
        </is>
      </c>
      <c r="C432" t="inlineStr">
        <is>
          <t>0                      PS 3501000U  55                 Z  83          1979</t>
        </is>
      </c>
      <c r="D432" t="inlineStr">
        <is>
          <t>W. H. Auden : the life of a poet / Charles Osborne.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Osborne, Charles, 1927-2017.</t>
        </is>
      </c>
      <c r="L432" t="inlineStr">
        <is>
          <t>New York : Harcourt Brace Jovanovich, c1979.</t>
        </is>
      </c>
      <c r="M432" t="inlineStr">
        <is>
          <t>1979</t>
        </is>
      </c>
      <c r="N432" t="inlineStr">
        <is>
          <t>American 1st ed.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PS </t>
        </is>
      </c>
      <c r="S432" t="n">
        <v>2</v>
      </c>
      <c r="T432" t="n">
        <v>2</v>
      </c>
      <c r="U432" t="inlineStr">
        <is>
          <t>1993-08-09</t>
        </is>
      </c>
      <c r="V432" t="inlineStr">
        <is>
          <t>1993-08-09</t>
        </is>
      </c>
      <c r="W432" t="inlineStr">
        <is>
          <t>1990-02-28</t>
        </is>
      </c>
      <c r="X432" t="inlineStr">
        <is>
          <t>1990-02-28</t>
        </is>
      </c>
      <c r="Y432" t="n">
        <v>931</v>
      </c>
      <c r="Z432" t="n">
        <v>841</v>
      </c>
      <c r="AA432" t="n">
        <v>995</v>
      </c>
      <c r="AB432" t="n">
        <v>6</v>
      </c>
      <c r="AC432" t="n">
        <v>7</v>
      </c>
      <c r="AD432" t="n">
        <v>33</v>
      </c>
      <c r="AE432" t="n">
        <v>38</v>
      </c>
      <c r="AF432" t="n">
        <v>14</v>
      </c>
      <c r="AG432" t="n">
        <v>14</v>
      </c>
      <c r="AH432" t="n">
        <v>10</v>
      </c>
      <c r="AI432" t="n">
        <v>11</v>
      </c>
      <c r="AJ432" t="n">
        <v>17</v>
      </c>
      <c r="AK432" t="n">
        <v>21</v>
      </c>
      <c r="AL432" t="n">
        <v>3</v>
      </c>
      <c r="AM432" t="n">
        <v>4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HYPERLINK("http://catalog.hathitrust.org/Record/000095632","HathiTrust Record")</f>
        <v/>
      </c>
      <c r="AS432">
        <f>HYPERLINK("https://creighton-primo.hosted.exlibrisgroup.com/primo-explore/search?tab=default_tab&amp;search_scope=EVERYTHING&amp;vid=01CRU&amp;lang=en_US&amp;offset=0&amp;query=any,contains,991004805359702656","Catalog Record")</f>
        <v/>
      </c>
      <c r="AT432">
        <f>HYPERLINK("http://www.worldcat.org/oclc/5240350","WorldCat Record")</f>
        <v/>
      </c>
      <c r="AU432" t="inlineStr">
        <is>
          <t>3810383:eng</t>
        </is>
      </c>
      <c r="AV432" t="inlineStr">
        <is>
          <t>5240350</t>
        </is>
      </c>
      <c r="AW432" t="inlineStr">
        <is>
          <t>991004805359702656</t>
        </is>
      </c>
      <c r="AX432" t="inlineStr">
        <is>
          <t>991004805359702656</t>
        </is>
      </c>
      <c r="AY432" t="inlineStr">
        <is>
          <t>2263151450002656</t>
        </is>
      </c>
      <c r="AZ432" t="inlineStr">
        <is>
          <t>BOOK</t>
        </is>
      </c>
      <c r="BB432" t="inlineStr">
        <is>
          <t>9780151942862</t>
        </is>
      </c>
      <c r="BC432" t="inlineStr">
        <is>
          <t>32285000073170</t>
        </is>
      </c>
      <c r="BD432" t="inlineStr">
        <is>
          <t>893594126</t>
        </is>
      </c>
    </row>
    <row r="433">
      <c r="A433" t="inlineStr">
        <is>
          <t>No</t>
        </is>
      </c>
      <c r="B433" t="inlineStr">
        <is>
          <t>PS3501.U8 A67 1970</t>
        </is>
      </c>
      <c r="C433" t="inlineStr">
        <is>
          <t>0                      PS 3501000U  8                  A  67          1970</t>
        </is>
      </c>
      <c r="D433" t="inlineStr">
        <is>
          <t>The American rhythm; studies and reëxpressions of Amerindian songs.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Austin, Mary, 1868-1934.</t>
        </is>
      </c>
      <c r="L433" t="inlineStr">
        <is>
          <t>New York, Cooper Square Publishers, 1970 [c1930]</t>
        </is>
      </c>
      <c r="M433" t="inlineStr">
        <is>
          <t>1970</t>
        </is>
      </c>
      <c r="N433" t="inlineStr">
        <is>
          <t>New and enl. ed.</t>
        </is>
      </c>
      <c r="O433" t="inlineStr">
        <is>
          <t>eng</t>
        </is>
      </c>
      <c r="P433" t="inlineStr">
        <is>
          <t>nyu</t>
        </is>
      </c>
      <c r="R433" t="inlineStr">
        <is>
          <t xml:space="preserve">PS </t>
        </is>
      </c>
      <c r="S433" t="n">
        <v>3</v>
      </c>
      <c r="T433" t="n">
        <v>3</v>
      </c>
      <c r="U433" t="inlineStr">
        <is>
          <t>2005-11-20</t>
        </is>
      </c>
      <c r="V433" t="inlineStr">
        <is>
          <t>2005-11-20</t>
        </is>
      </c>
      <c r="W433" t="inlineStr">
        <is>
          <t>1997-05-27</t>
        </is>
      </c>
      <c r="X433" t="inlineStr">
        <is>
          <t>1997-05-27</t>
        </is>
      </c>
      <c r="Y433" t="n">
        <v>310</v>
      </c>
      <c r="Z433" t="n">
        <v>280</v>
      </c>
      <c r="AA433" t="n">
        <v>307</v>
      </c>
      <c r="AB433" t="n">
        <v>3</v>
      </c>
      <c r="AC433" t="n">
        <v>3</v>
      </c>
      <c r="AD433" t="n">
        <v>10</v>
      </c>
      <c r="AE433" t="n">
        <v>10</v>
      </c>
      <c r="AF433" t="n">
        <v>2</v>
      </c>
      <c r="AG433" t="n">
        <v>2</v>
      </c>
      <c r="AH433" t="n">
        <v>2</v>
      </c>
      <c r="AI433" t="n">
        <v>2</v>
      </c>
      <c r="AJ433" t="n">
        <v>4</v>
      </c>
      <c r="AK433" t="n">
        <v>4</v>
      </c>
      <c r="AL433" t="n">
        <v>2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HYPERLINK("http://catalog.hathitrust.org/Record/001424971","HathiTrust Record")</f>
        <v/>
      </c>
      <c r="AS433">
        <f>HYPERLINK("https://creighton-primo.hosted.exlibrisgroup.com/primo-explore/search?tab=default_tab&amp;search_scope=EVERYTHING&amp;vid=01CRU&amp;lang=en_US&amp;offset=0&amp;query=any,contains,991000670129702656","Catalog Record")</f>
        <v/>
      </c>
      <c r="AT433">
        <f>HYPERLINK("http://www.worldcat.org/oclc/118696","WorldCat Record")</f>
        <v/>
      </c>
      <c r="AU433" t="inlineStr">
        <is>
          <t>477218:eng</t>
        </is>
      </c>
      <c r="AV433" t="inlineStr">
        <is>
          <t>118696</t>
        </is>
      </c>
      <c r="AW433" t="inlineStr">
        <is>
          <t>991000670129702656</t>
        </is>
      </c>
      <c r="AX433" t="inlineStr">
        <is>
          <t>991000670129702656</t>
        </is>
      </c>
      <c r="AY433" t="inlineStr">
        <is>
          <t>2261655040002656</t>
        </is>
      </c>
      <c r="AZ433" t="inlineStr">
        <is>
          <t>BOOK</t>
        </is>
      </c>
      <c r="BB433" t="inlineStr">
        <is>
          <t>9780815403678</t>
        </is>
      </c>
      <c r="BC433" t="inlineStr">
        <is>
          <t>32285002718830</t>
        </is>
      </c>
      <c r="BD433" t="inlineStr">
        <is>
          <t>893595770</t>
        </is>
      </c>
    </row>
    <row r="434">
      <c r="A434" t="inlineStr">
        <is>
          <t>No</t>
        </is>
      </c>
      <c r="B434" t="inlineStr">
        <is>
          <t>PS3501.U8 Z59 1983</t>
        </is>
      </c>
      <c r="C434" t="inlineStr">
        <is>
          <t>0                      PS 3501000U  8                  Z  59          1983</t>
        </is>
      </c>
      <c r="D434" t="inlineStr">
        <is>
          <t>I-Mary, a biography of Mary Austin / Augusta Fink.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Fink, Augusta.</t>
        </is>
      </c>
      <c r="L434" t="inlineStr">
        <is>
          <t>Tucson, Ariz. : University of Arizona Press, c1983.</t>
        </is>
      </c>
      <c r="M434" t="inlineStr">
        <is>
          <t>1983</t>
        </is>
      </c>
      <c r="O434" t="inlineStr">
        <is>
          <t>eng</t>
        </is>
      </c>
      <c r="P434" t="inlineStr">
        <is>
          <t>azu</t>
        </is>
      </c>
      <c r="R434" t="inlineStr">
        <is>
          <t xml:space="preserve">PS </t>
        </is>
      </c>
      <c r="S434" t="n">
        <v>4</v>
      </c>
      <c r="T434" t="n">
        <v>4</v>
      </c>
      <c r="U434" t="inlineStr">
        <is>
          <t>2005-11-20</t>
        </is>
      </c>
      <c r="V434" t="inlineStr">
        <is>
          <t>2005-11-20</t>
        </is>
      </c>
      <c r="W434" t="inlineStr">
        <is>
          <t>1990-11-02</t>
        </is>
      </c>
      <c r="X434" t="inlineStr">
        <is>
          <t>1990-11-02</t>
        </is>
      </c>
      <c r="Y434" t="n">
        <v>561</v>
      </c>
      <c r="Z434" t="n">
        <v>516</v>
      </c>
      <c r="AA434" t="n">
        <v>523</v>
      </c>
      <c r="AB434" t="n">
        <v>4</v>
      </c>
      <c r="AC434" t="n">
        <v>4</v>
      </c>
      <c r="AD434" t="n">
        <v>15</v>
      </c>
      <c r="AE434" t="n">
        <v>15</v>
      </c>
      <c r="AF434" t="n">
        <v>6</v>
      </c>
      <c r="AG434" t="n">
        <v>6</v>
      </c>
      <c r="AH434" t="n">
        <v>4</v>
      </c>
      <c r="AI434" t="n">
        <v>4</v>
      </c>
      <c r="AJ434" t="n">
        <v>6</v>
      </c>
      <c r="AK434" t="n">
        <v>6</v>
      </c>
      <c r="AL434" t="n">
        <v>2</v>
      </c>
      <c r="AM434" t="n">
        <v>2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HYPERLINK("http://catalog.hathitrust.org/Record/000198572","HathiTrust Record")</f>
        <v/>
      </c>
      <c r="AS434">
        <f>HYPERLINK("https://creighton-primo.hosted.exlibrisgroup.com/primo-explore/search?tab=default_tab&amp;search_scope=EVERYTHING&amp;vid=01CRU&amp;lang=en_US&amp;offset=0&amp;query=any,contains,991000123899702656","Catalog Record")</f>
        <v/>
      </c>
      <c r="AT434">
        <f>HYPERLINK("http://www.worldcat.org/oclc/9081799","WorldCat Record")</f>
        <v/>
      </c>
      <c r="AU434" t="inlineStr">
        <is>
          <t>43508643:eng</t>
        </is>
      </c>
      <c r="AV434" t="inlineStr">
        <is>
          <t>9081799</t>
        </is>
      </c>
      <c r="AW434" t="inlineStr">
        <is>
          <t>991000123899702656</t>
        </is>
      </c>
      <c r="AX434" t="inlineStr">
        <is>
          <t>991000123899702656</t>
        </is>
      </c>
      <c r="AY434" t="inlineStr">
        <is>
          <t>2256141230002656</t>
        </is>
      </c>
      <c r="AZ434" t="inlineStr">
        <is>
          <t>BOOK</t>
        </is>
      </c>
      <c r="BB434" t="inlineStr">
        <is>
          <t>9780816507894</t>
        </is>
      </c>
      <c r="BC434" t="inlineStr">
        <is>
          <t>32285000375997</t>
        </is>
      </c>
      <c r="BD434" t="inlineStr">
        <is>
          <t>893230889</t>
        </is>
      </c>
    </row>
    <row r="435">
      <c r="A435" t="inlineStr">
        <is>
          <t>No</t>
        </is>
      </c>
      <c r="B435" t="inlineStr">
        <is>
          <t>PS3501.U8 Z7</t>
        </is>
      </c>
      <c r="C435" t="inlineStr">
        <is>
          <t>0                      PS 3501000U  8                  Z  7</t>
        </is>
      </c>
      <c r="D435" t="inlineStr">
        <is>
          <t>Mary Hunter Austin / by T. M. Pearce.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Pearce, T. M. (Thomas Matthews), 1902-1986.</t>
        </is>
      </c>
      <c r="L435" t="inlineStr">
        <is>
          <t>New York : Twayne Publishers, [1966, c1965]</t>
        </is>
      </c>
      <c r="M435" t="inlineStr">
        <is>
          <t>1966</t>
        </is>
      </c>
      <c r="O435" t="inlineStr">
        <is>
          <t>eng</t>
        </is>
      </c>
      <c r="P435" t="inlineStr">
        <is>
          <t>nyu</t>
        </is>
      </c>
      <c r="Q435" t="inlineStr">
        <is>
          <t>Twayne's United States authors series ; TUSAS 92</t>
        </is>
      </c>
      <c r="R435" t="inlineStr">
        <is>
          <t xml:space="preserve">PS </t>
        </is>
      </c>
      <c r="S435" t="n">
        <v>6</v>
      </c>
      <c r="T435" t="n">
        <v>6</v>
      </c>
      <c r="U435" t="inlineStr">
        <is>
          <t>1999-01-04</t>
        </is>
      </c>
      <c r="V435" t="inlineStr">
        <is>
          <t>1999-01-04</t>
        </is>
      </c>
      <c r="W435" t="inlineStr">
        <is>
          <t>1994-09-27</t>
        </is>
      </c>
      <c r="X435" t="inlineStr">
        <is>
          <t>1994-09-27</t>
        </is>
      </c>
      <c r="Y435" t="n">
        <v>877</v>
      </c>
      <c r="Z435" t="n">
        <v>834</v>
      </c>
      <c r="AA435" t="n">
        <v>977</v>
      </c>
      <c r="AB435" t="n">
        <v>8</v>
      </c>
      <c r="AC435" t="n">
        <v>10</v>
      </c>
      <c r="AD435" t="n">
        <v>34</v>
      </c>
      <c r="AE435" t="n">
        <v>42</v>
      </c>
      <c r="AF435" t="n">
        <v>9</v>
      </c>
      <c r="AG435" t="n">
        <v>14</v>
      </c>
      <c r="AH435" t="n">
        <v>7</v>
      </c>
      <c r="AI435" t="n">
        <v>7</v>
      </c>
      <c r="AJ435" t="n">
        <v>21</v>
      </c>
      <c r="AK435" t="n">
        <v>22</v>
      </c>
      <c r="AL435" t="n">
        <v>6</v>
      </c>
      <c r="AM435" t="n">
        <v>8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HYPERLINK("https://creighton-primo.hosted.exlibrisgroup.com/primo-explore/search?tab=default_tab&amp;search_scope=EVERYTHING&amp;vid=01CRU&amp;lang=en_US&amp;offset=0&amp;query=any,contains,991002189669702656","Catalog Record")</f>
        <v/>
      </c>
      <c r="AT435">
        <f>HYPERLINK("http://www.worldcat.org/oclc/280878","WorldCat Record")</f>
        <v/>
      </c>
      <c r="AU435" t="inlineStr">
        <is>
          <t>1427908:eng</t>
        </is>
      </c>
      <c r="AV435" t="inlineStr">
        <is>
          <t>280878</t>
        </is>
      </c>
      <c r="AW435" t="inlineStr">
        <is>
          <t>991002189669702656</t>
        </is>
      </c>
      <c r="AX435" t="inlineStr">
        <is>
          <t>991002189669702656</t>
        </is>
      </c>
      <c r="AY435" t="inlineStr">
        <is>
          <t>2267761100002656</t>
        </is>
      </c>
      <c r="AZ435" t="inlineStr">
        <is>
          <t>BOOK</t>
        </is>
      </c>
      <c r="BC435" t="inlineStr">
        <is>
          <t>32285001952463</t>
        </is>
      </c>
      <c r="BD435" t="inlineStr">
        <is>
          <t>893516994</t>
        </is>
      </c>
    </row>
    <row r="436">
      <c r="A436" t="inlineStr">
        <is>
          <t>No</t>
        </is>
      </c>
      <c r="B436" t="inlineStr">
        <is>
          <t>PS3503.A648 H4</t>
        </is>
      </c>
      <c r="C436" t="inlineStr">
        <is>
          <t>0                      PS 3503000A  648                H  4</t>
        </is>
      </c>
      <c r="D436" t="inlineStr">
        <is>
          <t>Here come the clowns, a play in three acts, by Philip Barry.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Barry, Philip, 1896-1949.</t>
        </is>
      </c>
      <c r="L436" t="inlineStr">
        <is>
          <t>New York, Coward-McCann [c1939]</t>
        </is>
      </c>
      <c r="M436" t="inlineStr">
        <is>
          <t>1939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PS </t>
        </is>
      </c>
      <c r="S436" t="n">
        <v>4</v>
      </c>
      <c r="T436" t="n">
        <v>4</v>
      </c>
      <c r="U436" t="inlineStr">
        <is>
          <t>1998-07-09</t>
        </is>
      </c>
      <c r="V436" t="inlineStr">
        <is>
          <t>1998-07-09</t>
        </is>
      </c>
      <c r="W436" t="inlineStr">
        <is>
          <t>1997-05-28</t>
        </is>
      </c>
      <c r="X436" t="inlineStr">
        <is>
          <t>1997-05-28</t>
        </is>
      </c>
      <c r="Y436" t="n">
        <v>207</v>
      </c>
      <c r="Z436" t="n">
        <v>200</v>
      </c>
      <c r="AA436" t="n">
        <v>203</v>
      </c>
      <c r="AB436" t="n">
        <v>2</v>
      </c>
      <c r="AC436" t="n">
        <v>2</v>
      </c>
      <c r="AD436" t="n">
        <v>5</v>
      </c>
      <c r="AE436" t="n">
        <v>5</v>
      </c>
      <c r="AF436" t="n">
        <v>0</v>
      </c>
      <c r="AG436" t="n">
        <v>0</v>
      </c>
      <c r="AH436" t="n">
        <v>1</v>
      </c>
      <c r="AI436" t="n">
        <v>1</v>
      </c>
      <c r="AJ436" t="n">
        <v>4</v>
      </c>
      <c r="AK436" t="n">
        <v>4</v>
      </c>
      <c r="AL436" t="n">
        <v>1</v>
      </c>
      <c r="AM436" t="n">
        <v>1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R436">
        <f>HYPERLINK("http://catalog.hathitrust.org/Record/001397928","HathiTrust Record")</f>
        <v/>
      </c>
      <c r="AS436">
        <f>HYPERLINK("https://creighton-primo.hosted.exlibrisgroup.com/primo-explore/search?tab=default_tab&amp;search_scope=EVERYTHING&amp;vid=01CRU&amp;lang=en_US&amp;offset=0&amp;query=any,contains,991003905529702656","Catalog Record")</f>
        <v/>
      </c>
      <c r="AT436">
        <f>HYPERLINK("http://www.worldcat.org/oclc/1836666","WorldCat Record")</f>
        <v/>
      </c>
      <c r="AU436" t="inlineStr">
        <is>
          <t>2753869:eng</t>
        </is>
      </c>
      <c r="AV436" t="inlineStr">
        <is>
          <t>1836666</t>
        </is>
      </c>
      <c r="AW436" t="inlineStr">
        <is>
          <t>991003905529702656</t>
        </is>
      </c>
      <c r="AX436" t="inlineStr">
        <is>
          <t>991003905529702656</t>
        </is>
      </c>
      <c r="AY436" t="inlineStr">
        <is>
          <t>2257501090002656</t>
        </is>
      </c>
      <c r="AZ436" t="inlineStr">
        <is>
          <t>BOOK</t>
        </is>
      </c>
      <c r="BC436" t="inlineStr">
        <is>
          <t>32285002719069</t>
        </is>
      </c>
      <c r="BD436" t="inlineStr">
        <is>
          <t>893318558</t>
        </is>
      </c>
    </row>
    <row r="437">
      <c r="A437" t="inlineStr">
        <is>
          <t>No</t>
        </is>
      </c>
      <c r="B437" t="inlineStr">
        <is>
          <t>PS3503.A774 S4</t>
        </is>
      </c>
      <c r="C437" t="inlineStr">
        <is>
          <t>0                      PS 3503000A  774                S  4</t>
        </is>
      </c>
      <c r="D437" t="inlineStr">
        <is>
          <t>The shadows of the images.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Barrett, William E. (William Edmund), 1900-1986.</t>
        </is>
      </c>
      <c r="L437" t="inlineStr">
        <is>
          <t>Garden City, N.Y., Doubleday, 1953.</t>
        </is>
      </c>
      <c r="M437" t="inlineStr">
        <is>
          <t>1953</t>
        </is>
      </c>
      <c r="N437" t="inlineStr">
        <is>
          <t>[1st ed.]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PS </t>
        </is>
      </c>
      <c r="S437" t="n">
        <v>1</v>
      </c>
      <c r="T437" t="n">
        <v>1</v>
      </c>
      <c r="U437" t="inlineStr">
        <is>
          <t>2001-04-11</t>
        </is>
      </c>
      <c r="V437" t="inlineStr">
        <is>
          <t>2001-04-11</t>
        </is>
      </c>
      <c r="W437" t="inlineStr">
        <is>
          <t>1997-05-28</t>
        </is>
      </c>
      <c r="X437" t="inlineStr">
        <is>
          <t>1997-05-28</t>
        </is>
      </c>
      <c r="Y437" t="n">
        <v>215</v>
      </c>
      <c r="Z437" t="n">
        <v>211</v>
      </c>
      <c r="AA437" t="n">
        <v>223</v>
      </c>
      <c r="AB437" t="n">
        <v>3</v>
      </c>
      <c r="AC437" t="n">
        <v>3</v>
      </c>
      <c r="AD437" t="n">
        <v>11</v>
      </c>
      <c r="AE437" t="n">
        <v>11</v>
      </c>
      <c r="AF437" t="n">
        <v>4</v>
      </c>
      <c r="AG437" t="n">
        <v>4</v>
      </c>
      <c r="AH437" t="n">
        <v>3</v>
      </c>
      <c r="AI437" t="n">
        <v>3</v>
      </c>
      <c r="AJ437" t="n">
        <v>6</v>
      </c>
      <c r="AK437" t="n">
        <v>6</v>
      </c>
      <c r="AL437" t="n">
        <v>0</v>
      </c>
      <c r="AM437" t="n">
        <v>0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HYPERLINK("http://catalog.hathitrust.org/Record/009383110","HathiTrust Record")</f>
        <v/>
      </c>
      <c r="AS437">
        <f>HYPERLINK("https://creighton-primo.hosted.exlibrisgroup.com/primo-explore/search?tab=default_tab&amp;search_scope=EVERYTHING&amp;vid=01CRU&amp;lang=en_US&amp;offset=0&amp;query=any,contains,991003749699702656","Catalog Record")</f>
        <v/>
      </c>
      <c r="AT437">
        <f>HYPERLINK("http://www.worldcat.org/oclc/1424079","WorldCat Record")</f>
        <v/>
      </c>
      <c r="AU437" t="inlineStr">
        <is>
          <t>135998161:eng</t>
        </is>
      </c>
      <c r="AV437" t="inlineStr">
        <is>
          <t>1424079</t>
        </is>
      </c>
      <c r="AW437" t="inlineStr">
        <is>
          <t>991003749699702656</t>
        </is>
      </c>
      <c r="AX437" t="inlineStr">
        <is>
          <t>991003749699702656</t>
        </is>
      </c>
      <c r="AY437" t="inlineStr">
        <is>
          <t>2271982660002656</t>
        </is>
      </c>
      <c r="AZ437" t="inlineStr">
        <is>
          <t>BOOK</t>
        </is>
      </c>
      <c r="BC437" t="inlineStr">
        <is>
          <t>32285002719168</t>
        </is>
      </c>
      <c r="BD437" t="inlineStr">
        <is>
          <t>893793978</t>
        </is>
      </c>
    </row>
    <row r="438">
      <c r="A438" t="inlineStr">
        <is>
          <t>No</t>
        </is>
      </c>
      <c r="B438" t="inlineStr">
        <is>
          <t>PS3503.E4488 Z6</t>
        </is>
      </c>
      <c r="C438" t="inlineStr">
        <is>
          <t>0                      PS 3503000E  4488               Z  6</t>
        </is>
      </c>
      <c r="D438" t="inlineStr">
        <is>
          <t>Saul Bellow: in defense of man.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Clayton, John Jacob.</t>
        </is>
      </c>
      <c r="L438" t="inlineStr">
        <is>
          <t>Bloomington, Indiana University Press [1968]</t>
        </is>
      </c>
      <c r="M438" t="inlineStr">
        <is>
          <t>1968</t>
        </is>
      </c>
      <c r="O438" t="inlineStr">
        <is>
          <t>eng</t>
        </is>
      </c>
      <c r="P438" t="inlineStr">
        <is>
          <t>inu</t>
        </is>
      </c>
      <c r="R438" t="inlineStr">
        <is>
          <t xml:space="preserve">PS </t>
        </is>
      </c>
      <c r="S438" t="n">
        <v>3</v>
      </c>
      <c r="T438" t="n">
        <v>3</v>
      </c>
      <c r="U438" t="inlineStr">
        <is>
          <t>2004-02-04</t>
        </is>
      </c>
      <c r="V438" t="inlineStr">
        <is>
          <t>2004-02-04</t>
        </is>
      </c>
      <c r="W438" t="inlineStr">
        <is>
          <t>1992-02-26</t>
        </is>
      </c>
      <c r="X438" t="inlineStr">
        <is>
          <t>1992-02-26</t>
        </is>
      </c>
      <c r="Y438" t="n">
        <v>1186</v>
      </c>
      <c r="Z438" t="n">
        <v>1042</v>
      </c>
      <c r="AA438" t="n">
        <v>1426</v>
      </c>
      <c r="AB438" t="n">
        <v>6</v>
      </c>
      <c r="AC438" t="n">
        <v>13</v>
      </c>
      <c r="AD438" t="n">
        <v>45</v>
      </c>
      <c r="AE438" t="n">
        <v>59</v>
      </c>
      <c r="AF438" t="n">
        <v>16</v>
      </c>
      <c r="AG438" t="n">
        <v>24</v>
      </c>
      <c r="AH438" t="n">
        <v>11</v>
      </c>
      <c r="AI438" t="n">
        <v>11</v>
      </c>
      <c r="AJ438" t="n">
        <v>25</v>
      </c>
      <c r="AK438" t="n">
        <v>26</v>
      </c>
      <c r="AL438" t="n">
        <v>5</v>
      </c>
      <c r="AM438" t="n">
        <v>11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HYPERLINK("http://catalog.hathitrust.org/Record/000427226","HathiTrust Record")</f>
        <v/>
      </c>
      <c r="AS438">
        <f>HYPERLINK("https://creighton-primo.hosted.exlibrisgroup.com/primo-explore/search?tab=default_tab&amp;search_scope=EVERYTHING&amp;vid=01CRU&amp;lang=en_US&amp;offset=0&amp;query=any,contains,991000937869702656","Catalog Record")</f>
        <v/>
      </c>
      <c r="AT438">
        <f>HYPERLINK("http://www.worldcat.org/oclc/165536","WorldCat Record")</f>
        <v/>
      </c>
      <c r="AU438" t="inlineStr">
        <is>
          <t>1282673:eng</t>
        </is>
      </c>
      <c r="AV438" t="inlineStr">
        <is>
          <t>165536</t>
        </is>
      </c>
      <c r="AW438" t="inlineStr">
        <is>
          <t>991000937869702656</t>
        </is>
      </c>
      <c r="AX438" t="inlineStr">
        <is>
          <t>991000937869702656</t>
        </is>
      </c>
      <c r="AY438" t="inlineStr">
        <is>
          <t>2269813810002656</t>
        </is>
      </c>
      <c r="AZ438" t="inlineStr">
        <is>
          <t>BOOK</t>
        </is>
      </c>
      <c r="BC438" t="inlineStr">
        <is>
          <t>32285000949114</t>
        </is>
      </c>
      <c r="BD438" t="inlineStr">
        <is>
          <t>893432451</t>
        </is>
      </c>
    </row>
    <row r="439">
      <c r="A439" t="inlineStr">
        <is>
          <t>No</t>
        </is>
      </c>
      <c r="B439" t="inlineStr">
        <is>
          <t>PS3503.E4488 Z66 1982</t>
        </is>
      </c>
      <c r="C439" t="inlineStr">
        <is>
          <t>0                      PS 3503000E  4488               Z  66          1982</t>
        </is>
      </c>
      <c r="D439" t="inlineStr">
        <is>
          <t>Saul Bellow / by Robert R. Dutton.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Yes</t>
        </is>
      </c>
      <c r="J439" t="inlineStr">
        <is>
          <t>0</t>
        </is>
      </c>
      <c r="K439" t="inlineStr">
        <is>
          <t>Dutton, Robert R.</t>
        </is>
      </c>
      <c r="L439" t="inlineStr">
        <is>
          <t>Boston : Twayne, c1982.</t>
        </is>
      </c>
      <c r="M439" t="inlineStr">
        <is>
          <t>1982</t>
        </is>
      </c>
      <c r="N439" t="inlineStr">
        <is>
          <t>Rev. ed.</t>
        </is>
      </c>
      <c r="O439" t="inlineStr">
        <is>
          <t>eng</t>
        </is>
      </c>
      <c r="P439" t="inlineStr">
        <is>
          <t>mau</t>
        </is>
      </c>
      <c r="Q439" t="inlineStr">
        <is>
          <t>Twayne's United States authors series ; TUSAS 420</t>
        </is>
      </c>
      <c r="R439" t="inlineStr">
        <is>
          <t xml:space="preserve">PS </t>
        </is>
      </c>
      <c r="S439" t="n">
        <v>2</v>
      </c>
      <c r="T439" t="n">
        <v>2</v>
      </c>
      <c r="U439" t="inlineStr">
        <is>
          <t>1992-10-14</t>
        </is>
      </c>
      <c r="V439" t="inlineStr">
        <is>
          <t>1992-10-14</t>
        </is>
      </c>
      <c r="W439" t="inlineStr">
        <is>
          <t>1990-11-05</t>
        </is>
      </c>
      <c r="X439" t="inlineStr">
        <is>
          <t>1990-11-05</t>
        </is>
      </c>
      <c r="Y439" t="n">
        <v>991</v>
      </c>
      <c r="Z439" t="n">
        <v>882</v>
      </c>
      <c r="AA439" t="n">
        <v>1871</v>
      </c>
      <c r="AB439" t="n">
        <v>7</v>
      </c>
      <c r="AC439" t="n">
        <v>14</v>
      </c>
      <c r="AD439" t="n">
        <v>31</v>
      </c>
      <c r="AE439" t="n">
        <v>54</v>
      </c>
      <c r="AF439" t="n">
        <v>13</v>
      </c>
      <c r="AG439" t="n">
        <v>22</v>
      </c>
      <c r="AH439" t="n">
        <v>4</v>
      </c>
      <c r="AI439" t="n">
        <v>10</v>
      </c>
      <c r="AJ439" t="n">
        <v>15</v>
      </c>
      <c r="AK439" t="n">
        <v>23</v>
      </c>
      <c r="AL439" t="n">
        <v>5</v>
      </c>
      <c r="AM439" t="n">
        <v>10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HYPERLINK("http://catalog.hathitrust.org/Record/000267336","HathiTrust Record")</f>
        <v/>
      </c>
      <c r="AS439">
        <f>HYPERLINK("https://creighton-primo.hosted.exlibrisgroup.com/primo-explore/search?tab=default_tab&amp;search_scope=EVERYTHING&amp;vid=01CRU&amp;lang=en_US&amp;offset=0&amp;query=any,contains,991005154369702656","Catalog Record")</f>
        <v/>
      </c>
      <c r="AT439">
        <f>HYPERLINK("http://www.worldcat.org/oclc/7737845","WorldCat Record")</f>
        <v/>
      </c>
      <c r="AU439" t="inlineStr">
        <is>
          <t>3768413945:eng</t>
        </is>
      </c>
      <c r="AV439" t="inlineStr">
        <is>
          <t>7737845</t>
        </is>
      </c>
      <c r="AW439" t="inlineStr">
        <is>
          <t>991005154369702656</t>
        </is>
      </c>
      <c r="AX439" t="inlineStr">
        <is>
          <t>991005154369702656</t>
        </is>
      </c>
      <c r="AY439" t="inlineStr">
        <is>
          <t>2257234870002656</t>
        </is>
      </c>
      <c r="AZ439" t="inlineStr">
        <is>
          <t>BOOK</t>
        </is>
      </c>
      <c r="BB439" t="inlineStr">
        <is>
          <t>9780805773538</t>
        </is>
      </c>
      <c r="BC439" t="inlineStr">
        <is>
          <t>32285000376151</t>
        </is>
      </c>
      <c r="BD439" t="inlineStr">
        <is>
          <t>893320119</t>
        </is>
      </c>
    </row>
    <row r="440">
      <c r="A440" t="inlineStr">
        <is>
          <t>No</t>
        </is>
      </c>
      <c r="B440" t="inlineStr">
        <is>
          <t>PS3503.E4488 Z665 1984</t>
        </is>
      </c>
      <c r="C440" t="inlineStr">
        <is>
          <t>0                      PS 3503000E  4488               Z  665         1984</t>
        </is>
      </c>
      <c r="D440" t="inlineStr">
        <is>
          <t>Saul Bellow, vision and revision / Daniel Fuchs.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Fuchs, Daniel, 1934-</t>
        </is>
      </c>
      <c r="L440" t="inlineStr">
        <is>
          <t>Durham, N.C. : Duke University Press, 1984.</t>
        </is>
      </c>
      <c r="M440" t="inlineStr">
        <is>
          <t>1984</t>
        </is>
      </c>
      <c r="O440" t="inlineStr">
        <is>
          <t>eng</t>
        </is>
      </c>
      <c r="P440" t="inlineStr">
        <is>
          <t>ncu</t>
        </is>
      </c>
      <c r="R440" t="inlineStr">
        <is>
          <t xml:space="preserve">PS </t>
        </is>
      </c>
      <c r="S440" t="n">
        <v>5</v>
      </c>
      <c r="T440" t="n">
        <v>5</v>
      </c>
      <c r="U440" t="inlineStr">
        <is>
          <t>1994-04-14</t>
        </is>
      </c>
      <c r="V440" t="inlineStr">
        <is>
          <t>1994-04-14</t>
        </is>
      </c>
      <c r="W440" t="inlineStr">
        <is>
          <t>1990-11-05</t>
        </is>
      </c>
      <c r="X440" t="inlineStr">
        <is>
          <t>1990-11-05</t>
        </is>
      </c>
      <c r="Y440" t="n">
        <v>963</v>
      </c>
      <c r="Z440" t="n">
        <v>832</v>
      </c>
      <c r="AA440" t="n">
        <v>839</v>
      </c>
      <c r="AB440" t="n">
        <v>9</v>
      </c>
      <c r="AC440" t="n">
        <v>9</v>
      </c>
      <c r="AD440" t="n">
        <v>45</v>
      </c>
      <c r="AE440" t="n">
        <v>45</v>
      </c>
      <c r="AF440" t="n">
        <v>20</v>
      </c>
      <c r="AG440" t="n">
        <v>20</v>
      </c>
      <c r="AH440" t="n">
        <v>9</v>
      </c>
      <c r="AI440" t="n">
        <v>9</v>
      </c>
      <c r="AJ440" t="n">
        <v>20</v>
      </c>
      <c r="AK440" t="n">
        <v>20</v>
      </c>
      <c r="AL440" t="n">
        <v>8</v>
      </c>
      <c r="AM440" t="n">
        <v>8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HYPERLINK("http://catalog.hathitrust.org/Record/000241971","HathiTrust Record")</f>
        <v/>
      </c>
      <c r="AS440">
        <f>HYPERLINK("https://creighton-primo.hosted.exlibrisgroup.com/primo-explore/search?tab=default_tab&amp;search_scope=EVERYTHING&amp;vid=01CRU&amp;lang=en_US&amp;offset=0&amp;query=any,contains,991000209039702656","Catalog Record")</f>
        <v/>
      </c>
      <c r="AT440">
        <f>HYPERLINK("http://www.worldcat.org/oclc/9532821","WorldCat Record")</f>
        <v/>
      </c>
      <c r="AU440" t="inlineStr">
        <is>
          <t>43682465:eng</t>
        </is>
      </c>
      <c r="AV440" t="inlineStr">
        <is>
          <t>9532821</t>
        </is>
      </c>
      <c r="AW440" t="inlineStr">
        <is>
          <t>991000209039702656</t>
        </is>
      </c>
      <c r="AX440" t="inlineStr">
        <is>
          <t>991000209039702656</t>
        </is>
      </c>
      <c r="AY440" t="inlineStr">
        <is>
          <t>2262285220002656</t>
        </is>
      </c>
      <c r="AZ440" t="inlineStr">
        <is>
          <t>BOOK</t>
        </is>
      </c>
      <c r="BB440" t="inlineStr">
        <is>
          <t>9780822305033</t>
        </is>
      </c>
      <c r="BC440" t="inlineStr">
        <is>
          <t>32285000376169</t>
        </is>
      </c>
      <c r="BD440" t="inlineStr">
        <is>
          <t>893320905</t>
        </is>
      </c>
    </row>
    <row r="441">
      <c r="A441" t="inlineStr">
        <is>
          <t>No</t>
        </is>
      </c>
      <c r="B441" t="inlineStr">
        <is>
          <t>PS3503.E4488 Z67 1983</t>
        </is>
      </c>
      <c r="C441" t="inlineStr">
        <is>
          <t>0                      PS 3503000E  4488               Z  67          1983</t>
        </is>
      </c>
      <c r="D441" t="inlineStr">
        <is>
          <t>Saul Bellow's moral vision : a critical study of the Jewish experience / by L.H. Goldman.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Goldman, L. H.</t>
        </is>
      </c>
      <c r="L441" t="inlineStr">
        <is>
          <t>New York, N.Y. : Irvington Publishers, c1983.</t>
        </is>
      </c>
      <c r="M441" t="inlineStr">
        <is>
          <t>1983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PS </t>
        </is>
      </c>
      <c r="S441" t="n">
        <v>2</v>
      </c>
      <c r="T441" t="n">
        <v>2</v>
      </c>
      <c r="U441" t="inlineStr">
        <is>
          <t>1992-02-17</t>
        </is>
      </c>
      <c r="V441" t="inlineStr">
        <is>
          <t>1992-02-17</t>
        </is>
      </c>
      <c r="W441" t="inlineStr">
        <is>
          <t>1990-11-05</t>
        </is>
      </c>
      <c r="X441" t="inlineStr">
        <is>
          <t>1990-11-05</t>
        </is>
      </c>
      <c r="Y441" t="n">
        <v>209</v>
      </c>
      <c r="Z441" t="n">
        <v>159</v>
      </c>
      <c r="AA441" t="n">
        <v>160</v>
      </c>
      <c r="AB441" t="n">
        <v>3</v>
      </c>
      <c r="AC441" t="n">
        <v>3</v>
      </c>
      <c r="AD441" t="n">
        <v>8</v>
      </c>
      <c r="AE441" t="n">
        <v>8</v>
      </c>
      <c r="AF441" t="n">
        <v>4</v>
      </c>
      <c r="AG441" t="n">
        <v>4</v>
      </c>
      <c r="AH441" t="n">
        <v>1</v>
      </c>
      <c r="AI441" t="n">
        <v>1</v>
      </c>
      <c r="AJ441" t="n">
        <v>4</v>
      </c>
      <c r="AK441" t="n">
        <v>4</v>
      </c>
      <c r="AL441" t="n">
        <v>2</v>
      </c>
      <c r="AM441" t="n">
        <v>2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HYPERLINK("https://creighton-primo.hosted.exlibrisgroup.com/primo-explore/search?tab=default_tab&amp;search_scope=EVERYTHING&amp;vid=01CRU&amp;lang=en_US&amp;offset=0&amp;query=any,contains,991000045519702656","Catalog Record")</f>
        <v/>
      </c>
      <c r="AT441">
        <f>HYPERLINK("http://www.worldcat.org/oclc/8668559","WorldCat Record")</f>
        <v/>
      </c>
      <c r="AU441" t="inlineStr">
        <is>
          <t>470541312:eng</t>
        </is>
      </c>
      <c r="AV441" t="inlineStr">
        <is>
          <t>8668559</t>
        </is>
      </c>
      <c r="AW441" t="inlineStr">
        <is>
          <t>991000045519702656</t>
        </is>
      </c>
      <c r="AX441" t="inlineStr">
        <is>
          <t>991000045519702656</t>
        </is>
      </c>
      <c r="AY441" t="inlineStr">
        <is>
          <t>2270328300002656</t>
        </is>
      </c>
      <c r="AZ441" t="inlineStr">
        <is>
          <t>BOOK</t>
        </is>
      </c>
      <c r="BB441" t="inlineStr">
        <is>
          <t>9780829010565</t>
        </is>
      </c>
      <c r="BC441" t="inlineStr">
        <is>
          <t>32285000376177</t>
        </is>
      </c>
      <c r="BD441" t="inlineStr">
        <is>
          <t>893255126</t>
        </is>
      </c>
    </row>
    <row r="442">
      <c r="A442" t="inlineStr">
        <is>
          <t>No</t>
        </is>
      </c>
      <c r="B442" t="inlineStr">
        <is>
          <t>PS3503.E4488 Z7 1992</t>
        </is>
      </c>
      <c r="C442" t="inlineStr">
        <is>
          <t>0                      PS 3503000E  4488               Z  7           1992</t>
        </is>
      </c>
      <c r="D442" t="inlineStr">
        <is>
          <t>Saul Bellow / Peter Hyland.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Hyland, Peter.</t>
        </is>
      </c>
      <c r="L442" t="inlineStr">
        <is>
          <t>New York : St. Martin's Press, 1992.</t>
        </is>
      </c>
      <c r="M442" t="inlineStr">
        <is>
          <t>1992</t>
        </is>
      </c>
      <c r="O442" t="inlineStr">
        <is>
          <t>eng</t>
        </is>
      </c>
      <c r="P442" t="inlineStr">
        <is>
          <t>nyu</t>
        </is>
      </c>
      <c r="Q442" t="inlineStr">
        <is>
          <t>Modern novelists</t>
        </is>
      </c>
      <c r="R442" t="inlineStr">
        <is>
          <t xml:space="preserve">PS </t>
        </is>
      </c>
      <c r="S442" t="n">
        <v>2</v>
      </c>
      <c r="T442" t="n">
        <v>2</v>
      </c>
      <c r="U442" t="inlineStr">
        <is>
          <t>1993-11-23</t>
        </is>
      </c>
      <c r="V442" t="inlineStr">
        <is>
          <t>1993-11-23</t>
        </is>
      </c>
      <c r="W442" t="inlineStr">
        <is>
          <t>1993-11-04</t>
        </is>
      </c>
      <c r="X442" t="inlineStr">
        <is>
          <t>1993-11-04</t>
        </is>
      </c>
      <c r="Y442" t="n">
        <v>538</v>
      </c>
      <c r="Z442" t="n">
        <v>473</v>
      </c>
      <c r="AA442" t="n">
        <v>503</v>
      </c>
      <c r="AB442" t="n">
        <v>3</v>
      </c>
      <c r="AC442" t="n">
        <v>3</v>
      </c>
      <c r="AD442" t="n">
        <v>25</v>
      </c>
      <c r="AE442" t="n">
        <v>26</v>
      </c>
      <c r="AF442" t="n">
        <v>9</v>
      </c>
      <c r="AG442" t="n">
        <v>9</v>
      </c>
      <c r="AH442" t="n">
        <v>8</v>
      </c>
      <c r="AI442" t="n">
        <v>9</v>
      </c>
      <c r="AJ442" t="n">
        <v>14</v>
      </c>
      <c r="AK442" t="n">
        <v>15</v>
      </c>
      <c r="AL442" t="n">
        <v>2</v>
      </c>
      <c r="AM442" t="n">
        <v>2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HYPERLINK("https://creighton-primo.hosted.exlibrisgroup.com/primo-explore/search?tab=default_tab&amp;search_scope=EVERYTHING&amp;vid=01CRU&amp;lang=en_US&amp;offset=0&amp;query=any,contains,991001967929702656","Catalog Record")</f>
        <v/>
      </c>
      <c r="AT442">
        <f>HYPERLINK("http://www.worldcat.org/oclc/24952916","WorldCat Record")</f>
        <v/>
      </c>
      <c r="AU442" t="inlineStr">
        <is>
          <t>3856940887:eng</t>
        </is>
      </c>
      <c r="AV442" t="inlineStr">
        <is>
          <t>24952916</t>
        </is>
      </c>
      <c r="AW442" t="inlineStr">
        <is>
          <t>991001967929702656</t>
        </is>
      </c>
      <c r="AX442" t="inlineStr">
        <is>
          <t>991001967929702656</t>
        </is>
      </c>
      <c r="AY442" t="inlineStr">
        <is>
          <t>2267251830002656</t>
        </is>
      </c>
      <c r="AZ442" t="inlineStr">
        <is>
          <t>BOOK</t>
        </is>
      </c>
      <c r="BB442" t="inlineStr">
        <is>
          <t>9780312075989</t>
        </is>
      </c>
      <c r="BC442" t="inlineStr">
        <is>
          <t>32285001810133</t>
        </is>
      </c>
      <c r="BD442" t="inlineStr">
        <is>
          <t>893615526</t>
        </is>
      </c>
    </row>
    <row r="443">
      <c r="A443" t="inlineStr">
        <is>
          <t>No</t>
        </is>
      </c>
      <c r="B443" t="inlineStr">
        <is>
          <t>PS3503.E744 Z56</t>
        </is>
      </c>
      <c r="C443" t="inlineStr">
        <is>
          <t>0                      PS 3503000E  744                Z  56</t>
        </is>
      </c>
      <c r="D443" t="inlineStr">
        <is>
          <t>The poetry of John Berryman / Gary Q. Arpin.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Arpin, Gary Q.</t>
        </is>
      </c>
      <c r="L443" t="inlineStr">
        <is>
          <t>Port Washington, N.Y. : Kennikat Press, 1978.</t>
        </is>
      </c>
      <c r="M443" t="inlineStr">
        <is>
          <t>1978</t>
        </is>
      </c>
      <c r="O443" t="inlineStr">
        <is>
          <t>eng</t>
        </is>
      </c>
      <c r="P443" t="inlineStr">
        <is>
          <t>nyu</t>
        </is>
      </c>
      <c r="Q443" t="inlineStr">
        <is>
          <t>Literary criticism series</t>
        </is>
      </c>
      <c r="R443" t="inlineStr">
        <is>
          <t xml:space="preserve">PS </t>
        </is>
      </c>
      <c r="S443" t="n">
        <v>2</v>
      </c>
      <c r="T443" t="n">
        <v>2</v>
      </c>
      <c r="U443" t="inlineStr">
        <is>
          <t>1999-04-16</t>
        </is>
      </c>
      <c r="V443" t="inlineStr">
        <is>
          <t>1999-04-16</t>
        </is>
      </c>
      <c r="W443" t="inlineStr">
        <is>
          <t>1991-12-11</t>
        </is>
      </c>
      <c r="X443" t="inlineStr">
        <is>
          <t>1991-12-11</t>
        </is>
      </c>
      <c r="Y443" t="n">
        <v>548</v>
      </c>
      <c r="Z443" t="n">
        <v>477</v>
      </c>
      <c r="AA443" t="n">
        <v>487</v>
      </c>
      <c r="AB443" t="n">
        <v>5</v>
      </c>
      <c r="AC443" t="n">
        <v>5</v>
      </c>
      <c r="AD443" t="n">
        <v>20</v>
      </c>
      <c r="AE443" t="n">
        <v>20</v>
      </c>
      <c r="AF443" t="n">
        <v>3</v>
      </c>
      <c r="AG443" t="n">
        <v>3</v>
      </c>
      <c r="AH443" t="n">
        <v>6</v>
      </c>
      <c r="AI443" t="n">
        <v>6</v>
      </c>
      <c r="AJ443" t="n">
        <v>9</v>
      </c>
      <c r="AK443" t="n">
        <v>9</v>
      </c>
      <c r="AL443" t="n">
        <v>4</v>
      </c>
      <c r="AM443" t="n">
        <v>4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HYPERLINK("http://catalog.hathitrust.org/Record/000250280","HathiTrust Record")</f>
        <v/>
      </c>
      <c r="AS443">
        <f>HYPERLINK("https://creighton-primo.hosted.exlibrisgroup.com/primo-explore/search?tab=default_tab&amp;search_scope=EVERYTHING&amp;vid=01CRU&amp;lang=en_US&amp;offset=0&amp;query=any,contains,991004306149702656","Catalog Record")</f>
        <v/>
      </c>
      <c r="AT443">
        <f>HYPERLINK("http://www.worldcat.org/oclc/2983855","WorldCat Record")</f>
        <v/>
      </c>
      <c r="AU443" t="inlineStr">
        <is>
          <t>578697:eng</t>
        </is>
      </c>
      <c r="AV443" t="inlineStr">
        <is>
          <t>2983855</t>
        </is>
      </c>
      <c r="AW443" t="inlineStr">
        <is>
          <t>991004306149702656</t>
        </is>
      </c>
      <c r="AX443" t="inlineStr">
        <is>
          <t>991004306149702656</t>
        </is>
      </c>
      <c r="AY443" t="inlineStr">
        <is>
          <t>2261008260002656</t>
        </is>
      </c>
      <c r="AZ443" t="inlineStr">
        <is>
          <t>BOOK</t>
        </is>
      </c>
      <c r="BB443" t="inlineStr">
        <is>
          <t>9780804692052</t>
        </is>
      </c>
      <c r="BC443" t="inlineStr">
        <is>
          <t>32285000886795</t>
        </is>
      </c>
      <c r="BD443" t="inlineStr">
        <is>
          <t>893712421</t>
        </is>
      </c>
    </row>
    <row r="444">
      <c r="A444" t="inlineStr">
        <is>
          <t>No</t>
        </is>
      </c>
      <c r="B444" t="inlineStr">
        <is>
          <t>PS3503.I785 Z63 1993</t>
        </is>
      </c>
      <c r="C444" t="inlineStr">
        <is>
          <t>0                      PS 3503000I  785                Z  63          1993</t>
        </is>
      </c>
      <c r="D444" t="inlineStr">
        <is>
          <t>Elizabeth Bishop : questions of mastery / Bonnie Costello.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Costello, Bonnie.</t>
        </is>
      </c>
      <c r="L444" t="inlineStr">
        <is>
          <t>Cambridge, Mass. : Harvard University Press, 1993.</t>
        </is>
      </c>
      <c r="M444" t="inlineStr">
        <is>
          <t>1993</t>
        </is>
      </c>
      <c r="N444" t="inlineStr">
        <is>
          <t>1st Harvard University Press pbk. ed.</t>
        </is>
      </c>
      <c r="O444" t="inlineStr">
        <is>
          <t>eng</t>
        </is>
      </c>
      <c r="P444" t="inlineStr">
        <is>
          <t>mau</t>
        </is>
      </c>
      <c r="R444" t="inlineStr">
        <is>
          <t xml:space="preserve">PS </t>
        </is>
      </c>
      <c r="S444" t="n">
        <v>1</v>
      </c>
      <c r="T444" t="n">
        <v>1</v>
      </c>
      <c r="U444" t="inlineStr">
        <is>
          <t>1994-03-16</t>
        </is>
      </c>
      <c r="V444" t="inlineStr">
        <is>
          <t>1994-03-16</t>
        </is>
      </c>
      <c r="W444" t="inlineStr">
        <is>
          <t>1994-01-05</t>
        </is>
      </c>
      <c r="X444" t="inlineStr">
        <is>
          <t>1994-01-05</t>
        </is>
      </c>
      <c r="Y444" t="n">
        <v>65</v>
      </c>
      <c r="Z444" t="n">
        <v>45</v>
      </c>
      <c r="AA444" t="n">
        <v>508</v>
      </c>
      <c r="AB444" t="n">
        <v>1</v>
      </c>
      <c r="AC444" t="n">
        <v>5</v>
      </c>
      <c r="AD444" t="n">
        <v>1</v>
      </c>
      <c r="AE444" t="n">
        <v>26</v>
      </c>
      <c r="AF444" t="n">
        <v>1</v>
      </c>
      <c r="AG444" t="n">
        <v>10</v>
      </c>
      <c r="AH444" t="n">
        <v>0</v>
      </c>
      <c r="AI444" t="n">
        <v>7</v>
      </c>
      <c r="AJ444" t="n">
        <v>0</v>
      </c>
      <c r="AK444" t="n">
        <v>13</v>
      </c>
      <c r="AL444" t="n">
        <v>0</v>
      </c>
      <c r="AM444" t="n">
        <v>3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HYPERLINK("https://creighton-primo.hosted.exlibrisgroup.com/primo-explore/search?tab=default_tab&amp;search_scope=EVERYTHING&amp;vid=01CRU&amp;lang=en_US&amp;offset=0&amp;query=any,contains,991002198479702656","Catalog Record")</f>
        <v/>
      </c>
      <c r="AT444">
        <f>HYPERLINK("http://www.worldcat.org/oclc/28259869","WorldCat Record")</f>
        <v/>
      </c>
      <c r="AU444" t="inlineStr">
        <is>
          <t>836818009:eng</t>
        </is>
      </c>
      <c r="AV444" t="inlineStr">
        <is>
          <t>28259869</t>
        </is>
      </c>
      <c r="AW444" t="inlineStr">
        <is>
          <t>991002198479702656</t>
        </is>
      </c>
      <c r="AX444" t="inlineStr">
        <is>
          <t>991002198479702656</t>
        </is>
      </c>
      <c r="AY444" t="inlineStr">
        <is>
          <t>2260009610002656</t>
        </is>
      </c>
      <c r="AZ444" t="inlineStr">
        <is>
          <t>BOOK</t>
        </is>
      </c>
      <c r="BB444" t="inlineStr">
        <is>
          <t>9780674246904</t>
        </is>
      </c>
      <c r="BC444" t="inlineStr">
        <is>
          <t>32285001819548</t>
        </is>
      </c>
      <c r="BD444" t="inlineStr">
        <is>
          <t>893250931</t>
        </is>
      </c>
    </row>
    <row r="445">
      <c r="A445" t="inlineStr">
        <is>
          <t>No</t>
        </is>
      </c>
      <c r="B445" t="inlineStr">
        <is>
          <t>PS3503.L266 Z59 1980</t>
        </is>
      </c>
      <c r="C445" t="inlineStr">
        <is>
          <t>0                      PS 3503000L  266                Z  59          1980</t>
        </is>
      </c>
      <c r="D445" t="inlineStr">
        <is>
          <t>R.P. Blackmur, poet-critic : toward a view of poetic objects / Robert Boyers.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Boyers, Robert.</t>
        </is>
      </c>
      <c r="L445" t="inlineStr">
        <is>
          <t>Columbia : University of Missouri Press, 1980.</t>
        </is>
      </c>
      <c r="M445" t="inlineStr">
        <is>
          <t>1980</t>
        </is>
      </c>
      <c r="O445" t="inlineStr">
        <is>
          <t>eng</t>
        </is>
      </c>
      <c r="P445" t="inlineStr">
        <is>
          <t>mou</t>
        </is>
      </c>
      <c r="Q445" t="inlineStr">
        <is>
          <t>A Literary frontiers edition</t>
        </is>
      </c>
      <c r="R445" t="inlineStr">
        <is>
          <t xml:space="preserve">PS </t>
        </is>
      </c>
      <c r="S445" t="n">
        <v>1</v>
      </c>
      <c r="T445" t="n">
        <v>1</v>
      </c>
      <c r="U445" t="inlineStr">
        <is>
          <t>2003-09-03</t>
        </is>
      </c>
      <c r="V445" t="inlineStr">
        <is>
          <t>2003-09-03</t>
        </is>
      </c>
      <c r="W445" t="inlineStr">
        <is>
          <t>2003-09-03</t>
        </is>
      </c>
      <c r="X445" t="inlineStr">
        <is>
          <t>2003-09-03</t>
        </is>
      </c>
      <c r="Y445" t="n">
        <v>377</v>
      </c>
      <c r="Z445" t="n">
        <v>318</v>
      </c>
      <c r="AA445" t="n">
        <v>319</v>
      </c>
      <c r="AB445" t="n">
        <v>3</v>
      </c>
      <c r="AC445" t="n">
        <v>3</v>
      </c>
      <c r="AD445" t="n">
        <v>18</v>
      </c>
      <c r="AE445" t="n">
        <v>18</v>
      </c>
      <c r="AF445" t="n">
        <v>4</v>
      </c>
      <c r="AG445" t="n">
        <v>4</v>
      </c>
      <c r="AH445" t="n">
        <v>6</v>
      </c>
      <c r="AI445" t="n">
        <v>6</v>
      </c>
      <c r="AJ445" t="n">
        <v>12</v>
      </c>
      <c r="AK445" t="n">
        <v>12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HYPERLINK("http://catalog.hathitrust.org/Record/000738764","HathiTrust Record")</f>
        <v/>
      </c>
      <c r="AS445">
        <f>HYPERLINK("https://creighton-primo.hosted.exlibrisgroup.com/primo-explore/search?tab=default_tab&amp;search_scope=EVERYTHING&amp;vid=01CRU&amp;lang=en_US&amp;offset=0&amp;query=any,contains,991004113429702656","Catalog Record")</f>
        <v/>
      </c>
      <c r="AT445">
        <f>HYPERLINK("http://www.worldcat.org/oclc/6378751","WorldCat Record")</f>
        <v/>
      </c>
      <c r="AU445" t="inlineStr">
        <is>
          <t>836657584:eng</t>
        </is>
      </c>
      <c r="AV445" t="inlineStr">
        <is>
          <t>6378751</t>
        </is>
      </c>
      <c r="AW445" t="inlineStr">
        <is>
          <t>991004113429702656</t>
        </is>
      </c>
      <c r="AX445" t="inlineStr">
        <is>
          <t>991004113429702656</t>
        </is>
      </c>
      <c r="AY445" t="inlineStr">
        <is>
          <t>2270870650002656</t>
        </is>
      </c>
      <c r="AZ445" t="inlineStr">
        <is>
          <t>BOOK</t>
        </is>
      </c>
      <c r="BB445" t="inlineStr">
        <is>
          <t>9780826203151</t>
        </is>
      </c>
      <c r="BC445" t="inlineStr">
        <is>
          <t>32285004781075</t>
        </is>
      </c>
      <c r="BD445" t="inlineStr">
        <is>
          <t>893228945</t>
        </is>
      </c>
    </row>
    <row r="446">
      <c r="A446" t="inlineStr">
        <is>
          <t>No</t>
        </is>
      </c>
      <c r="B446" t="inlineStr">
        <is>
          <t>PS3503.O9 M3</t>
        </is>
      </c>
      <c r="C446" t="inlineStr">
        <is>
          <t>0                      PS 3503000O  9                  M  3</t>
        </is>
      </c>
      <c r="D446" t="inlineStr">
        <is>
          <t>Mangled hands; a story of the New York Martyrs, with an epilogue by Ignatius W. Cox.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Boyton, Neil, 1884-1956.</t>
        </is>
      </c>
      <c r="L446" t="inlineStr">
        <is>
          <t>New York, Benziger Brothers, 1926.</t>
        </is>
      </c>
      <c r="M446" t="inlineStr">
        <is>
          <t>1926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PS </t>
        </is>
      </c>
      <c r="S446" t="n">
        <v>1</v>
      </c>
      <c r="T446" t="n">
        <v>1</v>
      </c>
      <c r="U446" t="inlineStr">
        <is>
          <t>2002-02-17</t>
        </is>
      </c>
      <c r="V446" t="inlineStr">
        <is>
          <t>2002-02-17</t>
        </is>
      </c>
      <c r="W446" t="inlineStr">
        <is>
          <t>1997-05-29</t>
        </is>
      </c>
      <c r="X446" t="inlineStr">
        <is>
          <t>1997-05-29</t>
        </is>
      </c>
      <c r="Y446" t="n">
        <v>45</v>
      </c>
      <c r="Z446" t="n">
        <v>43</v>
      </c>
      <c r="AA446" t="n">
        <v>43</v>
      </c>
      <c r="AB446" t="n">
        <v>1</v>
      </c>
      <c r="AC446" t="n">
        <v>1</v>
      </c>
      <c r="AD446" t="n">
        <v>11</v>
      </c>
      <c r="AE446" t="n">
        <v>11</v>
      </c>
      <c r="AF446" t="n">
        <v>1</v>
      </c>
      <c r="AG446" t="n">
        <v>1</v>
      </c>
      <c r="AH446" t="n">
        <v>2</v>
      </c>
      <c r="AI446" t="n">
        <v>2</v>
      </c>
      <c r="AJ446" t="n">
        <v>9</v>
      </c>
      <c r="AK446" t="n">
        <v>9</v>
      </c>
      <c r="AL446" t="n">
        <v>0</v>
      </c>
      <c r="AM446" t="n">
        <v>0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HYPERLINK("https://creighton-primo.hosted.exlibrisgroup.com/primo-explore/search?tab=default_tab&amp;search_scope=EVERYTHING&amp;vid=01CRU&amp;lang=en_US&amp;offset=0&amp;query=any,contains,991005042559702656","Catalog Record")</f>
        <v/>
      </c>
      <c r="AT446">
        <f>HYPERLINK("http://www.worldcat.org/oclc/6809764","WorldCat Record")</f>
        <v/>
      </c>
      <c r="AU446" t="inlineStr">
        <is>
          <t>52591620:eng</t>
        </is>
      </c>
      <c r="AV446" t="inlineStr">
        <is>
          <t>6809764</t>
        </is>
      </c>
      <c r="AW446" t="inlineStr">
        <is>
          <t>991005042559702656</t>
        </is>
      </c>
      <c r="AX446" t="inlineStr">
        <is>
          <t>991005042559702656</t>
        </is>
      </c>
      <c r="AY446" t="inlineStr">
        <is>
          <t>2263303040002656</t>
        </is>
      </c>
      <c r="AZ446" t="inlineStr">
        <is>
          <t>BOOK</t>
        </is>
      </c>
      <c r="BC446" t="inlineStr">
        <is>
          <t>32285002780061</t>
        </is>
      </c>
      <c r="BD446" t="inlineStr">
        <is>
          <t>893789345</t>
        </is>
      </c>
    </row>
    <row r="447">
      <c r="A447" t="inlineStr">
        <is>
          <t>No</t>
        </is>
      </c>
      <c r="B447" t="inlineStr">
        <is>
          <t>PS3503.U6134 Z68</t>
        </is>
      </c>
      <c r="C447" t="inlineStr">
        <is>
          <t>0                      PS 3503000U  6134               Z  68</t>
        </is>
      </c>
      <c r="D447" t="inlineStr">
        <is>
          <t>Counterpoint : Kenneth Burke and Aristotle's theories of rhetoric / by L. Virginia Holland.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Holland, Laura Virginia, 1915-</t>
        </is>
      </c>
      <c r="L447" t="inlineStr">
        <is>
          <t>New York : Philosophical Library, [1959]</t>
        </is>
      </c>
      <c r="M447" t="inlineStr">
        <is>
          <t>1959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PS </t>
        </is>
      </c>
      <c r="S447" t="n">
        <v>5</v>
      </c>
      <c r="T447" t="n">
        <v>5</v>
      </c>
      <c r="U447" t="inlineStr">
        <is>
          <t>1998-02-09</t>
        </is>
      </c>
      <c r="V447" t="inlineStr">
        <is>
          <t>1998-02-09</t>
        </is>
      </c>
      <c r="W447" t="inlineStr">
        <is>
          <t>1991-08-27</t>
        </is>
      </c>
      <c r="X447" t="inlineStr">
        <is>
          <t>1991-08-27</t>
        </is>
      </c>
      <c r="Y447" t="n">
        <v>247</v>
      </c>
      <c r="Z447" t="n">
        <v>235</v>
      </c>
      <c r="AA447" t="n">
        <v>258</v>
      </c>
      <c r="AB447" t="n">
        <v>3</v>
      </c>
      <c r="AC447" t="n">
        <v>4</v>
      </c>
      <c r="AD447" t="n">
        <v>14</v>
      </c>
      <c r="AE447" t="n">
        <v>16</v>
      </c>
      <c r="AF447" t="n">
        <v>4</v>
      </c>
      <c r="AG447" t="n">
        <v>5</v>
      </c>
      <c r="AH447" t="n">
        <v>3</v>
      </c>
      <c r="AI447" t="n">
        <v>4</v>
      </c>
      <c r="AJ447" t="n">
        <v>8</v>
      </c>
      <c r="AK447" t="n">
        <v>8</v>
      </c>
      <c r="AL447" t="n">
        <v>2</v>
      </c>
      <c r="AM447" t="n">
        <v>3</v>
      </c>
      <c r="AN447" t="n">
        <v>0</v>
      </c>
      <c r="AO447" t="n">
        <v>0</v>
      </c>
      <c r="AP447" t="inlineStr">
        <is>
          <t>Yes</t>
        </is>
      </c>
      <c r="AQ447" t="inlineStr">
        <is>
          <t>No</t>
        </is>
      </c>
      <c r="AR447">
        <f>HYPERLINK("http://catalog.hathitrust.org/Record/000586611","HathiTrust Record")</f>
        <v/>
      </c>
      <c r="AS447">
        <f>HYPERLINK("https://creighton-primo.hosted.exlibrisgroup.com/primo-explore/search?tab=default_tab&amp;search_scope=EVERYTHING&amp;vid=01CRU&amp;lang=en_US&amp;offset=0&amp;query=any,contains,991003894449702656","Catalog Record")</f>
        <v/>
      </c>
      <c r="AT447">
        <f>HYPERLINK("http://www.worldcat.org/oclc/1805558","WorldCat Record")</f>
        <v/>
      </c>
      <c r="AU447" t="inlineStr">
        <is>
          <t>2544224:eng</t>
        </is>
      </c>
      <c r="AV447" t="inlineStr">
        <is>
          <t>1805558</t>
        </is>
      </c>
      <c r="AW447" t="inlineStr">
        <is>
          <t>991003894449702656</t>
        </is>
      </c>
      <c r="AX447" t="inlineStr">
        <is>
          <t>991003894449702656</t>
        </is>
      </c>
      <c r="AY447" t="inlineStr">
        <is>
          <t>2269781790002656</t>
        </is>
      </c>
      <c r="AZ447" t="inlineStr">
        <is>
          <t>BOOK</t>
        </is>
      </c>
      <c r="BC447" t="inlineStr">
        <is>
          <t>32285000699313</t>
        </is>
      </c>
      <c r="BD447" t="inlineStr">
        <is>
          <t>893875430</t>
        </is>
      </c>
    </row>
    <row r="448">
      <c r="A448" t="inlineStr">
        <is>
          <t>No</t>
        </is>
      </c>
      <c r="B448" t="inlineStr">
        <is>
          <t>PS3503.U687 Z69 1986</t>
        </is>
      </c>
      <c r="C448" t="inlineStr">
        <is>
          <t>0                      PS 3503000U  687                Z  69          1986</t>
        </is>
      </c>
      <c r="D448" t="inlineStr">
        <is>
          <t>Edgar Rice Burroughs / by Erling B. Holtsmark.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Holtsmark, Erling B., 1936-</t>
        </is>
      </c>
      <c r="L448" t="inlineStr">
        <is>
          <t>Boston : Twayne Publishers, c1986.</t>
        </is>
      </c>
      <c r="M448" t="inlineStr">
        <is>
          <t>1986</t>
        </is>
      </c>
      <c r="O448" t="inlineStr">
        <is>
          <t>eng</t>
        </is>
      </c>
      <c r="P448" t="inlineStr">
        <is>
          <t>mau</t>
        </is>
      </c>
      <c r="Q448" t="inlineStr">
        <is>
          <t>Twayne's United States authors series ; TUSAS 499</t>
        </is>
      </c>
      <c r="R448" t="inlineStr">
        <is>
          <t xml:space="preserve">PS </t>
        </is>
      </c>
      <c r="S448" t="n">
        <v>1</v>
      </c>
      <c r="T448" t="n">
        <v>1</v>
      </c>
      <c r="U448" t="inlineStr">
        <is>
          <t>2005-03-03</t>
        </is>
      </c>
      <c r="V448" t="inlineStr">
        <is>
          <t>2005-03-03</t>
        </is>
      </c>
      <c r="W448" t="inlineStr">
        <is>
          <t>1990-11-05</t>
        </is>
      </c>
      <c r="X448" t="inlineStr">
        <is>
          <t>1990-11-05</t>
        </is>
      </c>
      <c r="Y448" t="n">
        <v>896</v>
      </c>
      <c r="Z448" t="n">
        <v>810</v>
      </c>
      <c r="AA448" t="n">
        <v>901</v>
      </c>
      <c r="AB448" t="n">
        <v>6</v>
      </c>
      <c r="AC448" t="n">
        <v>6</v>
      </c>
      <c r="AD448" t="n">
        <v>22</v>
      </c>
      <c r="AE448" t="n">
        <v>24</v>
      </c>
      <c r="AF448" t="n">
        <v>6</v>
      </c>
      <c r="AG448" t="n">
        <v>7</v>
      </c>
      <c r="AH448" t="n">
        <v>3</v>
      </c>
      <c r="AI448" t="n">
        <v>3</v>
      </c>
      <c r="AJ448" t="n">
        <v>15</v>
      </c>
      <c r="AK448" t="n">
        <v>16</v>
      </c>
      <c r="AL448" t="n">
        <v>5</v>
      </c>
      <c r="AM448" t="n">
        <v>5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HYPERLINK("http://catalog.hathitrust.org/Record/004553150","HathiTrust Record")</f>
        <v/>
      </c>
      <c r="AS448">
        <f>HYPERLINK("https://creighton-primo.hosted.exlibrisgroup.com/primo-explore/search?tab=default_tab&amp;search_scope=EVERYTHING&amp;vid=01CRU&amp;lang=en_US&amp;offset=0&amp;query=any,contains,991000759159702656","Catalog Record")</f>
        <v/>
      </c>
      <c r="AT448">
        <f>HYPERLINK("http://www.worldcat.org/oclc/12971110","WorldCat Record")</f>
        <v/>
      </c>
      <c r="AU448" t="inlineStr">
        <is>
          <t>5583049:eng</t>
        </is>
      </c>
      <c r="AV448" t="inlineStr">
        <is>
          <t>12971110</t>
        </is>
      </c>
      <c r="AW448" t="inlineStr">
        <is>
          <t>991000759159702656</t>
        </is>
      </c>
      <c r="AX448" t="inlineStr">
        <is>
          <t>991000759159702656</t>
        </is>
      </c>
      <c r="AY448" t="inlineStr">
        <is>
          <t>2268226090002656</t>
        </is>
      </c>
      <c r="AZ448" t="inlineStr">
        <is>
          <t>BOOK</t>
        </is>
      </c>
      <c r="BB448" t="inlineStr">
        <is>
          <t>9780805774597</t>
        </is>
      </c>
      <c r="BC448" t="inlineStr">
        <is>
          <t>32285000376631</t>
        </is>
      </c>
      <c r="BD448" t="inlineStr">
        <is>
          <t>893521987</t>
        </is>
      </c>
    </row>
    <row r="449">
      <c r="A449" t="inlineStr">
        <is>
          <t>No</t>
        </is>
      </c>
      <c r="B449" t="inlineStr">
        <is>
          <t>PS3505.A322 Z56 1984</t>
        </is>
      </c>
      <c r="C449" t="inlineStr">
        <is>
          <t>0                      PS 3505000A  322                Z  56          1984</t>
        </is>
      </c>
      <c r="D449" t="inlineStr">
        <is>
          <t>Erskine Caldwell / by James E. Devlin.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Devlin, James E., 1938-</t>
        </is>
      </c>
      <c r="L449" t="inlineStr">
        <is>
          <t>Boston : Twayne, c1984.</t>
        </is>
      </c>
      <c r="M449" t="inlineStr">
        <is>
          <t>1984</t>
        </is>
      </c>
      <c r="O449" t="inlineStr">
        <is>
          <t>eng</t>
        </is>
      </c>
      <c r="P449" t="inlineStr">
        <is>
          <t>mau</t>
        </is>
      </c>
      <c r="Q449" t="inlineStr">
        <is>
          <t>Twayne's United States authors series ; TUSAS 469</t>
        </is>
      </c>
      <c r="R449" t="inlineStr">
        <is>
          <t xml:space="preserve">PS </t>
        </is>
      </c>
      <c r="S449" t="n">
        <v>1</v>
      </c>
      <c r="T449" t="n">
        <v>1</v>
      </c>
      <c r="U449" t="inlineStr">
        <is>
          <t>2004-01-20</t>
        </is>
      </c>
      <c r="V449" t="inlineStr">
        <is>
          <t>2004-01-20</t>
        </is>
      </c>
      <c r="W449" t="inlineStr">
        <is>
          <t>1990-11-05</t>
        </is>
      </c>
      <c r="X449" t="inlineStr">
        <is>
          <t>1990-11-05</t>
        </is>
      </c>
      <c r="Y449" t="n">
        <v>931</v>
      </c>
      <c r="Z449" t="n">
        <v>846</v>
      </c>
      <c r="AA449" t="n">
        <v>974</v>
      </c>
      <c r="AB449" t="n">
        <v>5</v>
      </c>
      <c r="AC449" t="n">
        <v>7</v>
      </c>
      <c r="AD449" t="n">
        <v>32</v>
      </c>
      <c r="AE449" t="n">
        <v>35</v>
      </c>
      <c r="AF449" t="n">
        <v>14</v>
      </c>
      <c r="AG449" t="n">
        <v>14</v>
      </c>
      <c r="AH449" t="n">
        <v>5</v>
      </c>
      <c r="AI449" t="n">
        <v>5</v>
      </c>
      <c r="AJ449" t="n">
        <v>18</v>
      </c>
      <c r="AK449" t="n">
        <v>19</v>
      </c>
      <c r="AL449" t="n">
        <v>4</v>
      </c>
      <c r="AM449" t="n">
        <v>6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HYPERLINK("http://catalog.hathitrust.org/Record/000121003","HathiTrust Record")</f>
        <v/>
      </c>
      <c r="AS449">
        <f>HYPERLINK("https://creighton-primo.hosted.exlibrisgroup.com/primo-explore/search?tab=default_tab&amp;search_scope=EVERYTHING&amp;vid=01CRU&amp;lang=en_US&amp;offset=0&amp;query=any,contains,991000348529702656","Catalog Record")</f>
        <v/>
      </c>
      <c r="AT449">
        <f>HYPERLINK("http://www.worldcat.org/oclc/10299477","WorldCat Record")</f>
        <v/>
      </c>
      <c r="AU449" t="inlineStr">
        <is>
          <t>3787409:eng</t>
        </is>
      </c>
      <c r="AV449" t="inlineStr">
        <is>
          <t>10299477</t>
        </is>
      </c>
      <c r="AW449" t="inlineStr">
        <is>
          <t>991000348529702656</t>
        </is>
      </c>
      <c r="AX449" t="inlineStr">
        <is>
          <t>991000348529702656</t>
        </is>
      </c>
      <c r="AY449" t="inlineStr">
        <is>
          <t>2255403660002656</t>
        </is>
      </c>
      <c r="AZ449" t="inlineStr">
        <is>
          <t>BOOK</t>
        </is>
      </c>
      <c r="BB449" t="inlineStr">
        <is>
          <t>9780805774108</t>
        </is>
      </c>
      <c r="BC449" t="inlineStr">
        <is>
          <t>32285000376672</t>
        </is>
      </c>
      <c r="BD449" t="inlineStr">
        <is>
          <t>893777865</t>
        </is>
      </c>
    </row>
    <row r="450">
      <c r="A450" t="inlineStr">
        <is>
          <t>No</t>
        </is>
      </c>
      <c r="B450" t="inlineStr">
        <is>
          <t>PS3505.A53157 B36</t>
        </is>
      </c>
      <c r="C450" t="inlineStr">
        <is>
          <t>0                      PS 3505000A  53157              B  36</t>
        </is>
      </c>
      <c r="D450" t="inlineStr">
        <is>
          <t>Bad seed : a play in two acts / by Maxwell Anderson.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Anderson, Maxwell, 1888-1959.</t>
        </is>
      </c>
      <c r="L450" t="inlineStr">
        <is>
          <t>New York : Dodd, Mead, c1955.</t>
        </is>
      </c>
      <c r="M450" t="inlineStr">
        <is>
          <t>1955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PS </t>
        </is>
      </c>
      <c r="S450" t="n">
        <v>3</v>
      </c>
      <c r="T450" t="n">
        <v>3</v>
      </c>
      <c r="U450" t="inlineStr">
        <is>
          <t>2004-12-08</t>
        </is>
      </c>
      <c r="V450" t="inlineStr">
        <is>
          <t>2004-12-08</t>
        </is>
      </c>
      <c r="W450" t="inlineStr">
        <is>
          <t>1997-05-29</t>
        </is>
      </c>
      <c r="X450" t="inlineStr">
        <is>
          <t>1997-05-29</t>
        </is>
      </c>
      <c r="Y450" t="n">
        <v>460</v>
      </c>
      <c r="Z450" t="n">
        <v>445</v>
      </c>
      <c r="AA450" t="n">
        <v>643</v>
      </c>
      <c r="AB450" t="n">
        <v>3</v>
      </c>
      <c r="AC450" t="n">
        <v>5</v>
      </c>
      <c r="AD450" t="n">
        <v>19</v>
      </c>
      <c r="AE450" t="n">
        <v>23</v>
      </c>
      <c r="AF450" t="n">
        <v>9</v>
      </c>
      <c r="AG450" t="n">
        <v>11</v>
      </c>
      <c r="AH450" t="n">
        <v>2</v>
      </c>
      <c r="AI450" t="n">
        <v>3</v>
      </c>
      <c r="AJ450" t="n">
        <v>9</v>
      </c>
      <c r="AK450" t="n">
        <v>10</v>
      </c>
      <c r="AL450" t="n">
        <v>2</v>
      </c>
      <c r="AM450" t="n">
        <v>3</v>
      </c>
      <c r="AN450" t="n">
        <v>0</v>
      </c>
      <c r="AO450" t="n">
        <v>0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HYPERLINK("https://creighton-primo.hosted.exlibrisgroup.com/primo-explore/search?tab=default_tab&amp;search_scope=EVERYTHING&amp;vid=01CRU&amp;lang=en_US&amp;offset=0&amp;query=any,contains,991002195279702656","Catalog Record")</f>
        <v/>
      </c>
      <c r="AT450">
        <f>HYPERLINK("http://www.worldcat.org/oclc/282757","WorldCat Record")</f>
        <v/>
      </c>
      <c r="AU450" t="inlineStr">
        <is>
          <t>3855426496:eng</t>
        </is>
      </c>
      <c r="AV450" t="inlineStr">
        <is>
          <t>282757</t>
        </is>
      </c>
      <c r="AW450" t="inlineStr">
        <is>
          <t>991002195279702656</t>
        </is>
      </c>
      <c r="AX450" t="inlineStr">
        <is>
          <t>991002195279702656</t>
        </is>
      </c>
      <c r="AY450" t="inlineStr">
        <is>
          <t>2266342580002656</t>
        </is>
      </c>
      <c r="AZ450" t="inlineStr">
        <is>
          <t>BOOK</t>
        </is>
      </c>
      <c r="BC450" t="inlineStr">
        <is>
          <t>32285002780806</t>
        </is>
      </c>
      <c r="BD450" t="inlineStr">
        <is>
          <t>893773318</t>
        </is>
      </c>
    </row>
    <row r="451">
      <c r="A451" t="inlineStr">
        <is>
          <t>No</t>
        </is>
      </c>
      <c r="B451" t="inlineStr">
        <is>
          <t>PS3505.A56 G7</t>
        </is>
      </c>
      <c r="C451" t="inlineStr">
        <is>
          <t>0                      PS 3505000A  56                 G  7</t>
        </is>
      </c>
      <c r="D451" t="inlineStr">
        <is>
          <t>Grotesques and other reflections, by Mary Cass Canfield.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Canfield, Mary Cass.</t>
        </is>
      </c>
      <c r="L451" t="inlineStr">
        <is>
          <t>New York and London, Harper &amp; Brothers, c1927.</t>
        </is>
      </c>
      <c r="M451" t="inlineStr">
        <is>
          <t>1927</t>
        </is>
      </c>
      <c r="O451" t="inlineStr">
        <is>
          <t>eng</t>
        </is>
      </c>
      <c r="P451" t="inlineStr">
        <is>
          <t>nyu</t>
        </is>
      </c>
      <c r="R451" t="inlineStr">
        <is>
          <t xml:space="preserve">PS </t>
        </is>
      </c>
      <c r="S451" t="n">
        <v>1</v>
      </c>
      <c r="T451" t="n">
        <v>1</v>
      </c>
      <c r="U451" t="inlineStr">
        <is>
          <t>1998-03-23</t>
        </is>
      </c>
      <c r="V451" t="inlineStr">
        <is>
          <t>1998-03-23</t>
        </is>
      </c>
      <c r="W451" t="inlineStr">
        <is>
          <t>1997-05-30</t>
        </is>
      </c>
      <c r="X451" t="inlineStr">
        <is>
          <t>1997-05-30</t>
        </is>
      </c>
      <c r="Y451" t="n">
        <v>137</v>
      </c>
      <c r="Z451" t="n">
        <v>126</v>
      </c>
      <c r="AA451" t="n">
        <v>128</v>
      </c>
      <c r="AB451" t="n">
        <v>1</v>
      </c>
      <c r="AC451" t="n">
        <v>1</v>
      </c>
      <c r="AD451" t="n">
        <v>1</v>
      </c>
      <c r="AE451" t="n">
        <v>1</v>
      </c>
      <c r="AF451" t="n">
        <v>0</v>
      </c>
      <c r="AG451" t="n">
        <v>0</v>
      </c>
      <c r="AH451" t="n">
        <v>1</v>
      </c>
      <c r="AI451" t="n">
        <v>1</v>
      </c>
      <c r="AJ451" t="n">
        <v>1</v>
      </c>
      <c r="AK451" t="n">
        <v>1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HYPERLINK("http://catalog.hathitrust.org/Record/006154560","HathiTrust Record")</f>
        <v/>
      </c>
      <c r="AS451">
        <f>HYPERLINK("https://creighton-primo.hosted.exlibrisgroup.com/primo-explore/search?tab=default_tab&amp;search_scope=EVERYTHING&amp;vid=01CRU&amp;lang=en_US&amp;offset=0&amp;query=any,contains,991003769059702656","Catalog Record")</f>
        <v/>
      </c>
      <c r="AT451">
        <f>HYPERLINK("http://www.worldcat.org/oclc/1466140","WorldCat Record")</f>
        <v/>
      </c>
      <c r="AU451" t="inlineStr">
        <is>
          <t>3768409039:eng</t>
        </is>
      </c>
      <c r="AV451" t="inlineStr">
        <is>
          <t>1466140</t>
        </is>
      </c>
      <c r="AW451" t="inlineStr">
        <is>
          <t>991003769059702656</t>
        </is>
      </c>
      <c r="AX451" t="inlineStr">
        <is>
          <t>991003769059702656</t>
        </is>
      </c>
      <c r="AY451" t="inlineStr">
        <is>
          <t>2258396820002656</t>
        </is>
      </c>
      <c r="AZ451" t="inlineStr">
        <is>
          <t>BOOK</t>
        </is>
      </c>
      <c r="BC451" t="inlineStr">
        <is>
          <t>32285002780814</t>
        </is>
      </c>
      <c r="BD451" t="inlineStr">
        <is>
          <t>893429190</t>
        </is>
      </c>
    </row>
    <row r="452">
      <c r="A452" t="inlineStr">
        <is>
          <t>No</t>
        </is>
      </c>
      <c r="B452" t="inlineStr">
        <is>
          <t>PS3505.A59 Z59 1988</t>
        </is>
      </c>
      <c r="C452" t="inlineStr">
        <is>
          <t>0                      PS 3505000A  59                 Z  59          1988</t>
        </is>
      </c>
      <c r="D452" t="inlineStr">
        <is>
          <t>Truman Capote : dear heart, old buddy / John Malcolm Brinnin.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Brinnin, John Malcolm, 1916-1998.</t>
        </is>
      </c>
      <c r="L452" t="inlineStr">
        <is>
          <t>New York, N.Y. : Delta /SeymourLawrence, c1988.</t>
        </is>
      </c>
      <c r="M452" t="inlineStr">
        <is>
          <t>1988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PS </t>
        </is>
      </c>
      <c r="S452" t="n">
        <v>2</v>
      </c>
      <c r="T452" t="n">
        <v>2</v>
      </c>
      <c r="U452" t="inlineStr">
        <is>
          <t>2003-10-15</t>
        </is>
      </c>
      <c r="V452" t="inlineStr">
        <is>
          <t>2003-10-15</t>
        </is>
      </c>
      <c r="W452" t="inlineStr">
        <is>
          <t>2003-10-15</t>
        </is>
      </c>
      <c r="X452" t="inlineStr">
        <is>
          <t>2003-10-15</t>
        </is>
      </c>
      <c r="Y452" t="n">
        <v>41</v>
      </c>
      <c r="Z452" t="n">
        <v>38</v>
      </c>
      <c r="AA452" t="n">
        <v>717</v>
      </c>
      <c r="AB452" t="n">
        <v>1</v>
      </c>
      <c r="AC452" t="n">
        <v>5</v>
      </c>
      <c r="AD452" t="n">
        <v>3</v>
      </c>
      <c r="AE452" t="n">
        <v>20</v>
      </c>
      <c r="AF452" t="n">
        <v>1</v>
      </c>
      <c r="AG452" t="n">
        <v>10</v>
      </c>
      <c r="AH452" t="n">
        <v>0</v>
      </c>
      <c r="AI452" t="n">
        <v>5</v>
      </c>
      <c r="AJ452" t="n">
        <v>3</v>
      </c>
      <c r="AK452" t="n">
        <v>12</v>
      </c>
      <c r="AL452" t="n">
        <v>0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HYPERLINK("https://creighton-primo.hosted.exlibrisgroup.com/primo-explore/search?tab=default_tab&amp;search_scope=EVERYTHING&amp;vid=01CRU&amp;lang=en_US&amp;offset=0&amp;query=any,contains,991004162159702656","Catalog Record")</f>
        <v/>
      </c>
      <c r="AT452">
        <f>HYPERLINK("http://www.worldcat.org/oclc/18043218","WorldCat Record")</f>
        <v/>
      </c>
      <c r="AU452" t="inlineStr">
        <is>
          <t>7246521:eng</t>
        </is>
      </c>
      <c r="AV452" t="inlineStr">
        <is>
          <t>18043218</t>
        </is>
      </c>
      <c r="AW452" t="inlineStr">
        <is>
          <t>991004162159702656</t>
        </is>
      </c>
      <c r="AX452" t="inlineStr">
        <is>
          <t>991004162159702656</t>
        </is>
      </c>
      <c r="AY452" t="inlineStr">
        <is>
          <t>2264028580002656</t>
        </is>
      </c>
      <c r="AZ452" t="inlineStr">
        <is>
          <t>BOOK</t>
        </is>
      </c>
      <c r="BB452" t="inlineStr">
        <is>
          <t>9780385296212</t>
        </is>
      </c>
      <c r="BC452" t="inlineStr">
        <is>
          <t>32285004788518</t>
        </is>
      </c>
      <c r="BD452" t="inlineStr">
        <is>
          <t>893605702</t>
        </is>
      </c>
    </row>
    <row r="453">
      <c r="A453" t="inlineStr">
        <is>
          <t>No</t>
        </is>
      </c>
      <c r="B453" t="inlineStr">
        <is>
          <t>PS3505.A64 Q4 1922</t>
        </is>
      </c>
      <c r="C453" t="inlineStr">
        <is>
          <t>0                      PS 3505000A  64                 Q  4           1922</t>
        </is>
      </c>
      <c r="D453" t="inlineStr">
        <is>
          <t>Queen Victoria; a play in seven episodes, by David Carb and Walter Prichard Eaton.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Carb, David, 1885-</t>
        </is>
      </c>
      <c r="L453" t="inlineStr">
        <is>
          <t>New York, Dutton [1922]</t>
        </is>
      </c>
      <c r="M453" t="inlineStr">
        <is>
          <t>1922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PS </t>
        </is>
      </c>
      <c r="S453" t="n">
        <v>1</v>
      </c>
      <c r="T453" t="n">
        <v>1</v>
      </c>
      <c r="U453" t="inlineStr">
        <is>
          <t>1999-02-03</t>
        </is>
      </c>
      <c r="V453" t="inlineStr">
        <is>
          <t>1999-02-03</t>
        </is>
      </c>
      <c r="W453" t="inlineStr">
        <is>
          <t>1997-05-30</t>
        </is>
      </c>
      <c r="X453" t="inlineStr">
        <is>
          <t>1997-05-30</t>
        </is>
      </c>
      <c r="Y453" t="n">
        <v>129</v>
      </c>
      <c r="Z453" t="n">
        <v>121</v>
      </c>
      <c r="AA453" t="n">
        <v>137</v>
      </c>
      <c r="AB453" t="n">
        <v>2</v>
      </c>
      <c r="AC453" t="n">
        <v>2</v>
      </c>
      <c r="AD453" t="n">
        <v>2</v>
      </c>
      <c r="AE453" t="n">
        <v>3</v>
      </c>
      <c r="AF453" t="n">
        <v>1</v>
      </c>
      <c r="AG453" t="n">
        <v>1</v>
      </c>
      <c r="AH453" t="n">
        <v>0</v>
      </c>
      <c r="AI453" t="n">
        <v>1</v>
      </c>
      <c r="AJ453" t="n">
        <v>0</v>
      </c>
      <c r="AK453" t="n">
        <v>0</v>
      </c>
      <c r="AL453" t="n">
        <v>1</v>
      </c>
      <c r="AM453" t="n">
        <v>1</v>
      </c>
      <c r="AN453" t="n">
        <v>0</v>
      </c>
      <c r="AO453" t="n">
        <v>0</v>
      </c>
      <c r="AP453" t="inlineStr">
        <is>
          <t>Yes</t>
        </is>
      </c>
      <c r="AQ453" t="inlineStr">
        <is>
          <t>No</t>
        </is>
      </c>
      <c r="AR453">
        <f>HYPERLINK("http://catalog.hathitrust.org/Record/007653043","HathiTrust Record")</f>
        <v/>
      </c>
      <c r="AS453">
        <f>HYPERLINK("https://creighton-primo.hosted.exlibrisgroup.com/primo-explore/search?tab=default_tab&amp;search_scope=EVERYTHING&amp;vid=01CRU&amp;lang=en_US&amp;offset=0&amp;query=any,contains,991001913659702656","Catalog Record")</f>
        <v/>
      </c>
      <c r="AT453">
        <f>HYPERLINK("http://www.worldcat.org/oclc/242931","WorldCat Record")</f>
        <v/>
      </c>
      <c r="AU453" t="inlineStr">
        <is>
          <t>429948436:eng</t>
        </is>
      </c>
      <c r="AV453" t="inlineStr">
        <is>
          <t>242931</t>
        </is>
      </c>
      <c r="AW453" t="inlineStr">
        <is>
          <t>991001913659702656</t>
        </is>
      </c>
      <c r="AX453" t="inlineStr">
        <is>
          <t>991001913659702656</t>
        </is>
      </c>
      <c r="AY453" t="inlineStr">
        <is>
          <t>2269525920002656</t>
        </is>
      </c>
      <c r="AZ453" t="inlineStr">
        <is>
          <t>BOOK</t>
        </is>
      </c>
      <c r="BC453" t="inlineStr">
        <is>
          <t>32285002780822</t>
        </is>
      </c>
      <c r="BD453" t="inlineStr">
        <is>
          <t>893891930</t>
        </is>
      </c>
    </row>
    <row r="454">
      <c r="A454" t="inlineStr">
        <is>
          <t>No</t>
        </is>
      </c>
      <c r="B454" t="inlineStr">
        <is>
          <t>PS3505.A7 N6</t>
        </is>
      </c>
      <c r="C454" t="inlineStr">
        <is>
          <t>0                      PS 3505000A  7                  N  6</t>
        </is>
      </c>
      <c r="D454" t="inlineStr">
        <is>
          <t>Nothing for tigers : poems, 1959-1964.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Carruth, Hayden, 1921-2008.</t>
        </is>
      </c>
      <c r="L454" t="inlineStr">
        <is>
          <t>New York : Macmillan, [1965]</t>
        </is>
      </c>
      <c r="M454" t="inlineStr">
        <is>
          <t>1965</t>
        </is>
      </c>
      <c r="O454" t="inlineStr">
        <is>
          <t>eng</t>
        </is>
      </c>
      <c r="P454" t="inlineStr">
        <is>
          <t>nyu</t>
        </is>
      </c>
      <c r="R454" t="inlineStr">
        <is>
          <t xml:space="preserve">PS </t>
        </is>
      </c>
      <c r="S454" t="n">
        <v>1</v>
      </c>
      <c r="T454" t="n">
        <v>1</v>
      </c>
      <c r="U454" t="inlineStr">
        <is>
          <t>2005-11-07</t>
        </is>
      </c>
      <c r="V454" t="inlineStr">
        <is>
          <t>2005-11-07</t>
        </is>
      </c>
      <c r="W454" t="inlineStr">
        <is>
          <t>1990-08-06</t>
        </is>
      </c>
      <c r="X454" t="inlineStr">
        <is>
          <t>1990-08-06</t>
        </is>
      </c>
      <c r="Y454" t="n">
        <v>353</v>
      </c>
      <c r="Z454" t="n">
        <v>325</v>
      </c>
      <c r="AA454" t="n">
        <v>333</v>
      </c>
      <c r="AB454" t="n">
        <v>3</v>
      </c>
      <c r="AC454" t="n">
        <v>3</v>
      </c>
      <c r="AD454" t="n">
        <v>8</v>
      </c>
      <c r="AE454" t="n">
        <v>8</v>
      </c>
      <c r="AF454" t="n">
        <v>1</v>
      </c>
      <c r="AG454" t="n">
        <v>1</v>
      </c>
      <c r="AH454" t="n">
        <v>3</v>
      </c>
      <c r="AI454" t="n">
        <v>3</v>
      </c>
      <c r="AJ454" t="n">
        <v>4</v>
      </c>
      <c r="AK454" t="n">
        <v>4</v>
      </c>
      <c r="AL454" t="n">
        <v>2</v>
      </c>
      <c r="AM454" t="n">
        <v>2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HYPERLINK("http://catalog.hathitrust.org/Record/000624268","HathiTrust Record")</f>
        <v/>
      </c>
      <c r="AS454">
        <f>HYPERLINK("https://creighton-primo.hosted.exlibrisgroup.com/primo-explore/search?tab=default_tab&amp;search_scope=EVERYTHING&amp;vid=01CRU&amp;lang=en_US&amp;offset=0&amp;query=any,contains,991002195579702656","Catalog Record")</f>
        <v/>
      </c>
      <c r="AT454">
        <f>HYPERLINK("http://www.worldcat.org/oclc/282806","WorldCat Record")</f>
        <v/>
      </c>
      <c r="AU454" t="inlineStr">
        <is>
          <t>317758368:eng</t>
        </is>
      </c>
      <c r="AV454" t="inlineStr">
        <is>
          <t>282806</t>
        </is>
      </c>
      <c r="AW454" t="inlineStr">
        <is>
          <t>991002195579702656</t>
        </is>
      </c>
      <c r="AX454" t="inlineStr">
        <is>
          <t>991002195579702656</t>
        </is>
      </c>
      <c r="AY454" t="inlineStr">
        <is>
          <t>2266359010002656</t>
        </is>
      </c>
      <c r="AZ454" t="inlineStr">
        <is>
          <t>BOOK</t>
        </is>
      </c>
      <c r="BC454" t="inlineStr">
        <is>
          <t>32285000253749</t>
        </is>
      </c>
      <c r="BD454" t="inlineStr">
        <is>
          <t>893603294</t>
        </is>
      </c>
    </row>
    <row r="455">
      <c r="A455" t="inlineStr">
        <is>
          <t>No</t>
        </is>
      </c>
      <c r="B455" t="inlineStr">
        <is>
          <t>PS3505.A774 E9</t>
        </is>
      </c>
      <c r="C455" t="inlineStr">
        <is>
          <t>0                      PS 3505000A  774                E  9</t>
        </is>
      </c>
      <c r="D455" t="inlineStr">
        <is>
          <t>Experiment perilous, by Margaret Carpenter.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Carpenter, Margaret, 1893-</t>
        </is>
      </c>
      <c r="L455" t="inlineStr">
        <is>
          <t>Boston, Little, Brown and Company, 1943.</t>
        </is>
      </c>
      <c r="M455" t="inlineStr">
        <is>
          <t>1943</t>
        </is>
      </c>
      <c r="O455" t="inlineStr">
        <is>
          <t>eng</t>
        </is>
      </c>
      <c r="P455" t="inlineStr">
        <is>
          <t>mau</t>
        </is>
      </c>
      <c r="R455" t="inlineStr">
        <is>
          <t xml:space="preserve">PS </t>
        </is>
      </c>
      <c r="S455" t="n">
        <v>1</v>
      </c>
      <c r="T455" t="n">
        <v>1</v>
      </c>
      <c r="U455" t="inlineStr">
        <is>
          <t>2004-11-03</t>
        </is>
      </c>
      <c r="V455" t="inlineStr">
        <is>
          <t>2004-11-03</t>
        </is>
      </c>
      <c r="W455" t="inlineStr">
        <is>
          <t>1997-05-30</t>
        </is>
      </c>
      <c r="X455" t="inlineStr">
        <is>
          <t>1997-05-30</t>
        </is>
      </c>
      <c r="Y455" t="n">
        <v>207</v>
      </c>
      <c r="Z455" t="n">
        <v>201</v>
      </c>
      <c r="AA455" t="n">
        <v>226</v>
      </c>
      <c r="AB455" t="n">
        <v>2</v>
      </c>
      <c r="AC455" t="n">
        <v>2</v>
      </c>
      <c r="AD455" t="n">
        <v>3</v>
      </c>
      <c r="AE455" t="n">
        <v>3</v>
      </c>
      <c r="AF455" t="n">
        <v>0</v>
      </c>
      <c r="AG455" t="n">
        <v>0</v>
      </c>
      <c r="AH455" t="n">
        <v>0</v>
      </c>
      <c r="AI455" t="n">
        <v>0</v>
      </c>
      <c r="AJ455" t="n">
        <v>2</v>
      </c>
      <c r="AK455" t="n">
        <v>2</v>
      </c>
      <c r="AL455" t="n">
        <v>1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HYPERLINK("http://catalog.hathitrust.org/Record/000625622","HathiTrust Record")</f>
        <v/>
      </c>
      <c r="AS455">
        <f>HYPERLINK("https://creighton-primo.hosted.exlibrisgroup.com/primo-explore/search?tab=default_tab&amp;search_scope=EVERYTHING&amp;vid=01CRU&amp;lang=en_US&amp;offset=0&amp;query=any,contains,991003751089702656","Catalog Record")</f>
        <v/>
      </c>
      <c r="AT455">
        <f>HYPERLINK("http://www.worldcat.org/oclc/1427502","WorldCat Record")</f>
        <v/>
      </c>
      <c r="AU455" t="inlineStr">
        <is>
          <t>3036826:eng</t>
        </is>
      </c>
      <c r="AV455" t="inlineStr">
        <is>
          <t>1427502</t>
        </is>
      </c>
      <c r="AW455" t="inlineStr">
        <is>
          <t>991003751089702656</t>
        </is>
      </c>
      <c r="AX455" t="inlineStr">
        <is>
          <t>991003751089702656</t>
        </is>
      </c>
      <c r="AY455" t="inlineStr">
        <is>
          <t>2262920290002656</t>
        </is>
      </c>
      <c r="AZ455" t="inlineStr">
        <is>
          <t>BOOK</t>
        </is>
      </c>
      <c r="BC455" t="inlineStr">
        <is>
          <t>32285002780871</t>
        </is>
      </c>
      <c r="BD455" t="inlineStr">
        <is>
          <t>893793980</t>
        </is>
      </c>
    </row>
    <row r="456">
      <c r="A456" t="inlineStr">
        <is>
          <t>No</t>
        </is>
      </c>
      <c r="B456" t="inlineStr">
        <is>
          <t>PS3505.A77533 A8</t>
        </is>
      </c>
      <c r="C456" t="inlineStr">
        <is>
          <t>0                      PS 3505000A  77533              A  8</t>
        </is>
      </c>
      <c r="D456" t="inlineStr">
        <is>
          <t>As the earth turns / Gladys Hasty Carroll.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Carroll, Gladys Hasty, 1904-1999.</t>
        </is>
      </c>
      <c r="L456" t="inlineStr">
        <is>
          <t>New York : Macmillan, 1936.</t>
        </is>
      </c>
      <c r="M456" t="inlineStr">
        <is>
          <t>1933</t>
        </is>
      </c>
      <c r="O456" t="inlineStr">
        <is>
          <t>eng</t>
        </is>
      </c>
      <c r="P456" t="inlineStr">
        <is>
          <t>nyu</t>
        </is>
      </c>
      <c r="Q456" t="inlineStr">
        <is>
          <t>The Modern resder's series</t>
        </is>
      </c>
      <c r="R456" t="inlineStr">
        <is>
          <t xml:space="preserve">PS </t>
        </is>
      </c>
      <c r="S456" t="n">
        <v>3</v>
      </c>
      <c r="T456" t="n">
        <v>3</v>
      </c>
      <c r="U456" t="inlineStr">
        <is>
          <t>2000-04-25</t>
        </is>
      </c>
      <c r="V456" t="inlineStr">
        <is>
          <t>2000-04-25</t>
        </is>
      </c>
      <c r="W456" t="inlineStr">
        <is>
          <t>1997-05-30</t>
        </is>
      </c>
      <c r="X456" t="inlineStr">
        <is>
          <t>1997-05-30</t>
        </is>
      </c>
      <c r="Y456" t="n">
        <v>738</v>
      </c>
      <c r="Z456" t="n">
        <v>713</v>
      </c>
      <c r="AA456" t="n">
        <v>1041</v>
      </c>
      <c r="AB456" t="n">
        <v>8</v>
      </c>
      <c r="AC456" t="n">
        <v>12</v>
      </c>
      <c r="AD456" t="n">
        <v>12</v>
      </c>
      <c r="AE456" t="n">
        <v>14</v>
      </c>
      <c r="AF456" t="n">
        <v>2</v>
      </c>
      <c r="AG456" t="n">
        <v>2</v>
      </c>
      <c r="AH456" t="n">
        <v>2</v>
      </c>
      <c r="AI456" t="n">
        <v>3</v>
      </c>
      <c r="AJ456" t="n">
        <v>5</v>
      </c>
      <c r="AK456" t="n">
        <v>5</v>
      </c>
      <c r="AL456" t="n">
        <v>4</v>
      </c>
      <c r="AM456" t="n">
        <v>5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HYPERLINK("http://catalog.hathitrust.org/Record/000625693","HathiTrust Record")</f>
        <v/>
      </c>
      <c r="AS456">
        <f>HYPERLINK("https://creighton-primo.hosted.exlibrisgroup.com/primo-explore/search?tab=default_tab&amp;search_scope=EVERYTHING&amp;vid=01CRU&amp;lang=en_US&amp;offset=0&amp;query=any,contains,991004823569702656","Catalog Record")</f>
        <v/>
      </c>
      <c r="AT456">
        <f>HYPERLINK("http://www.worldcat.org/oclc/5343887","WorldCat Record")</f>
        <v/>
      </c>
      <c r="AU456" t="inlineStr">
        <is>
          <t>148097023:eng</t>
        </is>
      </c>
      <c r="AV456" t="inlineStr">
        <is>
          <t>5343887</t>
        </is>
      </c>
      <c r="AW456" t="inlineStr">
        <is>
          <t>991004823569702656</t>
        </is>
      </c>
      <c r="AX456" t="inlineStr">
        <is>
          <t>991004823569702656</t>
        </is>
      </c>
      <c r="AY456" t="inlineStr">
        <is>
          <t>2255137780002656</t>
        </is>
      </c>
      <c r="AZ456" t="inlineStr">
        <is>
          <t>BOOK</t>
        </is>
      </c>
      <c r="BC456" t="inlineStr">
        <is>
          <t>32285002780889</t>
        </is>
      </c>
      <c r="BD456" t="inlineStr">
        <is>
          <t>893338167</t>
        </is>
      </c>
    </row>
    <row r="457">
      <c r="A457" t="inlineStr">
        <is>
          <t>No</t>
        </is>
      </c>
      <c r="B457" t="inlineStr">
        <is>
          <t>PS3505.A77594 A6 1985</t>
        </is>
      </c>
      <c r="C457" t="inlineStr">
        <is>
          <t>0                      PS 3505000A  77594              A  6           1985</t>
        </is>
      </c>
      <c r="D457" t="inlineStr">
        <is>
          <t>The selected poetry of Hayden Carruth / foreword by Galway Kinnell.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Carruth, Hayden, 1921-2008.</t>
        </is>
      </c>
      <c r="L457" t="inlineStr">
        <is>
          <t>New York : Macmillan Pub. Co. ; London : Collier Macmillan Publishers, c1985.</t>
        </is>
      </c>
      <c r="M457" t="inlineStr">
        <is>
          <t>1986</t>
        </is>
      </c>
      <c r="O457" t="inlineStr">
        <is>
          <t>eng</t>
        </is>
      </c>
      <c r="P457" t="inlineStr">
        <is>
          <t>nyu</t>
        </is>
      </c>
      <c r="R457" t="inlineStr">
        <is>
          <t xml:space="preserve">PS </t>
        </is>
      </c>
      <c r="S457" t="n">
        <v>3</v>
      </c>
      <c r="T457" t="n">
        <v>3</v>
      </c>
      <c r="U457" t="inlineStr">
        <is>
          <t>2005-11-07</t>
        </is>
      </c>
      <c r="V457" t="inlineStr">
        <is>
          <t>2005-11-07</t>
        </is>
      </c>
      <c r="W457" t="inlineStr">
        <is>
          <t>1990-11-06</t>
        </is>
      </c>
      <c r="X457" t="inlineStr">
        <is>
          <t>1990-11-06</t>
        </is>
      </c>
      <c r="Y457" t="n">
        <v>473</v>
      </c>
      <c r="Z457" t="n">
        <v>447</v>
      </c>
      <c r="AA457" t="n">
        <v>612</v>
      </c>
      <c r="AB457" t="n">
        <v>3</v>
      </c>
      <c r="AC457" t="n">
        <v>5</v>
      </c>
      <c r="AD457" t="n">
        <v>14</v>
      </c>
      <c r="AE457" t="n">
        <v>22</v>
      </c>
      <c r="AF457" t="n">
        <v>4</v>
      </c>
      <c r="AG457" t="n">
        <v>9</v>
      </c>
      <c r="AH457" t="n">
        <v>4</v>
      </c>
      <c r="AI457" t="n">
        <v>5</v>
      </c>
      <c r="AJ457" t="n">
        <v>9</v>
      </c>
      <c r="AK457" t="n">
        <v>13</v>
      </c>
      <c r="AL457" t="n">
        <v>1</v>
      </c>
      <c r="AM457" t="n">
        <v>3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HYPERLINK("http://catalog.hathitrust.org/Record/000667964","HathiTrust Record")</f>
        <v/>
      </c>
      <c r="AS457">
        <f>HYPERLINK("https://creighton-primo.hosted.exlibrisgroup.com/primo-explore/search?tab=default_tab&amp;search_scope=EVERYTHING&amp;vid=01CRU&amp;lang=en_US&amp;offset=0&amp;query=any,contains,991000700369702656","Catalog Record")</f>
        <v/>
      </c>
      <c r="AT457">
        <f>HYPERLINK("http://www.worldcat.org/oclc/12549060","WorldCat Record")</f>
        <v/>
      </c>
      <c r="AU457" t="inlineStr">
        <is>
          <t>936332:eng</t>
        </is>
      </c>
      <c r="AV457" t="inlineStr">
        <is>
          <t>12549060</t>
        </is>
      </c>
      <c r="AW457" t="inlineStr">
        <is>
          <t>991000700369702656</t>
        </is>
      </c>
      <c r="AX457" t="inlineStr">
        <is>
          <t>991000700369702656</t>
        </is>
      </c>
      <c r="AY457" t="inlineStr">
        <is>
          <t>2263599860002656</t>
        </is>
      </c>
      <c r="AZ457" t="inlineStr">
        <is>
          <t>BOOK</t>
        </is>
      </c>
      <c r="BB457" t="inlineStr">
        <is>
          <t>9780025222908</t>
        </is>
      </c>
      <c r="BC457" t="inlineStr">
        <is>
          <t>32285000376714</t>
        </is>
      </c>
      <c r="BD457" t="inlineStr">
        <is>
          <t>893419703</t>
        </is>
      </c>
    </row>
    <row r="458">
      <c r="A458" t="inlineStr">
        <is>
          <t>No</t>
        </is>
      </c>
      <c r="B458" t="inlineStr">
        <is>
          <t>PS3505.A77594 T45 1989</t>
        </is>
      </c>
      <c r="C458" t="inlineStr">
        <is>
          <t>0                      PS 3505000A  77594              T  45          1989</t>
        </is>
      </c>
      <c r="D458" t="inlineStr">
        <is>
          <t>Tell me again how the white heron rises and flies across the nacreous river at twilight toward the distant islands / Hayden Carruth.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Carruth, Hayden, 1921-2008.</t>
        </is>
      </c>
      <c r="L458" t="inlineStr">
        <is>
          <t>New York : New Directions Pub. Corp., 1989.</t>
        </is>
      </c>
      <c r="M458" t="inlineStr">
        <is>
          <t>1989</t>
        </is>
      </c>
      <c r="O458" t="inlineStr">
        <is>
          <t>eng</t>
        </is>
      </c>
      <c r="P458" t="inlineStr">
        <is>
          <t>nyu</t>
        </is>
      </c>
      <c r="Q458" t="inlineStr">
        <is>
          <t>A New Directions paperbook ; 677</t>
        </is>
      </c>
      <c r="R458" t="inlineStr">
        <is>
          <t xml:space="preserve">PS </t>
        </is>
      </c>
      <c r="S458" t="n">
        <v>4</v>
      </c>
      <c r="T458" t="n">
        <v>4</v>
      </c>
      <c r="U458" t="inlineStr">
        <is>
          <t>2005-11-07</t>
        </is>
      </c>
      <c r="V458" t="inlineStr">
        <is>
          <t>2005-11-07</t>
        </is>
      </c>
      <c r="W458" t="inlineStr">
        <is>
          <t>1989-12-29</t>
        </is>
      </c>
      <c r="X458" t="inlineStr">
        <is>
          <t>1989-12-29</t>
        </is>
      </c>
      <c r="Y458" t="n">
        <v>526</v>
      </c>
      <c r="Z458" t="n">
        <v>494</v>
      </c>
      <c r="AA458" t="n">
        <v>516</v>
      </c>
      <c r="AB458" t="n">
        <v>3</v>
      </c>
      <c r="AC458" t="n">
        <v>3</v>
      </c>
      <c r="AD458" t="n">
        <v>16</v>
      </c>
      <c r="AE458" t="n">
        <v>18</v>
      </c>
      <c r="AF458" t="n">
        <v>4</v>
      </c>
      <c r="AG458" t="n">
        <v>4</v>
      </c>
      <c r="AH458" t="n">
        <v>5</v>
      </c>
      <c r="AI458" t="n">
        <v>7</v>
      </c>
      <c r="AJ458" t="n">
        <v>9</v>
      </c>
      <c r="AK458" t="n">
        <v>10</v>
      </c>
      <c r="AL458" t="n">
        <v>2</v>
      </c>
      <c r="AM458" t="n">
        <v>2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HYPERLINK("https://creighton-primo.hosted.exlibrisgroup.com/primo-explore/search?tab=default_tab&amp;search_scope=EVERYTHING&amp;vid=01CRU&amp;lang=en_US&amp;offset=0&amp;query=any,contains,991001466049702656","Catalog Record")</f>
        <v/>
      </c>
      <c r="AT458">
        <f>HYPERLINK("http://www.worldcat.org/oclc/19512072","WorldCat Record")</f>
        <v/>
      </c>
      <c r="AU458" t="inlineStr">
        <is>
          <t>5090670686:eng</t>
        </is>
      </c>
      <c r="AV458" t="inlineStr">
        <is>
          <t>19512072</t>
        </is>
      </c>
      <c r="AW458" t="inlineStr">
        <is>
          <t>991001466049702656</t>
        </is>
      </c>
      <c r="AX458" t="inlineStr">
        <is>
          <t>991001466049702656</t>
        </is>
      </c>
      <c r="AY458" t="inlineStr">
        <is>
          <t>2258557380002656</t>
        </is>
      </c>
      <c r="AZ458" t="inlineStr">
        <is>
          <t>BOOK</t>
        </is>
      </c>
      <c r="BB458" t="inlineStr">
        <is>
          <t>9780811211048</t>
        </is>
      </c>
      <c r="BC458" t="inlineStr">
        <is>
          <t>32285000025477</t>
        </is>
      </c>
      <c r="BD458" t="inlineStr">
        <is>
          <t>893426624</t>
        </is>
      </c>
    </row>
    <row r="459">
      <c r="A459" t="inlineStr">
        <is>
          <t>No</t>
        </is>
      </c>
      <c r="B459" t="inlineStr">
        <is>
          <t>PS3505.H3224 Z8</t>
        </is>
      </c>
      <c r="C459" t="inlineStr">
        <is>
          <t>0                      PS 3505000H  3224               Z  8</t>
        </is>
      </c>
      <c r="D459" t="inlineStr">
        <is>
          <t>Raymond Chandler on screen : his novels into film / by Stephen Pendo.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Pendo, Stephen, 1947-</t>
        </is>
      </c>
      <c r="L459" t="inlineStr">
        <is>
          <t>Metuchen, N.J. : Scarecrow Press, 1976.</t>
        </is>
      </c>
      <c r="M459" t="inlineStr">
        <is>
          <t>1976</t>
        </is>
      </c>
      <c r="O459" t="inlineStr">
        <is>
          <t>eng</t>
        </is>
      </c>
      <c r="P459" t="inlineStr">
        <is>
          <t>nju</t>
        </is>
      </c>
      <c r="R459" t="inlineStr">
        <is>
          <t xml:space="preserve">PS </t>
        </is>
      </c>
      <c r="S459" t="n">
        <v>6</v>
      </c>
      <c r="T459" t="n">
        <v>6</v>
      </c>
      <c r="U459" t="inlineStr">
        <is>
          <t>2004-10-08</t>
        </is>
      </c>
      <c r="V459" t="inlineStr">
        <is>
          <t>2004-10-08</t>
        </is>
      </c>
      <c r="W459" t="inlineStr">
        <is>
          <t>1990-08-08</t>
        </is>
      </c>
      <c r="X459" t="inlineStr">
        <is>
          <t>1990-08-08</t>
        </is>
      </c>
      <c r="Y459" t="n">
        <v>402</v>
      </c>
      <c r="Z459" t="n">
        <v>347</v>
      </c>
      <c r="AA459" t="n">
        <v>354</v>
      </c>
      <c r="AB459" t="n">
        <v>4</v>
      </c>
      <c r="AC459" t="n">
        <v>4</v>
      </c>
      <c r="AD459" t="n">
        <v>17</v>
      </c>
      <c r="AE459" t="n">
        <v>17</v>
      </c>
      <c r="AF459" t="n">
        <v>7</v>
      </c>
      <c r="AG459" t="n">
        <v>7</v>
      </c>
      <c r="AH459" t="n">
        <v>4</v>
      </c>
      <c r="AI459" t="n">
        <v>4</v>
      </c>
      <c r="AJ459" t="n">
        <v>7</v>
      </c>
      <c r="AK459" t="n">
        <v>7</v>
      </c>
      <c r="AL459" t="n">
        <v>3</v>
      </c>
      <c r="AM459" t="n">
        <v>3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HYPERLINK("http://catalog.hathitrust.org/Record/000715658","HathiTrust Record")</f>
        <v/>
      </c>
      <c r="AS459">
        <f>HYPERLINK("https://creighton-primo.hosted.exlibrisgroup.com/primo-explore/search?tab=default_tab&amp;search_scope=EVERYTHING&amp;vid=01CRU&amp;lang=en_US&amp;offset=0&amp;query=any,contains,991004021309702656","Catalog Record")</f>
        <v/>
      </c>
      <c r="AT459">
        <f>HYPERLINK("http://www.worldcat.org/oclc/2121585","WorldCat Record")</f>
        <v/>
      </c>
      <c r="AU459" t="inlineStr">
        <is>
          <t>375474686:eng</t>
        </is>
      </c>
      <c r="AV459" t="inlineStr">
        <is>
          <t>2121585</t>
        </is>
      </c>
      <c r="AW459" t="inlineStr">
        <is>
          <t>991004021309702656</t>
        </is>
      </c>
      <c r="AX459" t="inlineStr">
        <is>
          <t>991004021309702656</t>
        </is>
      </c>
      <c r="AY459" t="inlineStr">
        <is>
          <t>2267255690002656</t>
        </is>
      </c>
      <c r="AZ459" t="inlineStr">
        <is>
          <t>BOOK</t>
        </is>
      </c>
      <c r="BB459" t="inlineStr">
        <is>
          <t>9780810809314</t>
        </is>
      </c>
      <c r="BC459" t="inlineStr">
        <is>
          <t>32285000254705</t>
        </is>
      </c>
      <c r="BD459" t="inlineStr">
        <is>
          <t>893442084</t>
        </is>
      </c>
    </row>
    <row r="460">
      <c r="A460" t="inlineStr">
        <is>
          <t>No</t>
        </is>
      </c>
      <c r="B460" t="inlineStr">
        <is>
          <t>PS3505.H6428 Z459</t>
        </is>
      </c>
      <c r="C460" t="inlineStr">
        <is>
          <t>0                      PS 3505000H  6428               Z  459</t>
        </is>
      </c>
      <c r="D460" t="inlineStr">
        <is>
          <t>John Cheever : a reference guide / [compiled by] Francis J. Bosha.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L460" t="inlineStr">
        <is>
          <t>Boston, Mass. : G. K. Hall, c1981.</t>
        </is>
      </c>
      <c r="M460" t="inlineStr">
        <is>
          <t>1981</t>
        </is>
      </c>
      <c r="O460" t="inlineStr">
        <is>
          <t>eng</t>
        </is>
      </c>
      <c r="P460" t="inlineStr">
        <is>
          <t>mau</t>
        </is>
      </c>
      <c r="Q460" t="inlineStr">
        <is>
          <t>A reference guide to literature</t>
        </is>
      </c>
      <c r="R460" t="inlineStr">
        <is>
          <t xml:space="preserve">PS </t>
        </is>
      </c>
      <c r="S460" t="n">
        <v>3</v>
      </c>
      <c r="T460" t="n">
        <v>3</v>
      </c>
      <c r="U460" t="inlineStr">
        <is>
          <t>1992-11-18</t>
        </is>
      </c>
      <c r="V460" t="inlineStr">
        <is>
          <t>1992-11-18</t>
        </is>
      </c>
      <c r="W460" t="inlineStr">
        <is>
          <t>1990-08-02</t>
        </is>
      </c>
      <c r="X460" t="inlineStr">
        <is>
          <t>1990-08-02</t>
        </is>
      </c>
      <c r="Y460" t="n">
        <v>438</v>
      </c>
      <c r="Z460" t="n">
        <v>382</v>
      </c>
      <c r="AA460" t="n">
        <v>384</v>
      </c>
      <c r="AB460" t="n">
        <v>4</v>
      </c>
      <c r="AC460" t="n">
        <v>4</v>
      </c>
      <c r="AD460" t="n">
        <v>18</v>
      </c>
      <c r="AE460" t="n">
        <v>18</v>
      </c>
      <c r="AF460" t="n">
        <v>7</v>
      </c>
      <c r="AG460" t="n">
        <v>7</v>
      </c>
      <c r="AH460" t="n">
        <v>4</v>
      </c>
      <c r="AI460" t="n">
        <v>4</v>
      </c>
      <c r="AJ460" t="n">
        <v>10</v>
      </c>
      <c r="AK460" t="n">
        <v>10</v>
      </c>
      <c r="AL460" t="n">
        <v>3</v>
      </c>
      <c r="AM460" t="n">
        <v>3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HYPERLINK("http://catalog.hathitrust.org/Record/000137946","HathiTrust Record")</f>
        <v/>
      </c>
      <c r="AS460">
        <f>HYPERLINK("https://creighton-primo.hosted.exlibrisgroup.com/primo-explore/search?tab=default_tab&amp;search_scope=EVERYTHING&amp;vid=01CRU&amp;lang=en_US&amp;offset=0&amp;query=any,contains,991005081069702656","Catalog Record")</f>
        <v/>
      </c>
      <c r="AT460">
        <f>HYPERLINK("http://www.worldcat.org/oclc/7172123","WorldCat Record")</f>
        <v/>
      </c>
      <c r="AU460" t="inlineStr">
        <is>
          <t>907152644:eng</t>
        </is>
      </c>
      <c r="AV460" t="inlineStr">
        <is>
          <t>7172123</t>
        </is>
      </c>
      <c r="AW460" t="inlineStr">
        <is>
          <t>991005081069702656</t>
        </is>
      </c>
      <c r="AX460" t="inlineStr">
        <is>
          <t>991005081069702656</t>
        </is>
      </c>
      <c r="AY460" t="inlineStr">
        <is>
          <t>2256173050002656</t>
        </is>
      </c>
      <c r="AZ460" t="inlineStr">
        <is>
          <t>BOOK</t>
        </is>
      </c>
      <c r="BB460" t="inlineStr">
        <is>
          <t>9780816184477</t>
        </is>
      </c>
      <c r="BC460" t="inlineStr">
        <is>
          <t>32285000262294</t>
        </is>
      </c>
      <c r="BD460" t="inlineStr">
        <is>
          <t>893344615</t>
        </is>
      </c>
    </row>
    <row r="461">
      <c r="A461" t="inlineStr">
        <is>
          <t>No</t>
        </is>
      </c>
      <c r="B461" t="inlineStr">
        <is>
          <t>PS3505.H6428 Z64 1988</t>
        </is>
      </c>
      <c r="C461" t="inlineStr">
        <is>
          <t>0                      PS 3505000H  6428               Z  64          1988</t>
        </is>
      </c>
      <c r="D461" t="inlineStr">
        <is>
          <t>John Cheever : a biography / Scott Donaldson.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Donaldson, Scott, 1928-</t>
        </is>
      </c>
      <c r="L461" t="inlineStr">
        <is>
          <t>New York : Random House, c1988.</t>
        </is>
      </c>
      <c r="M461" t="inlineStr">
        <is>
          <t>1988</t>
        </is>
      </c>
      <c r="N461" t="inlineStr">
        <is>
          <t>1st ed.</t>
        </is>
      </c>
      <c r="O461" t="inlineStr">
        <is>
          <t>eng</t>
        </is>
      </c>
      <c r="P461" t="inlineStr">
        <is>
          <t>nyu</t>
        </is>
      </c>
      <c r="R461" t="inlineStr">
        <is>
          <t xml:space="preserve">PS </t>
        </is>
      </c>
      <c r="S461" t="n">
        <v>4</v>
      </c>
      <c r="T461" t="n">
        <v>4</v>
      </c>
      <c r="U461" t="inlineStr">
        <is>
          <t>2004-04-20</t>
        </is>
      </c>
      <c r="V461" t="inlineStr">
        <is>
          <t>2004-04-20</t>
        </is>
      </c>
      <c r="W461" t="inlineStr">
        <is>
          <t>2001-07-11</t>
        </is>
      </c>
      <c r="X461" t="inlineStr">
        <is>
          <t>2001-07-11</t>
        </is>
      </c>
      <c r="Y461" t="n">
        <v>1137</v>
      </c>
      <c r="Z461" t="n">
        <v>1049</v>
      </c>
      <c r="AA461" t="n">
        <v>1220</v>
      </c>
      <c r="AB461" t="n">
        <v>6</v>
      </c>
      <c r="AC461" t="n">
        <v>7</v>
      </c>
      <c r="AD461" t="n">
        <v>28</v>
      </c>
      <c r="AE461" t="n">
        <v>34</v>
      </c>
      <c r="AF461" t="n">
        <v>13</v>
      </c>
      <c r="AG461" t="n">
        <v>18</v>
      </c>
      <c r="AH461" t="n">
        <v>6</v>
      </c>
      <c r="AI461" t="n">
        <v>7</v>
      </c>
      <c r="AJ461" t="n">
        <v>15</v>
      </c>
      <c r="AK461" t="n">
        <v>17</v>
      </c>
      <c r="AL461" t="n">
        <v>4</v>
      </c>
      <c r="AM461" t="n">
        <v>4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HYPERLINK("http://catalog.hathitrust.org/Record/000949389","HathiTrust Record")</f>
        <v/>
      </c>
      <c r="AS461">
        <f>HYPERLINK("https://creighton-primo.hosted.exlibrisgroup.com/primo-explore/search?tab=default_tab&amp;search_scope=EVERYTHING&amp;vid=01CRU&amp;lang=en_US&amp;offset=0&amp;query=any,contains,991003566639702656","Catalog Record")</f>
        <v/>
      </c>
      <c r="AT461">
        <f>HYPERLINK("http://www.worldcat.org/oclc/14719365","WorldCat Record")</f>
        <v/>
      </c>
      <c r="AU461" t="inlineStr">
        <is>
          <t>8573975:eng</t>
        </is>
      </c>
      <c r="AV461" t="inlineStr">
        <is>
          <t>14719365</t>
        </is>
      </c>
      <c r="AW461" t="inlineStr">
        <is>
          <t>991003566639702656</t>
        </is>
      </c>
      <c r="AX461" t="inlineStr">
        <is>
          <t>991003566639702656</t>
        </is>
      </c>
      <c r="AY461" t="inlineStr">
        <is>
          <t>2256834140002656</t>
        </is>
      </c>
      <c r="AZ461" t="inlineStr">
        <is>
          <t>BOOK</t>
        </is>
      </c>
      <c r="BB461" t="inlineStr">
        <is>
          <t>9780394549217</t>
        </is>
      </c>
      <c r="BC461" t="inlineStr">
        <is>
          <t>32285004331731</t>
        </is>
      </c>
      <c r="BD461" t="inlineStr">
        <is>
          <t>893900127</t>
        </is>
      </c>
    </row>
    <row r="462">
      <c r="A462" t="inlineStr">
        <is>
          <t>No</t>
        </is>
      </c>
      <c r="B462" t="inlineStr">
        <is>
          <t>PS3505.H6428 Z77 1995</t>
        </is>
      </c>
      <c r="C462" t="inlineStr">
        <is>
          <t>0                      PS 3505000H  6428               Z  77          1995</t>
        </is>
      </c>
      <c r="D462" t="inlineStr">
        <is>
          <t>John Cheever revisited / Patrick Meanor.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Meanor, Patrick.</t>
        </is>
      </c>
      <c r="L462" t="inlineStr">
        <is>
          <t>New York : Twayne Publishers, 1995.</t>
        </is>
      </c>
      <c r="M462" t="inlineStr">
        <is>
          <t>1995</t>
        </is>
      </c>
      <c r="O462" t="inlineStr">
        <is>
          <t>eng</t>
        </is>
      </c>
      <c r="P462" t="inlineStr">
        <is>
          <t>mau</t>
        </is>
      </c>
      <c r="Q462" t="inlineStr">
        <is>
          <t>Twayne's United States authors series ; TUSAS 647</t>
        </is>
      </c>
      <c r="R462" t="inlineStr">
        <is>
          <t xml:space="preserve">PS </t>
        </is>
      </c>
      <c r="S462" t="n">
        <v>2</v>
      </c>
      <c r="T462" t="n">
        <v>2</v>
      </c>
      <c r="U462" t="inlineStr">
        <is>
          <t>2004-04-20</t>
        </is>
      </c>
      <c r="V462" t="inlineStr">
        <is>
          <t>2004-04-20</t>
        </is>
      </c>
      <c r="W462" t="inlineStr">
        <is>
          <t>1994-12-21</t>
        </is>
      </c>
      <c r="X462" t="inlineStr">
        <is>
          <t>1994-12-21</t>
        </is>
      </c>
      <c r="Y462" t="n">
        <v>647</v>
      </c>
      <c r="Z462" t="n">
        <v>587</v>
      </c>
      <c r="AA462" t="n">
        <v>601</v>
      </c>
      <c r="AB462" t="n">
        <v>6</v>
      </c>
      <c r="AC462" t="n">
        <v>6</v>
      </c>
      <c r="AD462" t="n">
        <v>27</v>
      </c>
      <c r="AE462" t="n">
        <v>28</v>
      </c>
      <c r="AF462" t="n">
        <v>13</v>
      </c>
      <c r="AG462" t="n">
        <v>13</v>
      </c>
      <c r="AH462" t="n">
        <v>2</v>
      </c>
      <c r="AI462" t="n">
        <v>2</v>
      </c>
      <c r="AJ462" t="n">
        <v>14</v>
      </c>
      <c r="AK462" t="n">
        <v>15</v>
      </c>
      <c r="AL462" t="n">
        <v>5</v>
      </c>
      <c r="AM462" t="n">
        <v>5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HYPERLINK("http://catalog.hathitrust.org/Record/002954307","HathiTrust Record")</f>
        <v/>
      </c>
      <c r="AS462">
        <f>HYPERLINK("https://creighton-primo.hosted.exlibrisgroup.com/primo-explore/search?tab=default_tab&amp;search_scope=EVERYTHING&amp;vid=01CRU&amp;lang=en_US&amp;offset=0&amp;query=any,contains,991002330039702656","Catalog Record")</f>
        <v/>
      </c>
      <c r="AT462">
        <f>HYPERLINK("http://www.worldcat.org/oclc/30319714","WorldCat Record")</f>
        <v/>
      </c>
      <c r="AU462" t="inlineStr">
        <is>
          <t>32283993:eng</t>
        </is>
      </c>
      <c r="AV462" t="inlineStr">
        <is>
          <t>30319714</t>
        </is>
      </c>
      <c r="AW462" t="inlineStr">
        <is>
          <t>991002330039702656</t>
        </is>
      </c>
      <c r="AX462" t="inlineStr">
        <is>
          <t>991002330039702656</t>
        </is>
      </c>
      <c r="AY462" t="inlineStr">
        <is>
          <t>2267928380002656</t>
        </is>
      </c>
      <c r="AZ462" t="inlineStr">
        <is>
          <t>BOOK</t>
        </is>
      </c>
      <c r="BB462" t="inlineStr">
        <is>
          <t>9780805739992</t>
        </is>
      </c>
      <c r="BC462" t="inlineStr">
        <is>
          <t>32285001973774</t>
        </is>
      </c>
      <c r="BD462" t="inlineStr">
        <is>
          <t>893773480</t>
        </is>
      </c>
    </row>
    <row r="463">
      <c r="A463" t="inlineStr">
        <is>
          <t>No</t>
        </is>
      </c>
      <c r="B463" t="inlineStr">
        <is>
          <t>PS3505.H6428 Z94 1979</t>
        </is>
      </c>
      <c r="C463" t="inlineStr">
        <is>
          <t>0                      PS 3505000H  6428               Z  94          1979</t>
        </is>
      </c>
      <c r="D463" t="inlineStr">
        <is>
          <t>John Cheever / by Lynne Waldeland.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Waldeland, Lynne.</t>
        </is>
      </c>
      <c r="L463" t="inlineStr">
        <is>
          <t>Boston : Twayne Publishers, 1979.</t>
        </is>
      </c>
      <c r="M463" t="inlineStr">
        <is>
          <t>1979</t>
        </is>
      </c>
      <c r="O463" t="inlineStr">
        <is>
          <t>eng</t>
        </is>
      </c>
      <c r="P463" t="inlineStr">
        <is>
          <t>mau</t>
        </is>
      </c>
      <c r="Q463" t="inlineStr">
        <is>
          <t>Twayne's United States authors ; TUSAS 335</t>
        </is>
      </c>
      <c r="R463" t="inlineStr">
        <is>
          <t xml:space="preserve">PS </t>
        </is>
      </c>
      <c r="S463" t="n">
        <v>4</v>
      </c>
      <c r="T463" t="n">
        <v>4</v>
      </c>
      <c r="U463" t="inlineStr">
        <is>
          <t>2004-04-20</t>
        </is>
      </c>
      <c r="V463" t="inlineStr">
        <is>
          <t>2004-04-20</t>
        </is>
      </c>
      <c r="W463" t="inlineStr">
        <is>
          <t>1990-08-02</t>
        </is>
      </c>
      <c r="X463" t="inlineStr">
        <is>
          <t>1990-08-02</t>
        </is>
      </c>
      <c r="Y463" t="n">
        <v>1436</v>
      </c>
      <c r="Z463" t="n">
        <v>1308</v>
      </c>
      <c r="AA463" t="n">
        <v>1382</v>
      </c>
      <c r="AB463" t="n">
        <v>10</v>
      </c>
      <c r="AC463" t="n">
        <v>10</v>
      </c>
      <c r="AD463" t="n">
        <v>45</v>
      </c>
      <c r="AE463" t="n">
        <v>45</v>
      </c>
      <c r="AF463" t="n">
        <v>19</v>
      </c>
      <c r="AG463" t="n">
        <v>19</v>
      </c>
      <c r="AH463" t="n">
        <v>8</v>
      </c>
      <c r="AI463" t="n">
        <v>8</v>
      </c>
      <c r="AJ463" t="n">
        <v>24</v>
      </c>
      <c r="AK463" t="n">
        <v>24</v>
      </c>
      <c r="AL463" t="n">
        <v>6</v>
      </c>
      <c r="AM463" t="n">
        <v>6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HYPERLINK("http://catalog.hathitrust.org/Record/000255646","HathiTrust Record")</f>
        <v/>
      </c>
      <c r="AS463">
        <f>HYPERLINK("https://creighton-primo.hosted.exlibrisgroup.com/primo-explore/search?tab=default_tab&amp;search_scope=EVERYTHING&amp;vid=01CRU&amp;lang=en_US&amp;offset=0&amp;query=any,contains,991004648399702656","Catalog Record")</f>
        <v/>
      </c>
      <c r="AT463">
        <f>HYPERLINK("http://www.worldcat.org/oclc/4492927","WorldCat Record")</f>
        <v/>
      </c>
      <c r="AU463" t="inlineStr">
        <is>
          <t>461638:eng</t>
        </is>
      </c>
      <c r="AV463" t="inlineStr">
        <is>
          <t>4492927</t>
        </is>
      </c>
      <c r="AW463" t="inlineStr">
        <is>
          <t>991004648399702656</t>
        </is>
      </c>
      <c r="AX463" t="inlineStr">
        <is>
          <t>991004648399702656</t>
        </is>
      </c>
      <c r="AY463" t="inlineStr">
        <is>
          <t>2263392450002656</t>
        </is>
      </c>
      <c r="AZ463" t="inlineStr">
        <is>
          <t>BOOK</t>
        </is>
      </c>
      <c r="BB463" t="inlineStr">
        <is>
          <t>9780805772517</t>
        </is>
      </c>
      <c r="BC463" t="inlineStr">
        <is>
          <t>32285000262328</t>
        </is>
      </c>
      <c r="BD463" t="inlineStr">
        <is>
          <t>893526354</t>
        </is>
      </c>
    </row>
    <row r="464">
      <c r="A464" t="inlineStr">
        <is>
          <t>No</t>
        </is>
      </c>
      <c r="B464" t="inlineStr">
        <is>
          <t>PS3505.O477 M8</t>
        </is>
      </c>
      <c r="C464" t="inlineStr">
        <is>
          <t>0                      PS 3505000O  477                M  8</t>
        </is>
      </c>
      <c r="D464" t="inlineStr">
        <is>
          <t>Murder at sea, by Richard Connell.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Connell, Richard.</t>
        </is>
      </c>
      <c r="L464" t="inlineStr">
        <is>
          <t>New York, Minton, Balch, 1929.</t>
        </is>
      </c>
      <c r="M464" t="inlineStr">
        <is>
          <t>1929</t>
        </is>
      </c>
      <c r="O464" t="inlineStr">
        <is>
          <t>eng</t>
        </is>
      </c>
      <c r="P464" t="inlineStr">
        <is>
          <t>nyu</t>
        </is>
      </c>
      <c r="R464" t="inlineStr">
        <is>
          <t xml:space="preserve">PS </t>
        </is>
      </c>
      <c r="S464" t="n">
        <v>2</v>
      </c>
      <c r="T464" t="n">
        <v>2</v>
      </c>
      <c r="U464" t="inlineStr">
        <is>
          <t>1998-12-16</t>
        </is>
      </c>
      <c r="V464" t="inlineStr">
        <is>
          <t>1998-12-16</t>
        </is>
      </c>
      <c r="W464" t="inlineStr">
        <is>
          <t>1997-05-30</t>
        </is>
      </c>
      <c r="X464" t="inlineStr">
        <is>
          <t>1997-05-30</t>
        </is>
      </c>
      <c r="Y464" t="n">
        <v>24</v>
      </c>
      <c r="Z464" t="n">
        <v>20</v>
      </c>
      <c r="AA464" t="n">
        <v>21</v>
      </c>
      <c r="AB464" t="n">
        <v>1</v>
      </c>
      <c r="AC464" t="n">
        <v>1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HYPERLINK("https://creighton-primo.hosted.exlibrisgroup.com/primo-explore/search?tab=default_tab&amp;search_scope=EVERYTHING&amp;vid=01CRU&amp;lang=en_US&amp;offset=0&amp;query=any,contains,991004283529702656","Catalog Record")</f>
        <v/>
      </c>
      <c r="AT464">
        <f>HYPERLINK("http://www.worldcat.org/oclc/2916713","WorldCat Record")</f>
        <v/>
      </c>
      <c r="AU464" t="inlineStr">
        <is>
          <t>6581748:eng</t>
        </is>
      </c>
      <c r="AV464" t="inlineStr">
        <is>
          <t>2916713</t>
        </is>
      </c>
      <c r="AW464" t="inlineStr">
        <is>
          <t>991004283529702656</t>
        </is>
      </c>
      <c r="AX464" t="inlineStr">
        <is>
          <t>991004283529702656</t>
        </is>
      </c>
      <c r="AY464" t="inlineStr">
        <is>
          <t>2270080910002656</t>
        </is>
      </c>
      <c r="AZ464" t="inlineStr">
        <is>
          <t>BOOK</t>
        </is>
      </c>
      <c r="BC464" t="inlineStr">
        <is>
          <t>32285002781226</t>
        </is>
      </c>
      <c r="BD464" t="inlineStr">
        <is>
          <t>893806872</t>
        </is>
      </c>
    </row>
    <row r="465">
      <c r="A465" t="inlineStr">
        <is>
          <t>No</t>
        </is>
      </c>
      <c r="B465" t="inlineStr">
        <is>
          <t>PS3505.O956 T45 1972</t>
        </is>
      </c>
      <c r="C465" t="inlineStr">
        <is>
          <t>0                      PS 3505000O  956                T  45          1972</t>
        </is>
      </c>
      <c r="D465" t="inlineStr">
        <is>
          <t>Think back on us ... : a contemporary chronicle of the 1930s / Edited by Henry Dan Piper.</t>
        </is>
      </c>
      <c r="E465" t="inlineStr">
        <is>
          <t>V.2</t>
        </is>
      </c>
      <c r="F465" t="inlineStr">
        <is>
          <t>Yes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Cowley, Malcolm, 1898-1989.</t>
        </is>
      </c>
      <c r="L465" t="inlineStr">
        <is>
          <t>Carbondale : Southern Illinois University Press, 1972, c1967.</t>
        </is>
      </c>
      <c r="M465" t="inlineStr">
        <is>
          <t>1972</t>
        </is>
      </c>
      <c r="O465" t="inlineStr">
        <is>
          <t>eng</t>
        </is>
      </c>
      <c r="P465" t="inlineStr">
        <is>
          <t>ilu</t>
        </is>
      </c>
      <c r="Q465" t="inlineStr">
        <is>
          <t>Arcturus books edition, AB 101, AB 102</t>
        </is>
      </c>
      <c r="R465" t="inlineStr">
        <is>
          <t xml:space="preserve">PS </t>
        </is>
      </c>
      <c r="S465" t="n">
        <v>1</v>
      </c>
      <c r="T465" t="n">
        <v>1</v>
      </c>
      <c r="U465" t="inlineStr">
        <is>
          <t>2005-07-21</t>
        </is>
      </c>
      <c r="V465" t="inlineStr">
        <is>
          <t>2005-07-21</t>
        </is>
      </c>
      <c r="W465" t="inlineStr">
        <is>
          <t>1990-11-06</t>
        </is>
      </c>
      <c r="X465" t="inlineStr">
        <is>
          <t>1990-11-06</t>
        </is>
      </c>
      <c r="Y465" t="n">
        <v>116</v>
      </c>
      <c r="Z465" t="n">
        <v>99</v>
      </c>
      <c r="AA465" t="n">
        <v>1111</v>
      </c>
      <c r="AB465" t="n">
        <v>1</v>
      </c>
      <c r="AC465" t="n">
        <v>10</v>
      </c>
      <c r="AD465" t="n">
        <v>6</v>
      </c>
      <c r="AE465" t="n">
        <v>43</v>
      </c>
      <c r="AF465" t="n">
        <v>6</v>
      </c>
      <c r="AG465" t="n">
        <v>16</v>
      </c>
      <c r="AH465" t="n">
        <v>0</v>
      </c>
      <c r="AI465" t="n">
        <v>8</v>
      </c>
      <c r="AJ465" t="n">
        <v>2</v>
      </c>
      <c r="AK465" t="n">
        <v>19</v>
      </c>
      <c r="AL465" t="n">
        <v>0</v>
      </c>
      <c r="AM465" t="n">
        <v>9</v>
      </c>
      <c r="AN465" t="n">
        <v>0</v>
      </c>
      <c r="AO465" t="n">
        <v>0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HYPERLINK("https://creighton-primo.hosted.exlibrisgroup.com/primo-explore/search?tab=default_tab&amp;search_scope=EVERYTHING&amp;vid=01CRU&amp;lang=en_US&amp;offset=0&amp;query=any,contains,991002455799702656","Catalog Record")</f>
        <v/>
      </c>
      <c r="AT465">
        <f>HYPERLINK("http://www.worldcat.org/oclc/354306","WorldCat Record")</f>
        <v/>
      </c>
      <c r="AU465" t="inlineStr">
        <is>
          <t>866017887:eng</t>
        </is>
      </c>
      <c r="AV465" t="inlineStr">
        <is>
          <t>354306</t>
        </is>
      </c>
      <c r="AW465" t="inlineStr">
        <is>
          <t>991002455799702656</t>
        </is>
      </c>
      <c r="AX465" t="inlineStr">
        <is>
          <t>991002455799702656</t>
        </is>
      </c>
      <c r="AY465" t="inlineStr">
        <is>
          <t>2266296570002656</t>
        </is>
      </c>
      <c r="AZ465" t="inlineStr">
        <is>
          <t>BOOK</t>
        </is>
      </c>
      <c r="BB465" t="inlineStr">
        <is>
          <t>9780809305988</t>
        </is>
      </c>
      <c r="BC465" t="inlineStr">
        <is>
          <t>32285000376839</t>
        </is>
      </c>
      <c r="BD465" t="inlineStr">
        <is>
          <t>893616138</t>
        </is>
      </c>
    </row>
    <row r="466">
      <c r="A466" t="inlineStr">
        <is>
          <t>No</t>
        </is>
      </c>
      <c r="B466" t="inlineStr">
        <is>
          <t>PS3505.R272 Z65 1982</t>
        </is>
      </c>
      <c r="C466" t="inlineStr">
        <is>
          <t>0                      PS 3505000R  272                Z  65          1982</t>
        </is>
      </c>
      <c r="D466" t="inlineStr">
        <is>
          <t>Critical essays on Hart Crane / [collected by] David R. Clark.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L466" t="inlineStr">
        <is>
          <t>Boston, Mass. : G.K. Hall, c1982.</t>
        </is>
      </c>
      <c r="M466" t="inlineStr">
        <is>
          <t>1982</t>
        </is>
      </c>
      <c r="O466" t="inlineStr">
        <is>
          <t>eng</t>
        </is>
      </c>
      <c r="P466" t="inlineStr">
        <is>
          <t>mau</t>
        </is>
      </c>
      <c r="Q466" t="inlineStr">
        <is>
          <t>Critical essays on American literature</t>
        </is>
      </c>
      <c r="R466" t="inlineStr">
        <is>
          <t xml:space="preserve">PS </t>
        </is>
      </c>
      <c r="S466" t="n">
        <v>2</v>
      </c>
      <c r="T466" t="n">
        <v>2</v>
      </c>
      <c r="U466" t="inlineStr">
        <is>
          <t>1997-05-23</t>
        </is>
      </c>
      <c r="V466" t="inlineStr">
        <is>
          <t>1997-05-23</t>
        </is>
      </c>
      <c r="W466" t="inlineStr">
        <is>
          <t>1990-11-07</t>
        </is>
      </c>
      <c r="X466" t="inlineStr">
        <is>
          <t>1990-11-07</t>
        </is>
      </c>
      <c r="Y466" t="n">
        <v>415</v>
      </c>
      <c r="Z466" t="n">
        <v>348</v>
      </c>
      <c r="AA466" t="n">
        <v>353</v>
      </c>
      <c r="AB466" t="n">
        <v>5</v>
      </c>
      <c r="AC466" t="n">
        <v>5</v>
      </c>
      <c r="AD466" t="n">
        <v>22</v>
      </c>
      <c r="AE466" t="n">
        <v>22</v>
      </c>
      <c r="AF466" t="n">
        <v>7</v>
      </c>
      <c r="AG466" t="n">
        <v>7</v>
      </c>
      <c r="AH466" t="n">
        <v>6</v>
      </c>
      <c r="AI466" t="n">
        <v>6</v>
      </c>
      <c r="AJ466" t="n">
        <v>13</v>
      </c>
      <c r="AK466" t="n">
        <v>13</v>
      </c>
      <c r="AL466" t="n">
        <v>4</v>
      </c>
      <c r="AM466" t="n">
        <v>4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HYPERLINK("https://creighton-primo.hosted.exlibrisgroup.com/primo-explore/search?tab=default_tab&amp;search_scope=EVERYTHING&amp;vid=01CRU&amp;lang=en_US&amp;offset=0&amp;query=any,contains,991005194089702656","Catalog Record")</f>
        <v/>
      </c>
      <c r="AT466">
        <f>HYPERLINK("http://www.worldcat.org/oclc/8033493","WorldCat Record")</f>
        <v/>
      </c>
      <c r="AU466" t="inlineStr">
        <is>
          <t>2115261:eng</t>
        </is>
      </c>
      <c r="AV466" t="inlineStr">
        <is>
          <t>8033493</t>
        </is>
      </c>
      <c r="AW466" t="inlineStr">
        <is>
          <t>991005194089702656</t>
        </is>
      </c>
      <c r="AX466" t="inlineStr">
        <is>
          <t>991005194089702656</t>
        </is>
      </c>
      <c r="AY466" t="inlineStr">
        <is>
          <t>2269393980002656</t>
        </is>
      </c>
      <c r="AZ466" t="inlineStr">
        <is>
          <t>BOOK</t>
        </is>
      </c>
      <c r="BB466" t="inlineStr">
        <is>
          <t>9780816183807</t>
        </is>
      </c>
      <c r="BC466" t="inlineStr">
        <is>
          <t>32285000229566</t>
        </is>
      </c>
      <c r="BD466" t="inlineStr">
        <is>
          <t>893722821</t>
        </is>
      </c>
    </row>
    <row r="467">
      <c r="A467" t="inlineStr">
        <is>
          <t>No</t>
        </is>
      </c>
      <c r="B467" t="inlineStr">
        <is>
          <t>PS3505.R272 Z673</t>
        </is>
      </c>
      <c r="C467" t="inlineStr">
        <is>
          <t>0                      PS 3505000R  272                Z  673</t>
        </is>
      </c>
      <c r="D467" t="inlineStr">
        <is>
          <t>Hart Crane : a collection of critical essays / edited by Alan Trachtenberg.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L467" t="inlineStr">
        <is>
          <t>Englewood Cliffs, NJ : Prentice-Hall, c1982.</t>
        </is>
      </c>
      <c r="M467" t="inlineStr">
        <is>
          <t>1982</t>
        </is>
      </c>
      <c r="O467" t="inlineStr">
        <is>
          <t>eng</t>
        </is>
      </c>
      <c r="P467" t="inlineStr">
        <is>
          <t>nju</t>
        </is>
      </c>
      <c r="Q467" t="inlineStr">
        <is>
          <t>A Spectrum book</t>
        </is>
      </c>
      <c r="R467" t="inlineStr">
        <is>
          <t xml:space="preserve">PS </t>
        </is>
      </c>
      <c r="S467" t="n">
        <v>2</v>
      </c>
      <c r="T467" t="n">
        <v>2</v>
      </c>
      <c r="U467" t="inlineStr">
        <is>
          <t>1997-05-23</t>
        </is>
      </c>
      <c r="V467" t="inlineStr">
        <is>
          <t>1997-05-23</t>
        </is>
      </c>
      <c r="W467" t="inlineStr">
        <is>
          <t>1990-11-06</t>
        </is>
      </c>
      <c r="X467" t="inlineStr">
        <is>
          <t>1990-11-06</t>
        </is>
      </c>
      <c r="Y467" t="n">
        <v>1006</v>
      </c>
      <c r="Z467" t="n">
        <v>901</v>
      </c>
      <c r="AA467" t="n">
        <v>924</v>
      </c>
      <c r="AB467" t="n">
        <v>7</v>
      </c>
      <c r="AC467" t="n">
        <v>7</v>
      </c>
      <c r="AD467" t="n">
        <v>31</v>
      </c>
      <c r="AE467" t="n">
        <v>33</v>
      </c>
      <c r="AF467" t="n">
        <v>13</v>
      </c>
      <c r="AG467" t="n">
        <v>14</v>
      </c>
      <c r="AH467" t="n">
        <v>5</v>
      </c>
      <c r="AI467" t="n">
        <v>6</v>
      </c>
      <c r="AJ467" t="n">
        <v>15</v>
      </c>
      <c r="AK467" t="n">
        <v>17</v>
      </c>
      <c r="AL467" t="n">
        <v>6</v>
      </c>
      <c r="AM467" t="n">
        <v>6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HYPERLINK("http://catalog.hathitrust.org/Record/000265796","HathiTrust Record")</f>
        <v/>
      </c>
      <c r="AS467">
        <f>HYPERLINK("https://creighton-primo.hosted.exlibrisgroup.com/primo-explore/search?tab=default_tab&amp;search_scope=EVERYTHING&amp;vid=01CRU&amp;lang=en_US&amp;offset=0&amp;query=any,contains,991005058269702656","Catalog Record")</f>
        <v/>
      </c>
      <c r="AT467">
        <f>HYPERLINK("http://www.worldcat.org/oclc/6914980","WorldCat Record")</f>
        <v/>
      </c>
      <c r="AU467" t="inlineStr">
        <is>
          <t>860472374:eng</t>
        </is>
      </c>
      <c r="AV467" t="inlineStr">
        <is>
          <t>6914980</t>
        </is>
      </c>
      <c r="AW467" t="inlineStr">
        <is>
          <t>991005058269702656</t>
        </is>
      </c>
      <c r="AX467" t="inlineStr">
        <is>
          <t>991005058269702656</t>
        </is>
      </c>
      <c r="AY467" t="inlineStr">
        <is>
          <t>2262969110002656</t>
        </is>
      </c>
      <c r="AZ467" t="inlineStr">
        <is>
          <t>BOOK</t>
        </is>
      </c>
      <c r="BB467" t="inlineStr">
        <is>
          <t>9780133839272</t>
        </is>
      </c>
      <c r="BC467" t="inlineStr">
        <is>
          <t>32285000376896</t>
        </is>
      </c>
      <c r="BD467" t="inlineStr">
        <is>
          <t>893722724</t>
        </is>
      </c>
    </row>
    <row r="468">
      <c r="A468" t="inlineStr">
        <is>
          <t>No</t>
        </is>
      </c>
      <c r="B468" t="inlineStr">
        <is>
          <t>PS3505.R2736 A6 1952</t>
        </is>
      </c>
      <c r="C468" t="inlineStr">
        <is>
          <t>0                      PS 3505000R  2736               A  6           1952</t>
        </is>
      </c>
      <c r="D468" t="inlineStr">
        <is>
          <t>Stephen Crane: an omnibus; edited, with introd. and notes, by Robert Wooster Stallman.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Crane, Stephen, 1871-1900.</t>
        </is>
      </c>
      <c r="L468" t="inlineStr">
        <is>
          <t>New York, Knopf, 1952.</t>
        </is>
      </c>
      <c r="M468" t="inlineStr">
        <is>
          <t>1952</t>
        </is>
      </c>
      <c r="N468" t="inlineStr">
        <is>
          <t>[1st collected ed.]</t>
        </is>
      </c>
      <c r="O468" t="inlineStr">
        <is>
          <t>eng</t>
        </is>
      </c>
      <c r="P468" t="inlineStr">
        <is>
          <t>nyu</t>
        </is>
      </c>
      <c r="R468" t="inlineStr">
        <is>
          <t xml:space="preserve">PS </t>
        </is>
      </c>
      <c r="S468" t="n">
        <v>2</v>
      </c>
      <c r="T468" t="n">
        <v>2</v>
      </c>
      <c r="U468" t="inlineStr">
        <is>
          <t>1999-09-12</t>
        </is>
      </c>
      <c r="V468" t="inlineStr">
        <is>
          <t>1999-09-12</t>
        </is>
      </c>
      <c r="W468" t="inlineStr">
        <is>
          <t>1997-05-30</t>
        </is>
      </c>
      <c r="X468" t="inlineStr">
        <is>
          <t>1997-05-30</t>
        </is>
      </c>
      <c r="Y468" t="n">
        <v>1261</v>
      </c>
      <c r="Z468" t="n">
        <v>1155</v>
      </c>
      <c r="AA468" t="n">
        <v>1355</v>
      </c>
      <c r="AB468" t="n">
        <v>12</v>
      </c>
      <c r="AC468" t="n">
        <v>12</v>
      </c>
      <c r="AD468" t="n">
        <v>35</v>
      </c>
      <c r="AE468" t="n">
        <v>42</v>
      </c>
      <c r="AF468" t="n">
        <v>11</v>
      </c>
      <c r="AG468" t="n">
        <v>16</v>
      </c>
      <c r="AH468" t="n">
        <v>4</v>
      </c>
      <c r="AI468" t="n">
        <v>6</v>
      </c>
      <c r="AJ468" t="n">
        <v>17</v>
      </c>
      <c r="AK468" t="n">
        <v>19</v>
      </c>
      <c r="AL468" t="n">
        <v>9</v>
      </c>
      <c r="AM468" t="n">
        <v>9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HYPERLINK("http://catalog.hathitrust.org/Record/000438717","HathiTrust Record")</f>
        <v/>
      </c>
      <c r="AS468">
        <f>HYPERLINK("https://creighton-primo.hosted.exlibrisgroup.com/primo-explore/search?tab=default_tab&amp;search_scope=EVERYTHING&amp;vid=01CRU&amp;lang=en_US&amp;offset=0&amp;query=any,contains,991002144369702656","Catalog Record")</f>
        <v/>
      </c>
      <c r="AT468">
        <f>HYPERLINK("http://www.worldcat.org/oclc/271251","WorldCat Record")</f>
        <v/>
      </c>
      <c r="AU468" t="inlineStr">
        <is>
          <t>4159920592:eng</t>
        </is>
      </c>
      <c r="AV468" t="inlineStr">
        <is>
          <t>271251</t>
        </is>
      </c>
      <c r="AW468" t="inlineStr">
        <is>
          <t>991002144369702656</t>
        </is>
      </c>
      <c r="AX468" t="inlineStr">
        <is>
          <t>991002144369702656</t>
        </is>
      </c>
      <c r="AY468" t="inlineStr">
        <is>
          <t>2261938920002656</t>
        </is>
      </c>
      <c r="AZ468" t="inlineStr">
        <is>
          <t>BOOK</t>
        </is>
      </c>
      <c r="BC468" t="inlineStr">
        <is>
          <t>32285002781598</t>
        </is>
      </c>
      <c r="BD468" t="inlineStr">
        <is>
          <t>893444991</t>
        </is>
      </c>
    </row>
    <row r="469">
      <c r="A469" t="inlineStr">
        <is>
          <t>No</t>
        </is>
      </c>
      <c r="B469" t="inlineStr">
        <is>
          <t>PS3505.R43 Z67 1978</t>
        </is>
      </c>
      <c r="C469" t="inlineStr">
        <is>
          <t>0                      PS 3505000R  43                 Z  67          1978</t>
        </is>
      </c>
      <c r="D469" t="inlineStr">
        <is>
          <t>Robert Creeley / by Arthur L. Ford. --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Ford, Arthur Lewis, 1937-</t>
        </is>
      </c>
      <c r="L469" t="inlineStr">
        <is>
          <t>Boston : Twayne Publishers, c1978.</t>
        </is>
      </c>
      <c r="M469" t="inlineStr">
        <is>
          <t>1978</t>
        </is>
      </c>
      <c r="O469" t="inlineStr">
        <is>
          <t>eng</t>
        </is>
      </c>
      <c r="P469" t="inlineStr">
        <is>
          <t>mau</t>
        </is>
      </c>
      <c r="Q469" t="inlineStr">
        <is>
          <t>Twayne's United States authors series ; TUSAS 310</t>
        </is>
      </c>
      <c r="R469" t="inlineStr">
        <is>
          <t xml:space="preserve">PS </t>
        </is>
      </c>
      <c r="S469" t="n">
        <v>3</v>
      </c>
      <c r="T469" t="n">
        <v>3</v>
      </c>
      <c r="U469" t="inlineStr">
        <is>
          <t>1997-03-01</t>
        </is>
      </c>
      <c r="V469" t="inlineStr">
        <is>
          <t>1997-03-01</t>
        </is>
      </c>
      <c r="W469" t="inlineStr">
        <is>
          <t>1990-07-31</t>
        </is>
      </c>
      <c r="X469" t="inlineStr">
        <is>
          <t>1990-07-31</t>
        </is>
      </c>
      <c r="Y469" t="n">
        <v>860</v>
      </c>
      <c r="Z469" t="n">
        <v>762</v>
      </c>
      <c r="AA469" t="n">
        <v>768</v>
      </c>
      <c r="AB469" t="n">
        <v>7</v>
      </c>
      <c r="AC469" t="n">
        <v>7</v>
      </c>
      <c r="AD469" t="n">
        <v>36</v>
      </c>
      <c r="AE469" t="n">
        <v>36</v>
      </c>
      <c r="AF469" t="n">
        <v>16</v>
      </c>
      <c r="AG469" t="n">
        <v>16</v>
      </c>
      <c r="AH469" t="n">
        <v>7</v>
      </c>
      <c r="AI469" t="n">
        <v>7</v>
      </c>
      <c r="AJ469" t="n">
        <v>17</v>
      </c>
      <c r="AK469" t="n">
        <v>17</v>
      </c>
      <c r="AL469" t="n">
        <v>5</v>
      </c>
      <c r="AM469" t="n">
        <v>5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HYPERLINK("http://catalog.hathitrust.org/Record/000093464","HathiTrust Record")</f>
        <v/>
      </c>
      <c r="AS469">
        <f>HYPERLINK("https://creighton-primo.hosted.exlibrisgroup.com/primo-explore/search?tab=default_tab&amp;search_scope=EVERYTHING&amp;vid=01CRU&amp;lang=en_US&amp;offset=0&amp;query=any,contains,991004492299702656","Catalog Record")</f>
        <v/>
      </c>
      <c r="AT469">
        <f>HYPERLINK("http://www.worldcat.org/oclc/3669584","WorldCat Record")</f>
        <v/>
      </c>
      <c r="AU469" t="inlineStr">
        <is>
          <t>9738274322:eng</t>
        </is>
      </c>
      <c r="AV469" t="inlineStr">
        <is>
          <t>3669584</t>
        </is>
      </c>
      <c r="AW469" t="inlineStr">
        <is>
          <t>991004492299702656</t>
        </is>
      </c>
      <c r="AX469" t="inlineStr">
        <is>
          <t>991004492299702656</t>
        </is>
      </c>
      <c r="AY469" t="inlineStr">
        <is>
          <t>2262077180002656</t>
        </is>
      </c>
      <c r="AZ469" t="inlineStr">
        <is>
          <t>BOOK</t>
        </is>
      </c>
      <c r="BB469" t="inlineStr">
        <is>
          <t>9780805772203</t>
        </is>
      </c>
      <c r="BC469" t="inlineStr">
        <is>
          <t>32285000229574</t>
        </is>
      </c>
      <c r="BD469" t="inlineStr">
        <is>
          <t>893807133</t>
        </is>
      </c>
    </row>
    <row r="470">
      <c r="A470" t="inlineStr">
        <is>
          <t>No</t>
        </is>
      </c>
      <c r="B470" t="inlineStr">
        <is>
          <t>PS3505.R883 Z95</t>
        </is>
      </c>
      <c r="C470" t="inlineStr">
        <is>
          <t>0                      PS 3505000R  883                Z  95</t>
        </is>
      </c>
      <c r="D470" t="inlineStr">
        <is>
          <t>Black Sun : the brief transit and violent eclipse of Harry Crosby / Geoffrey Wolff.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Wolff, Geoffrey, 1937-</t>
        </is>
      </c>
      <c r="L470" t="inlineStr">
        <is>
          <t>New York : Random House, c1976.</t>
        </is>
      </c>
      <c r="M470" t="inlineStr">
        <is>
          <t>1976</t>
        </is>
      </c>
      <c r="N470" t="inlineStr">
        <is>
          <t>Book club ed.</t>
        </is>
      </c>
      <c r="O470" t="inlineStr">
        <is>
          <t>eng</t>
        </is>
      </c>
      <c r="P470" t="inlineStr">
        <is>
          <t>nyu</t>
        </is>
      </c>
      <c r="R470" t="inlineStr">
        <is>
          <t xml:space="preserve">PS </t>
        </is>
      </c>
      <c r="S470" t="n">
        <v>1</v>
      </c>
      <c r="T470" t="n">
        <v>1</v>
      </c>
      <c r="U470" t="inlineStr">
        <is>
          <t>1992-06-25</t>
        </is>
      </c>
      <c r="V470" t="inlineStr">
        <is>
          <t>1992-06-25</t>
        </is>
      </c>
      <c r="W470" t="inlineStr">
        <is>
          <t>1990-11-06</t>
        </is>
      </c>
      <c r="X470" t="inlineStr">
        <is>
          <t>1990-11-06</t>
        </is>
      </c>
      <c r="Y470" t="n">
        <v>31</v>
      </c>
      <c r="Z470" t="n">
        <v>30</v>
      </c>
      <c r="AA470" t="n">
        <v>933</v>
      </c>
      <c r="AB470" t="n">
        <v>1</v>
      </c>
      <c r="AC470" t="n">
        <v>5</v>
      </c>
      <c r="AD470" t="n">
        <v>3</v>
      </c>
      <c r="AE470" t="n">
        <v>32</v>
      </c>
      <c r="AF470" t="n">
        <v>1</v>
      </c>
      <c r="AG470" t="n">
        <v>13</v>
      </c>
      <c r="AH470" t="n">
        <v>1</v>
      </c>
      <c r="AI470" t="n">
        <v>10</v>
      </c>
      <c r="AJ470" t="n">
        <v>2</v>
      </c>
      <c r="AK470" t="n">
        <v>16</v>
      </c>
      <c r="AL470" t="n">
        <v>0</v>
      </c>
      <c r="AM470" t="n">
        <v>4</v>
      </c>
      <c r="AN470" t="n">
        <v>0</v>
      </c>
      <c r="AO470" t="n">
        <v>0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HYPERLINK("https://creighton-primo.hosted.exlibrisgroup.com/primo-explore/search?tab=default_tab&amp;search_scope=EVERYTHING&amp;vid=01CRU&amp;lang=en_US&amp;offset=0&amp;query=any,contains,991004772879702656","Catalog Record")</f>
        <v/>
      </c>
      <c r="AT470">
        <f>HYPERLINK("http://www.worldcat.org/oclc/5087802","WorldCat Record")</f>
        <v/>
      </c>
      <c r="AU470" t="inlineStr">
        <is>
          <t>462221:eng</t>
        </is>
      </c>
      <c r="AV470" t="inlineStr">
        <is>
          <t>5087802</t>
        </is>
      </c>
      <c r="AW470" t="inlineStr">
        <is>
          <t>991004772879702656</t>
        </is>
      </c>
      <c r="AX470" t="inlineStr">
        <is>
          <t>991004772879702656</t>
        </is>
      </c>
      <c r="AY470" t="inlineStr">
        <is>
          <t>2260267400002656</t>
        </is>
      </c>
      <c r="AZ470" t="inlineStr">
        <is>
          <t>BOOK</t>
        </is>
      </c>
      <c r="BC470" t="inlineStr">
        <is>
          <t>32285000376912</t>
        </is>
      </c>
      <c r="BD470" t="inlineStr">
        <is>
          <t>893628358</t>
        </is>
      </c>
    </row>
    <row r="471">
      <c r="A471" t="inlineStr">
        <is>
          <t>No</t>
        </is>
      </c>
      <c r="B471" t="inlineStr">
        <is>
          <t>PS3505.U334 Z4594 1960</t>
        </is>
      </c>
      <c r="C471" t="inlineStr">
        <is>
          <t>0                      PS 3505000U  334                Z  4594        1960</t>
        </is>
      </c>
      <c r="D471" t="inlineStr">
        <is>
          <t>E.E. Cummings, a bibliography.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Firmage, George James.</t>
        </is>
      </c>
      <c r="L471" t="inlineStr">
        <is>
          <t>Middletown, Conn. : Wesleyan University Press, [1960]</t>
        </is>
      </c>
      <c r="M471" t="inlineStr">
        <is>
          <t>1960</t>
        </is>
      </c>
      <c r="N471" t="inlineStr">
        <is>
          <t>[1st ed.]</t>
        </is>
      </c>
      <c r="O471" t="inlineStr">
        <is>
          <t>eng</t>
        </is>
      </c>
      <c r="P471" t="inlineStr">
        <is>
          <t>ctu</t>
        </is>
      </c>
      <c r="R471" t="inlineStr">
        <is>
          <t xml:space="preserve">PS </t>
        </is>
      </c>
      <c r="S471" t="n">
        <v>5</v>
      </c>
      <c r="T471" t="n">
        <v>5</v>
      </c>
      <c r="U471" t="inlineStr">
        <is>
          <t>2000-05-19</t>
        </is>
      </c>
      <c r="V471" t="inlineStr">
        <is>
          <t>2000-05-19</t>
        </is>
      </c>
      <c r="W471" t="inlineStr">
        <is>
          <t>1993-04-15</t>
        </is>
      </c>
      <c r="X471" t="inlineStr">
        <is>
          <t>1993-04-15</t>
        </is>
      </c>
      <c r="Y471" t="n">
        <v>477</v>
      </c>
      <c r="Z471" t="n">
        <v>412</v>
      </c>
      <c r="AA471" t="n">
        <v>425</v>
      </c>
      <c r="AB471" t="n">
        <v>2</v>
      </c>
      <c r="AC471" t="n">
        <v>3</v>
      </c>
      <c r="AD471" t="n">
        <v>26</v>
      </c>
      <c r="AE471" t="n">
        <v>27</v>
      </c>
      <c r="AF471" t="n">
        <v>12</v>
      </c>
      <c r="AG471" t="n">
        <v>12</v>
      </c>
      <c r="AH471" t="n">
        <v>5</v>
      </c>
      <c r="AI471" t="n">
        <v>5</v>
      </c>
      <c r="AJ471" t="n">
        <v>15</v>
      </c>
      <c r="AK471" t="n">
        <v>15</v>
      </c>
      <c r="AL471" t="n">
        <v>1</v>
      </c>
      <c r="AM471" t="n">
        <v>2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HYPERLINK("http://catalog.hathitrust.org/Record/001425499","HathiTrust Record")</f>
        <v/>
      </c>
      <c r="AS471">
        <f>HYPERLINK("https://creighton-primo.hosted.exlibrisgroup.com/primo-explore/search?tab=default_tab&amp;search_scope=EVERYTHING&amp;vid=01CRU&amp;lang=en_US&amp;offset=0&amp;query=any,contains,991005358039702656","Catalog Record")</f>
        <v/>
      </c>
      <c r="AT471">
        <f>HYPERLINK("http://www.worldcat.org/oclc/1212077","WorldCat Record")</f>
        <v/>
      </c>
      <c r="AU471" t="inlineStr">
        <is>
          <t>2101209:eng</t>
        </is>
      </c>
      <c r="AV471" t="inlineStr">
        <is>
          <t>1212077</t>
        </is>
      </c>
      <c r="AW471" t="inlineStr">
        <is>
          <t>991005358039702656</t>
        </is>
      </c>
      <c r="AX471" t="inlineStr">
        <is>
          <t>991005358039702656</t>
        </is>
      </c>
      <c r="AY471" t="inlineStr">
        <is>
          <t>2265926590002656</t>
        </is>
      </c>
      <c r="AZ471" t="inlineStr">
        <is>
          <t>BOOK</t>
        </is>
      </c>
      <c r="BC471" t="inlineStr">
        <is>
          <t>32285001620219</t>
        </is>
      </c>
      <c r="BD471" t="inlineStr">
        <is>
          <t>893320494</t>
        </is>
      </c>
    </row>
    <row r="472">
      <c r="A472" t="inlineStr">
        <is>
          <t>No</t>
        </is>
      </c>
      <c r="B472" t="inlineStr">
        <is>
          <t>PS3505.U334 Z65</t>
        </is>
      </c>
      <c r="C472" t="inlineStr">
        <is>
          <t>0                      PS 3505000U  334                Z  65</t>
        </is>
      </c>
      <c r="D472" t="inlineStr">
        <is>
          <t>E. E. Cummings : the art of his poetry / by Norman Friedman.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Friedman, Norman.</t>
        </is>
      </c>
      <c r="L472" t="inlineStr">
        <is>
          <t>Baltimore : Johns Hopkins Press, [1960]</t>
        </is>
      </c>
      <c r="M472" t="inlineStr">
        <is>
          <t>1960</t>
        </is>
      </c>
      <c r="O472" t="inlineStr">
        <is>
          <t>eng</t>
        </is>
      </c>
      <c r="P472" t="inlineStr">
        <is>
          <t>mdu</t>
        </is>
      </c>
      <c r="R472" t="inlineStr">
        <is>
          <t xml:space="preserve">PS </t>
        </is>
      </c>
      <c r="S472" t="n">
        <v>8</v>
      </c>
      <c r="T472" t="n">
        <v>8</v>
      </c>
      <c r="U472" t="inlineStr">
        <is>
          <t>2004-11-10</t>
        </is>
      </c>
      <c r="V472" t="inlineStr">
        <is>
          <t>2004-11-10</t>
        </is>
      </c>
      <c r="W472" t="inlineStr">
        <is>
          <t>1995-08-06</t>
        </is>
      </c>
      <c r="X472" t="inlineStr">
        <is>
          <t>1995-08-06</t>
        </is>
      </c>
      <c r="Y472" t="n">
        <v>1020</v>
      </c>
      <c r="Z472" t="n">
        <v>929</v>
      </c>
      <c r="AA472" t="n">
        <v>1202</v>
      </c>
      <c r="AB472" t="n">
        <v>11</v>
      </c>
      <c r="AC472" t="n">
        <v>13</v>
      </c>
      <c r="AD472" t="n">
        <v>46</v>
      </c>
      <c r="AE472" t="n">
        <v>55</v>
      </c>
      <c r="AF472" t="n">
        <v>21</v>
      </c>
      <c r="AG472" t="n">
        <v>25</v>
      </c>
      <c r="AH472" t="n">
        <v>7</v>
      </c>
      <c r="AI472" t="n">
        <v>8</v>
      </c>
      <c r="AJ472" t="n">
        <v>17</v>
      </c>
      <c r="AK472" t="n">
        <v>22</v>
      </c>
      <c r="AL472" t="n">
        <v>10</v>
      </c>
      <c r="AM472" t="n">
        <v>12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HYPERLINK("http://catalog.hathitrust.org/Record/000395757","HathiTrust Record")</f>
        <v/>
      </c>
      <c r="AS472">
        <f>HYPERLINK("https://creighton-primo.hosted.exlibrisgroup.com/primo-explore/search?tab=default_tab&amp;search_scope=EVERYTHING&amp;vid=01CRU&amp;lang=en_US&amp;offset=0&amp;query=any,contains,991003427219702656","Catalog Record")</f>
        <v/>
      </c>
      <c r="AT472">
        <f>HYPERLINK("http://www.worldcat.org/oclc/964809","WorldCat Record")</f>
        <v/>
      </c>
      <c r="AU472" t="inlineStr">
        <is>
          <t>21621633:eng</t>
        </is>
      </c>
      <c r="AV472" t="inlineStr">
        <is>
          <t>964809</t>
        </is>
      </c>
      <c r="AW472" t="inlineStr">
        <is>
          <t>991003427219702656</t>
        </is>
      </c>
      <c r="AX472" t="inlineStr">
        <is>
          <t>991003427219702656</t>
        </is>
      </c>
      <c r="AY472" t="inlineStr">
        <is>
          <t>2261698010002656</t>
        </is>
      </c>
      <c r="AZ472" t="inlineStr">
        <is>
          <t>BOOK</t>
        </is>
      </c>
      <c r="BC472" t="inlineStr">
        <is>
          <t>32285002062114</t>
        </is>
      </c>
      <c r="BD472" t="inlineStr">
        <is>
          <t>893262740</t>
        </is>
      </c>
    </row>
    <row r="473">
      <c r="A473" t="inlineStr">
        <is>
          <t>No</t>
        </is>
      </c>
      <c r="B473" t="inlineStr">
        <is>
          <t>PS3505.U334 Z82</t>
        </is>
      </c>
      <c r="C473" t="inlineStr">
        <is>
          <t>0                      PS 3505000U  334                Z  82</t>
        </is>
      </c>
      <c r="D473" t="inlineStr">
        <is>
          <t>E. E. Cummings : a reference guide / Guy L. Rotella.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Rotella, Guy L.</t>
        </is>
      </c>
      <c r="L473" t="inlineStr">
        <is>
          <t>Boston : G. K. Hall, c1979.</t>
        </is>
      </c>
      <c r="M473" t="inlineStr">
        <is>
          <t>1979</t>
        </is>
      </c>
      <c r="O473" t="inlineStr">
        <is>
          <t>eng</t>
        </is>
      </c>
      <c r="P473" t="inlineStr">
        <is>
          <t>mau</t>
        </is>
      </c>
      <c r="Q473" t="inlineStr">
        <is>
          <t>A Reference publication in literature</t>
        </is>
      </c>
      <c r="R473" t="inlineStr">
        <is>
          <t xml:space="preserve">PS </t>
        </is>
      </c>
      <c r="S473" t="n">
        <v>10</v>
      </c>
      <c r="T473" t="n">
        <v>10</v>
      </c>
      <c r="U473" t="inlineStr">
        <is>
          <t>1999-07-23</t>
        </is>
      </c>
      <c r="V473" t="inlineStr">
        <is>
          <t>1999-07-23</t>
        </is>
      </c>
      <c r="W473" t="inlineStr">
        <is>
          <t>1990-07-31</t>
        </is>
      </c>
      <c r="X473" t="inlineStr">
        <is>
          <t>1990-07-31</t>
        </is>
      </c>
      <c r="Y473" t="n">
        <v>422</v>
      </c>
      <c r="Z473" t="n">
        <v>361</v>
      </c>
      <c r="AA473" t="n">
        <v>363</v>
      </c>
      <c r="AB473" t="n">
        <v>4</v>
      </c>
      <c r="AC473" t="n">
        <v>4</v>
      </c>
      <c r="AD473" t="n">
        <v>21</v>
      </c>
      <c r="AE473" t="n">
        <v>21</v>
      </c>
      <c r="AF473" t="n">
        <v>7</v>
      </c>
      <c r="AG473" t="n">
        <v>7</v>
      </c>
      <c r="AH473" t="n">
        <v>5</v>
      </c>
      <c r="AI473" t="n">
        <v>5</v>
      </c>
      <c r="AJ473" t="n">
        <v>11</v>
      </c>
      <c r="AK473" t="n">
        <v>11</v>
      </c>
      <c r="AL473" t="n">
        <v>3</v>
      </c>
      <c r="AM473" t="n">
        <v>3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HYPERLINK("http://catalog.hathitrust.org/Record/000703055","HathiTrust Record")</f>
        <v/>
      </c>
      <c r="AS473">
        <f>HYPERLINK("https://creighton-primo.hosted.exlibrisgroup.com/primo-explore/search?tab=default_tab&amp;search_scope=EVERYTHING&amp;vid=01CRU&amp;lang=en_US&amp;offset=0&amp;query=any,contains,991004714769702656","Catalog Record")</f>
        <v/>
      </c>
      <c r="AT473">
        <f>HYPERLINK("http://www.worldcat.org/oclc/4775607","WorldCat Record")</f>
        <v/>
      </c>
      <c r="AU473" t="inlineStr">
        <is>
          <t>1909579902:eng</t>
        </is>
      </c>
      <c r="AV473" t="inlineStr">
        <is>
          <t>4775607</t>
        </is>
      </c>
      <c r="AW473" t="inlineStr">
        <is>
          <t>991004714769702656</t>
        </is>
      </c>
      <c r="AX473" t="inlineStr">
        <is>
          <t>991004714769702656</t>
        </is>
      </c>
      <c r="AY473" t="inlineStr">
        <is>
          <t>2255148270002656</t>
        </is>
      </c>
      <c r="AZ473" t="inlineStr">
        <is>
          <t>BOOK</t>
        </is>
      </c>
      <c r="BB473" t="inlineStr">
        <is>
          <t>9780816180790</t>
        </is>
      </c>
      <c r="BC473" t="inlineStr">
        <is>
          <t>32285000229657</t>
        </is>
      </c>
      <c r="BD473" t="inlineStr">
        <is>
          <t>893430421</t>
        </is>
      </c>
    </row>
    <row r="474">
      <c r="A474" t="inlineStr">
        <is>
          <t>No</t>
        </is>
      </c>
      <c r="B474" t="inlineStr">
        <is>
          <t>PS3507.A666 Z89</t>
        </is>
      </c>
      <c r="C474" t="inlineStr">
        <is>
          <t>0                      PS 3507000A  666                Z  89</t>
        </is>
      </c>
      <c r="D474" t="inlineStr">
        <is>
          <t>Donald Davidson, by Thomas Daniel Young and M. Thomas Inge.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Young, Thomas Daniel, 1919-1997.</t>
        </is>
      </c>
      <c r="L474" t="inlineStr">
        <is>
          <t>New York, Twayne Publishers [c1971]</t>
        </is>
      </c>
      <c r="M474" t="inlineStr">
        <is>
          <t>1971</t>
        </is>
      </c>
      <c r="O474" t="inlineStr">
        <is>
          <t>eng</t>
        </is>
      </c>
      <c r="P474" t="inlineStr">
        <is>
          <t>nyu</t>
        </is>
      </c>
      <c r="Q474" t="inlineStr">
        <is>
          <t>Twayne's United States authors series ; TUSAS 190</t>
        </is>
      </c>
      <c r="R474" t="inlineStr">
        <is>
          <t xml:space="preserve">PS </t>
        </is>
      </c>
      <c r="S474" t="n">
        <v>1</v>
      </c>
      <c r="T474" t="n">
        <v>1</v>
      </c>
      <c r="U474" t="inlineStr">
        <is>
          <t>1999-04-06</t>
        </is>
      </c>
      <c r="V474" t="inlineStr">
        <is>
          <t>1999-04-06</t>
        </is>
      </c>
      <c r="W474" t="inlineStr">
        <is>
          <t>1997-06-02</t>
        </is>
      </c>
      <c r="X474" t="inlineStr">
        <is>
          <t>1997-06-02</t>
        </is>
      </c>
      <c r="Y474" t="n">
        <v>757</v>
      </c>
      <c r="Z474" t="n">
        <v>683</v>
      </c>
      <c r="AA474" t="n">
        <v>789</v>
      </c>
      <c r="AB474" t="n">
        <v>7</v>
      </c>
      <c r="AC474" t="n">
        <v>7</v>
      </c>
      <c r="AD474" t="n">
        <v>36</v>
      </c>
      <c r="AE474" t="n">
        <v>41</v>
      </c>
      <c r="AF474" t="n">
        <v>15</v>
      </c>
      <c r="AG474" t="n">
        <v>17</v>
      </c>
      <c r="AH474" t="n">
        <v>5</v>
      </c>
      <c r="AI474" t="n">
        <v>8</v>
      </c>
      <c r="AJ474" t="n">
        <v>20</v>
      </c>
      <c r="AK474" t="n">
        <v>21</v>
      </c>
      <c r="AL474" t="n">
        <v>6</v>
      </c>
      <c r="AM474" t="n">
        <v>6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HYPERLINK("http://catalog.hathitrust.org/Record/000439874","HathiTrust Record")</f>
        <v/>
      </c>
      <c r="AS474">
        <f>HYPERLINK("https://creighton-primo.hosted.exlibrisgroup.com/primo-explore/search?tab=default_tab&amp;search_scope=EVERYTHING&amp;vid=01CRU&amp;lang=en_US&amp;offset=0&amp;query=any,contains,991002003779702656","Catalog Record")</f>
        <v/>
      </c>
      <c r="AT474">
        <f>HYPERLINK("http://www.worldcat.org/oclc/257525","WorldCat Record")</f>
        <v/>
      </c>
      <c r="AU474" t="inlineStr">
        <is>
          <t>3943435534:eng</t>
        </is>
      </c>
      <c r="AV474" t="inlineStr">
        <is>
          <t>257525</t>
        </is>
      </c>
      <c r="AW474" t="inlineStr">
        <is>
          <t>991002003779702656</t>
        </is>
      </c>
      <c r="AX474" t="inlineStr">
        <is>
          <t>991002003779702656</t>
        </is>
      </c>
      <c r="AY474" t="inlineStr">
        <is>
          <t>2271840100002656</t>
        </is>
      </c>
      <c r="AZ474" t="inlineStr">
        <is>
          <t>BOOK</t>
        </is>
      </c>
      <c r="BC474" t="inlineStr">
        <is>
          <t>32285002781853</t>
        </is>
      </c>
      <c r="BD474" t="inlineStr">
        <is>
          <t>893408580</t>
        </is>
      </c>
    </row>
    <row r="475">
      <c r="A475" t="inlineStr">
        <is>
          <t>No</t>
        </is>
      </c>
      <c r="B475" t="inlineStr">
        <is>
          <t>PS3507.E8673 Z57 1983</t>
        </is>
      </c>
      <c r="C475" t="inlineStr">
        <is>
          <t>0                      PS 3507000E  8673               Z  57          1983</t>
        </is>
      </c>
      <c r="D475" t="inlineStr">
        <is>
          <t>Peter De Vries / by J.H. Bowden.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Bowden, J. H. (James Henry)</t>
        </is>
      </c>
      <c r="L475" t="inlineStr">
        <is>
          <t>Boston : Twayne Publishers, c1983.</t>
        </is>
      </c>
      <c r="M475" t="inlineStr">
        <is>
          <t>1983</t>
        </is>
      </c>
      <c r="O475" t="inlineStr">
        <is>
          <t>eng</t>
        </is>
      </c>
      <c r="P475" t="inlineStr">
        <is>
          <t>mau</t>
        </is>
      </c>
      <c r="Q475" t="inlineStr">
        <is>
          <t>Twayne's United States authors series ; TUSAS 448</t>
        </is>
      </c>
      <c r="R475" t="inlineStr">
        <is>
          <t xml:space="preserve">PS </t>
        </is>
      </c>
      <c r="S475" t="n">
        <v>2</v>
      </c>
      <c r="T475" t="n">
        <v>2</v>
      </c>
      <c r="U475" t="inlineStr">
        <is>
          <t>1993-10-22</t>
        </is>
      </c>
      <c r="V475" t="inlineStr">
        <is>
          <t>1993-10-22</t>
        </is>
      </c>
      <c r="W475" t="inlineStr">
        <is>
          <t>1990-11-06</t>
        </is>
      </c>
      <c r="X475" t="inlineStr">
        <is>
          <t>1990-11-06</t>
        </is>
      </c>
      <c r="Y475" t="n">
        <v>694</v>
      </c>
      <c r="Z475" t="n">
        <v>622</v>
      </c>
      <c r="AA475" t="n">
        <v>630</v>
      </c>
      <c r="AB475" t="n">
        <v>7</v>
      </c>
      <c r="AC475" t="n">
        <v>7</v>
      </c>
      <c r="AD475" t="n">
        <v>24</v>
      </c>
      <c r="AE475" t="n">
        <v>24</v>
      </c>
      <c r="AF475" t="n">
        <v>7</v>
      </c>
      <c r="AG475" t="n">
        <v>7</v>
      </c>
      <c r="AH475" t="n">
        <v>6</v>
      </c>
      <c r="AI475" t="n">
        <v>6</v>
      </c>
      <c r="AJ475" t="n">
        <v>14</v>
      </c>
      <c r="AK475" t="n">
        <v>14</v>
      </c>
      <c r="AL475" t="n">
        <v>5</v>
      </c>
      <c r="AM475" t="n">
        <v>5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HYPERLINK("http://catalog.hathitrust.org/Record/000236079","HathiTrust Record")</f>
        <v/>
      </c>
      <c r="AS475">
        <f>HYPERLINK("https://creighton-primo.hosted.exlibrisgroup.com/primo-explore/search?tab=default_tab&amp;search_scope=EVERYTHING&amp;vid=01CRU&amp;lang=en_US&amp;offset=0&amp;query=any,contains,991000134429702656","Catalog Record")</f>
        <v/>
      </c>
      <c r="AT475">
        <f>HYPERLINK("http://www.worldcat.org/oclc/9131523","WorldCat Record")</f>
        <v/>
      </c>
      <c r="AU475" t="inlineStr">
        <is>
          <t>43513682:eng</t>
        </is>
      </c>
      <c r="AV475" t="inlineStr">
        <is>
          <t>9131523</t>
        </is>
      </c>
      <c r="AW475" t="inlineStr">
        <is>
          <t>991000134429702656</t>
        </is>
      </c>
      <c r="AX475" t="inlineStr">
        <is>
          <t>991000134429702656</t>
        </is>
      </c>
      <c r="AY475" t="inlineStr">
        <is>
          <t>2269474770002656</t>
        </is>
      </c>
      <c r="AZ475" t="inlineStr">
        <is>
          <t>BOOK</t>
        </is>
      </c>
      <c r="BB475" t="inlineStr">
        <is>
          <t>9780805773880</t>
        </is>
      </c>
      <c r="BC475" t="inlineStr">
        <is>
          <t>32285000376979</t>
        </is>
      </c>
      <c r="BD475" t="inlineStr">
        <is>
          <t>893607654</t>
        </is>
      </c>
    </row>
    <row r="476">
      <c r="A476" t="inlineStr">
        <is>
          <t>No</t>
        </is>
      </c>
      <c r="B476" t="inlineStr">
        <is>
          <t>PS3507.I215 A3</t>
        </is>
      </c>
      <c r="C476" t="inlineStr">
        <is>
          <t>0                      PS 3507000I  215                A  3</t>
        </is>
      </c>
      <c r="D476" t="inlineStr">
        <is>
          <t>The admiral; a novel.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Dibner, Martin.</t>
        </is>
      </c>
      <c r="L476" t="inlineStr">
        <is>
          <t>Garden City, N.Y., Doubleday, 1967.</t>
        </is>
      </c>
      <c r="M476" t="inlineStr">
        <is>
          <t>1967</t>
        </is>
      </c>
      <c r="N476" t="inlineStr">
        <is>
          <t>[1st ed.]</t>
        </is>
      </c>
      <c r="O476" t="inlineStr">
        <is>
          <t>eng</t>
        </is>
      </c>
      <c r="P476" t="inlineStr">
        <is>
          <t>nyu</t>
        </is>
      </c>
      <c r="R476" t="inlineStr">
        <is>
          <t xml:space="preserve">PS </t>
        </is>
      </c>
      <c r="S476" t="n">
        <v>1</v>
      </c>
      <c r="T476" t="n">
        <v>1</v>
      </c>
      <c r="U476" t="inlineStr">
        <is>
          <t>1992-01-31</t>
        </is>
      </c>
      <c r="V476" t="inlineStr">
        <is>
          <t>1992-01-31</t>
        </is>
      </c>
      <c r="W476" t="inlineStr">
        <is>
          <t>1990-11-06</t>
        </is>
      </c>
      <c r="X476" t="inlineStr">
        <is>
          <t>1990-11-06</t>
        </is>
      </c>
      <c r="Y476" t="n">
        <v>350</v>
      </c>
      <c r="Z476" t="n">
        <v>340</v>
      </c>
      <c r="AA476" t="n">
        <v>460</v>
      </c>
      <c r="AB476" t="n">
        <v>5</v>
      </c>
      <c r="AC476" t="n">
        <v>6</v>
      </c>
      <c r="AD476" t="n">
        <v>4</v>
      </c>
      <c r="AE476" t="n">
        <v>6</v>
      </c>
      <c r="AF476" t="n">
        <v>0</v>
      </c>
      <c r="AG476" t="n">
        <v>0</v>
      </c>
      <c r="AH476" t="n">
        <v>0</v>
      </c>
      <c r="AI476" t="n">
        <v>1</v>
      </c>
      <c r="AJ476" t="n">
        <v>2</v>
      </c>
      <c r="AK476" t="n">
        <v>2</v>
      </c>
      <c r="AL476" t="n">
        <v>2</v>
      </c>
      <c r="AM476" t="n">
        <v>3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HYPERLINK("https://creighton-primo.hosted.exlibrisgroup.com/primo-explore/search?tab=default_tab&amp;search_scope=EVERYTHING&amp;vid=01CRU&amp;lang=en_US&amp;offset=0&amp;query=any,contains,991004199549702656","Catalog Record")</f>
        <v/>
      </c>
      <c r="AT476">
        <f>HYPERLINK("http://www.worldcat.org/oclc/2648538","WorldCat Record")</f>
        <v/>
      </c>
      <c r="AU476" t="inlineStr">
        <is>
          <t>425737526:eng</t>
        </is>
      </c>
      <c r="AV476" t="inlineStr">
        <is>
          <t>2648538</t>
        </is>
      </c>
      <c r="AW476" t="inlineStr">
        <is>
          <t>991004199549702656</t>
        </is>
      </c>
      <c r="AX476" t="inlineStr">
        <is>
          <t>991004199549702656</t>
        </is>
      </c>
      <c r="AY476" t="inlineStr">
        <is>
          <t>2271272820002656</t>
        </is>
      </c>
      <c r="AZ476" t="inlineStr">
        <is>
          <t>BOOK</t>
        </is>
      </c>
      <c r="BC476" t="inlineStr">
        <is>
          <t>32285000376995</t>
        </is>
      </c>
      <c r="BD476" t="inlineStr">
        <is>
          <t>893353277</t>
        </is>
      </c>
    </row>
    <row r="477">
      <c r="A477" t="inlineStr">
        <is>
          <t>No</t>
        </is>
      </c>
      <c r="B477" t="inlineStr">
        <is>
          <t>PS3507.I93 C5</t>
        </is>
      </c>
      <c r="C477" t="inlineStr">
        <is>
          <t>0                      PS 3507000I  93                 C  5</t>
        </is>
      </c>
      <c r="D477" t="inlineStr">
        <is>
          <t>The clansman : an historical romance of the Ku Klux Klan / by Thomas Dixon, Jr. ; illustrated by Arthur I. Keller.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Dixon, Thomas, Jr., 1864-1946.</t>
        </is>
      </c>
      <c r="L477" t="inlineStr">
        <is>
          <t>New York : Doubleday, Page &amp; Company, 1905.</t>
        </is>
      </c>
      <c r="M477" t="inlineStr">
        <is>
          <t>1905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PS </t>
        </is>
      </c>
      <c r="S477" t="n">
        <v>18</v>
      </c>
      <c r="T477" t="n">
        <v>18</v>
      </c>
      <c r="U477" t="inlineStr">
        <is>
          <t>2005-11-14</t>
        </is>
      </c>
      <c r="V477" t="inlineStr">
        <is>
          <t>2005-11-14</t>
        </is>
      </c>
      <c r="W477" t="inlineStr">
        <is>
          <t>1997-06-02</t>
        </is>
      </c>
      <c r="X477" t="inlineStr">
        <is>
          <t>1997-06-02</t>
        </is>
      </c>
      <c r="Y477" t="n">
        <v>317</v>
      </c>
      <c r="Z477" t="n">
        <v>305</v>
      </c>
      <c r="AA477" t="n">
        <v>1685</v>
      </c>
      <c r="AB477" t="n">
        <v>2</v>
      </c>
      <c r="AC477" t="n">
        <v>16</v>
      </c>
      <c r="AD477" t="n">
        <v>16</v>
      </c>
      <c r="AE477" t="n">
        <v>59</v>
      </c>
      <c r="AF477" t="n">
        <v>7</v>
      </c>
      <c r="AG477" t="n">
        <v>26</v>
      </c>
      <c r="AH477" t="n">
        <v>6</v>
      </c>
      <c r="AI477" t="n">
        <v>11</v>
      </c>
      <c r="AJ477" t="n">
        <v>5</v>
      </c>
      <c r="AK477" t="n">
        <v>25</v>
      </c>
      <c r="AL477" t="n">
        <v>1</v>
      </c>
      <c r="AM477" t="n">
        <v>10</v>
      </c>
      <c r="AN477" t="n">
        <v>0</v>
      </c>
      <c r="AO477" t="n">
        <v>0</v>
      </c>
      <c r="AP477" t="inlineStr">
        <is>
          <t>Yes</t>
        </is>
      </c>
      <c r="AQ477" t="inlineStr">
        <is>
          <t>No</t>
        </is>
      </c>
      <c r="AR477">
        <f>HYPERLINK("http://catalog.hathitrust.org/Record/000119921","HathiTrust Record")</f>
        <v/>
      </c>
      <c r="AS477">
        <f>HYPERLINK("https://creighton-primo.hosted.exlibrisgroup.com/primo-explore/search?tab=default_tab&amp;search_scope=EVERYTHING&amp;vid=01CRU&amp;lang=en_US&amp;offset=0&amp;query=any,contains,991003070539702656","Catalog Record")</f>
        <v/>
      </c>
      <c r="AT477">
        <f>HYPERLINK("http://www.worldcat.org/oclc/624730","WorldCat Record")</f>
        <v/>
      </c>
      <c r="AU477" t="inlineStr">
        <is>
          <t>473964:eng</t>
        </is>
      </c>
      <c r="AV477" t="inlineStr">
        <is>
          <t>624730</t>
        </is>
      </c>
      <c r="AW477" t="inlineStr">
        <is>
          <t>991003070539702656</t>
        </is>
      </c>
      <c r="AX477" t="inlineStr">
        <is>
          <t>991003070539702656</t>
        </is>
      </c>
      <c r="AY477" t="inlineStr">
        <is>
          <t>2258861810002656</t>
        </is>
      </c>
      <c r="AZ477" t="inlineStr">
        <is>
          <t>BOOK</t>
        </is>
      </c>
      <c r="BC477" t="inlineStr">
        <is>
          <t>32285002782109</t>
        </is>
      </c>
      <c r="BD477" t="inlineStr">
        <is>
          <t>893880795</t>
        </is>
      </c>
    </row>
    <row r="478">
      <c r="A478" t="inlineStr">
        <is>
          <t>No</t>
        </is>
      </c>
      <c r="B478" t="inlineStr">
        <is>
          <t>PS3507.I93 F3</t>
        </is>
      </c>
      <c r="C478" t="inlineStr">
        <is>
          <t>0                      PS 3507000I  93                 F  3</t>
        </is>
      </c>
      <c r="D478" t="inlineStr">
        <is>
          <t>The fall of a nation / by Thomas Dixon.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Dixon, Thomas, Jr., 1864-1946.</t>
        </is>
      </c>
      <c r="L478" t="inlineStr">
        <is>
          <t>New York : D. Appleton and company, 1916.</t>
        </is>
      </c>
      <c r="M478" t="inlineStr">
        <is>
          <t>1916</t>
        </is>
      </c>
      <c r="O478" t="inlineStr">
        <is>
          <t>eng</t>
        </is>
      </c>
      <c r="P478" t="inlineStr">
        <is>
          <t>___</t>
        </is>
      </c>
      <c r="R478" t="inlineStr">
        <is>
          <t xml:space="preserve">PS </t>
        </is>
      </c>
      <c r="S478" t="n">
        <v>1</v>
      </c>
      <c r="T478" t="n">
        <v>1</v>
      </c>
      <c r="U478" t="inlineStr">
        <is>
          <t>2003-02-09</t>
        </is>
      </c>
      <c r="V478" t="inlineStr">
        <is>
          <t>2003-02-09</t>
        </is>
      </c>
      <c r="W478" t="inlineStr">
        <is>
          <t>1990-11-06</t>
        </is>
      </c>
      <c r="X478" t="inlineStr">
        <is>
          <t>1990-11-06</t>
        </is>
      </c>
      <c r="Y478" t="n">
        <v>135</v>
      </c>
      <c r="Z478" t="n">
        <v>123</v>
      </c>
      <c r="AA478" t="n">
        <v>255</v>
      </c>
      <c r="AB478" t="n">
        <v>2</v>
      </c>
      <c r="AC478" t="n">
        <v>4</v>
      </c>
      <c r="AD478" t="n">
        <v>8</v>
      </c>
      <c r="AE478" t="n">
        <v>11</v>
      </c>
      <c r="AF478" t="n">
        <v>4</v>
      </c>
      <c r="AG478" t="n">
        <v>4</v>
      </c>
      <c r="AH478" t="n">
        <v>1</v>
      </c>
      <c r="AI478" t="n">
        <v>3</v>
      </c>
      <c r="AJ478" t="n">
        <v>2</v>
      </c>
      <c r="AK478" t="n">
        <v>2</v>
      </c>
      <c r="AL478" t="n">
        <v>1</v>
      </c>
      <c r="AM478" t="n">
        <v>2</v>
      </c>
      <c r="AN478" t="n">
        <v>0</v>
      </c>
      <c r="AO478" t="n">
        <v>0</v>
      </c>
      <c r="AP478" t="inlineStr">
        <is>
          <t>Yes</t>
        </is>
      </c>
      <c r="AQ478" t="inlineStr">
        <is>
          <t>No</t>
        </is>
      </c>
      <c r="AR478">
        <f>HYPERLINK("http://catalog.hathitrust.org/Record/007657053","HathiTrust Record")</f>
        <v/>
      </c>
      <c r="AS478">
        <f>HYPERLINK("https://creighton-primo.hosted.exlibrisgroup.com/primo-explore/search?tab=default_tab&amp;search_scope=EVERYTHING&amp;vid=01CRU&amp;lang=en_US&amp;offset=0&amp;query=any,contains,991002195389702656","Catalog Record")</f>
        <v/>
      </c>
      <c r="AT478">
        <f>HYPERLINK("http://www.worldcat.org/oclc/282783","WorldCat Record")</f>
        <v/>
      </c>
      <c r="AU478" t="inlineStr">
        <is>
          <t>476768:eng</t>
        </is>
      </c>
      <c r="AV478" t="inlineStr">
        <is>
          <t>282783</t>
        </is>
      </c>
      <c r="AW478" t="inlineStr">
        <is>
          <t>991002195389702656</t>
        </is>
      </c>
      <c r="AX478" t="inlineStr">
        <is>
          <t>991002195389702656</t>
        </is>
      </c>
      <c r="AY478" t="inlineStr">
        <is>
          <t>2266300890002656</t>
        </is>
      </c>
      <c r="AZ478" t="inlineStr">
        <is>
          <t>BOOK</t>
        </is>
      </c>
      <c r="BC478" t="inlineStr">
        <is>
          <t>32285000377019</t>
        </is>
      </c>
      <c r="BD478" t="inlineStr">
        <is>
          <t>893703778</t>
        </is>
      </c>
    </row>
    <row r="479">
      <c r="A479" t="inlineStr">
        <is>
          <t>No</t>
        </is>
      </c>
      <c r="B479" t="inlineStr">
        <is>
          <t>PS3507.O1833 O8 1972</t>
        </is>
      </c>
      <c r="C479" t="inlineStr">
        <is>
          <t>0                      PS 3507000O  1833               O  8           1972</t>
        </is>
      </c>
      <c r="D479" t="inlineStr">
        <is>
          <t>Out of the old rock; [character sketches]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Dobie, J. Frank (James Frank), 1888-1964.</t>
        </is>
      </c>
      <c r="L479" t="inlineStr">
        <is>
          <t>Boston, Little, Brown [1972]</t>
        </is>
      </c>
      <c r="M479" t="inlineStr">
        <is>
          <t>1972</t>
        </is>
      </c>
      <c r="N479" t="inlineStr">
        <is>
          <t>[1st ed.]</t>
        </is>
      </c>
      <c r="O479" t="inlineStr">
        <is>
          <t>eng</t>
        </is>
      </c>
      <c r="P479" t="inlineStr">
        <is>
          <t>mau</t>
        </is>
      </c>
      <c r="R479" t="inlineStr">
        <is>
          <t xml:space="preserve">PS </t>
        </is>
      </c>
      <c r="S479" t="n">
        <v>1</v>
      </c>
      <c r="T479" t="n">
        <v>1</v>
      </c>
      <c r="U479" t="inlineStr">
        <is>
          <t>1997-12-06</t>
        </is>
      </c>
      <c r="V479" t="inlineStr">
        <is>
          <t>1997-12-06</t>
        </is>
      </c>
      <c r="W479" t="inlineStr">
        <is>
          <t>1997-06-02</t>
        </is>
      </c>
      <c r="X479" t="inlineStr">
        <is>
          <t>1997-06-02</t>
        </is>
      </c>
      <c r="Y479" t="n">
        <v>800</v>
      </c>
      <c r="Z479" t="n">
        <v>789</v>
      </c>
      <c r="AA479" t="n">
        <v>983</v>
      </c>
      <c r="AB479" t="n">
        <v>7</v>
      </c>
      <c r="AC479" t="n">
        <v>8</v>
      </c>
      <c r="AD479" t="n">
        <v>11</v>
      </c>
      <c r="AE479" t="n">
        <v>14</v>
      </c>
      <c r="AF479" t="n">
        <v>3</v>
      </c>
      <c r="AG479" t="n">
        <v>4</v>
      </c>
      <c r="AH479" t="n">
        <v>3</v>
      </c>
      <c r="AI479" t="n">
        <v>3</v>
      </c>
      <c r="AJ479" t="n">
        <v>5</v>
      </c>
      <c r="AK479" t="n">
        <v>7</v>
      </c>
      <c r="AL479" t="n">
        <v>3</v>
      </c>
      <c r="AM479" t="n">
        <v>4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HYPERLINK("http://catalog.hathitrust.org/Record/001375271","HathiTrust Record")</f>
        <v/>
      </c>
      <c r="AS479">
        <f>HYPERLINK("https://creighton-primo.hosted.exlibrisgroup.com/primo-explore/search?tab=default_tab&amp;search_scope=EVERYTHING&amp;vid=01CRU&amp;lang=en_US&amp;offset=0&amp;query=any,contains,991002259609702656","Catalog Record")</f>
        <v/>
      </c>
      <c r="AT479">
        <f>HYPERLINK("http://www.worldcat.org/oclc/303608","WorldCat Record")</f>
        <v/>
      </c>
      <c r="AU479" t="inlineStr">
        <is>
          <t>433321:eng</t>
        </is>
      </c>
      <c r="AV479" t="inlineStr">
        <is>
          <t>303608</t>
        </is>
      </c>
      <c r="AW479" t="inlineStr">
        <is>
          <t>991002259609702656</t>
        </is>
      </c>
      <c r="AX479" t="inlineStr">
        <is>
          <t>991002259609702656</t>
        </is>
      </c>
      <c r="AY479" t="inlineStr">
        <is>
          <t>2272544700002656</t>
        </is>
      </c>
      <c r="AZ479" t="inlineStr">
        <is>
          <t>BOOK</t>
        </is>
      </c>
      <c r="BC479" t="inlineStr">
        <is>
          <t>32285002782141</t>
        </is>
      </c>
      <c r="BD479" t="inlineStr">
        <is>
          <t>893785921</t>
        </is>
      </c>
    </row>
    <row r="480">
      <c r="A480" t="inlineStr">
        <is>
          <t>No</t>
        </is>
      </c>
      <c r="B480" t="inlineStr">
        <is>
          <t>PS3507.O53 F3 1938</t>
        </is>
      </c>
      <c r="C480" t="inlineStr">
        <is>
          <t>0                      PS 3507000O  53                 F  3           1938</t>
        </is>
      </c>
      <c r="D480" t="inlineStr">
        <is>
          <t>Father Malachy's miracle, a play in 3 acts, by Brian Doherty, adapted from the novel of the same name by Bruce Marshall.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Doherty, Brian, 1906-1974.</t>
        </is>
      </c>
      <c r="L480" t="inlineStr">
        <is>
          <t>New York, Random house [c1938]</t>
        </is>
      </c>
      <c r="M480" t="inlineStr">
        <is>
          <t>1938</t>
        </is>
      </c>
      <c r="O480" t="inlineStr">
        <is>
          <t>eng</t>
        </is>
      </c>
      <c r="P480" t="inlineStr">
        <is>
          <t>nyu</t>
        </is>
      </c>
      <c r="R480" t="inlineStr">
        <is>
          <t xml:space="preserve">PS </t>
        </is>
      </c>
      <c r="S480" t="n">
        <v>1</v>
      </c>
      <c r="T480" t="n">
        <v>1</v>
      </c>
      <c r="U480" t="inlineStr">
        <is>
          <t>2003-05-21</t>
        </is>
      </c>
      <c r="V480" t="inlineStr">
        <is>
          <t>2003-05-21</t>
        </is>
      </c>
      <c r="W480" t="inlineStr">
        <is>
          <t>1997-06-02</t>
        </is>
      </c>
      <c r="X480" t="inlineStr">
        <is>
          <t>1997-06-02</t>
        </is>
      </c>
      <c r="Y480" t="n">
        <v>225</v>
      </c>
      <c r="Z480" t="n">
        <v>207</v>
      </c>
      <c r="AA480" t="n">
        <v>245</v>
      </c>
      <c r="AB480" t="n">
        <v>2</v>
      </c>
      <c r="AC480" t="n">
        <v>2</v>
      </c>
      <c r="AD480" t="n">
        <v>5</v>
      </c>
      <c r="AE480" t="n">
        <v>8</v>
      </c>
      <c r="AF480" t="n">
        <v>2</v>
      </c>
      <c r="AG480" t="n">
        <v>3</v>
      </c>
      <c r="AH480" t="n">
        <v>1</v>
      </c>
      <c r="AI480" t="n">
        <v>2</v>
      </c>
      <c r="AJ480" t="n">
        <v>3</v>
      </c>
      <c r="AK480" t="n">
        <v>5</v>
      </c>
      <c r="AL480" t="n">
        <v>1</v>
      </c>
      <c r="AM480" t="n">
        <v>1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R480">
        <f>HYPERLINK("http://catalog.hathitrust.org/Record/006575648","HathiTrust Record")</f>
        <v/>
      </c>
      <c r="AS480">
        <f>HYPERLINK("https://creighton-primo.hosted.exlibrisgroup.com/primo-explore/search?tab=default_tab&amp;search_scope=EVERYTHING&amp;vid=01CRU&amp;lang=en_US&amp;offset=0&amp;query=any,contains,991004099589702656","Catalog Record")</f>
        <v/>
      </c>
      <c r="AT480">
        <f>HYPERLINK("http://www.worldcat.org/oclc/2370282","WorldCat Record")</f>
        <v/>
      </c>
      <c r="AU480" t="inlineStr">
        <is>
          <t>3943562964:eng</t>
        </is>
      </c>
      <c r="AV480" t="inlineStr">
        <is>
          <t>2370282</t>
        </is>
      </c>
      <c r="AW480" t="inlineStr">
        <is>
          <t>991004099589702656</t>
        </is>
      </c>
      <c r="AX480" t="inlineStr">
        <is>
          <t>991004099589702656</t>
        </is>
      </c>
      <c r="AY480" t="inlineStr">
        <is>
          <t>2255840550002656</t>
        </is>
      </c>
      <c r="AZ480" t="inlineStr">
        <is>
          <t>BOOK</t>
        </is>
      </c>
      <c r="BC480" t="inlineStr">
        <is>
          <t>32285002782166</t>
        </is>
      </c>
      <c r="BD480" t="inlineStr">
        <is>
          <t>893687367</t>
        </is>
      </c>
    </row>
    <row r="481">
      <c r="A481" t="inlineStr">
        <is>
          <t>No</t>
        </is>
      </c>
      <c r="B481" t="inlineStr">
        <is>
          <t>PS3507.O726 Z58 1990</t>
        </is>
      </c>
      <c r="C481" t="inlineStr">
        <is>
          <t>0                      PS 3507000O  726                Z  58          1990</t>
        </is>
      </c>
      <c r="D481" t="inlineStr">
        <is>
          <t>H.D. between image and epic : the mysteries of her poetics / by Gary Burnett.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Burnett, Gary Dean.</t>
        </is>
      </c>
      <c r="L481" t="inlineStr">
        <is>
          <t>Ann Arbor, Mich. : UMI Research Press, c1990.</t>
        </is>
      </c>
      <c r="M481" t="inlineStr">
        <is>
          <t>1990</t>
        </is>
      </c>
      <c r="O481" t="inlineStr">
        <is>
          <t>eng</t>
        </is>
      </c>
      <c r="P481" t="inlineStr">
        <is>
          <t>miu</t>
        </is>
      </c>
      <c r="Q481" t="inlineStr">
        <is>
          <t>Studies in modern literature ; no. 111</t>
        </is>
      </c>
      <c r="R481" t="inlineStr">
        <is>
          <t xml:space="preserve">PS </t>
        </is>
      </c>
      <c r="S481" t="n">
        <v>1</v>
      </c>
      <c r="T481" t="n">
        <v>1</v>
      </c>
      <c r="U481" t="inlineStr">
        <is>
          <t>2005-04-22</t>
        </is>
      </c>
      <c r="V481" t="inlineStr">
        <is>
          <t>2005-04-22</t>
        </is>
      </c>
      <c r="W481" t="inlineStr">
        <is>
          <t>1990-04-17</t>
        </is>
      </c>
      <c r="X481" t="inlineStr">
        <is>
          <t>1990-04-17</t>
        </is>
      </c>
      <c r="Y481" t="n">
        <v>271</v>
      </c>
      <c r="Z481" t="n">
        <v>246</v>
      </c>
      <c r="AA481" t="n">
        <v>288</v>
      </c>
      <c r="AB481" t="n">
        <v>3</v>
      </c>
      <c r="AC481" t="n">
        <v>3</v>
      </c>
      <c r="AD481" t="n">
        <v>16</v>
      </c>
      <c r="AE481" t="n">
        <v>17</v>
      </c>
      <c r="AF481" t="n">
        <v>3</v>
      </c>
      <c r="AG481" t="n">
        <v>3</v>
      </c>
      <c r="AH481" t="n">
        <v>6</v>
      </c>
      <c r="AI481" t="n">
        <v>7</v>
      </c>
      <c r="AJ481" t="n">
        <v>8</v>
      </c>
      <c r="AK481" t="n">
        <v>9</v>
      </c>
      <c r="AL481" t="n">
        <v>2</v>
      </c>
      <c r="AM481" t="n">
        <v>2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HYPERLINK("https://creighton-primo.hosted.exlibrisgroup.com/primo-explore/search?tab=default_tab&amp;search_scope=EVERYTHING&amp;vid=01CRU&amp;lang=en_US&amp;offset=0&amp;query=any,contains,991001577819702656","Catalog Record")</f>
        <v/>
      </c>
      <c r="AT481">
        <f>HYPERLINK("http://www.worldcat.org/oclc/20453581","WorldCat Record")</f>
        <v/>
      </c>
      <c r="AU481" t="inlineStr">
        <is>
          <t>22010681:eng</t>
        </is>
      </c>
      <c r="AV481" t="inlineStr">
        <is>
          <t>20453581</t>
        </is>
      </c>
      <c r="AW481" t="inlineStr">
        <is>
          <t>991001577819702656</t>
        </is>
      </c>
      <c r="AX481" t="inlineStr">
        <is>
          <t>991001577819702656</t>
        </is>
      </c>
      <c r="AY481" t="inlineStr">
        <is>
          <t>2255779850002656</t>
        </is>
      </c>
      <c r="AZ481" t="inlineStr">
        <is>
          <t>BOOK</t>
        </is>
      </c>
      <c r="BB481" t="inlineStr">
        <is>
          <t>9780835720427</t>
        </is>
      </c>
      <c r="BC481" t="inlineStr">
        <is>
          <t>32285000102292</t>
        </is>
      </c>
      <c r="BD481" t="inlineStr">
        <is>
          <t>893439220</t>
        </is>
      </c>
    </row>
    <row r="482">
      <c r="A482" t="inlineStr">
        <is>
          <t>No</t>
        </is>
      </c>
      <c r="B482" t="inlineStr">
        <is>
          <t>PS3507.O726 Z84</t>
        </is>
      </c>
      <c r="C482" t="inlineStr">
        <is>
          <t>0                      PS 3507000O  726                Z  84</t>
        </is>
      </c>
      <c r="D482" t="inlineStr">
        <is>
          <t>Hilda Doolittle (H. D.) by Vincent Quinn.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Quinn, Vincent (Vincent Gerard), 1926-2009.</t>
        </is>
      </c>
      <c r="L482" t="inlineStr">
        <is>
          <t>New York, Twayne Publishers [1968, c1967]</t>
        </is>
      </c>
      <c r="M482" t="inlineStr">
        <is>
          <t>1968</t>
        </is>
      </c>
      <c r="O482" t="inlineStr">
        <is>
          <t>eng</t>
        </is>
      </c>
      <c r="P482" t="inlineStr">
        <is>
          <t>nyu</t>
        </is>
      </c>
      <c r="Q482" t="inlineStr">
        <is>
          <t>Twayne's United States authors series, 126</t>
        </is>
      </c>
      <c r="R482" t="inlineStr">
        <is>
          <t xml:space="preserve">PS </t>
        </is>
      </c>
      <c r="S482" t="n">
        <v>1</v>
      </c>
      <c r="T482" t="n">
        <v>1</v>
      </c>
      <c r="U482" t="inlineStr">
        <is>
          <t>2005-04-22</t>
        </is>
      </c>
      <c r="V482" t="inlineStr">
        <is>
          <t>2005-04-22</t>
        </is>
      </c>
      <c r="W482" t="inlineStr">
        <is>
          <t>1997-06-02</t>
        </is>
      </c>
      <c r="X482" t="inlineStr">
        <is>
          <t>1997-06-02</t>
        </is>
      </c>
      <c r="Y482" t="n">
        <v>971</v>
      </c>
      <c r="Z482" t="n">
        <v>918</v>
      </c>
      <c r="AA482" t="n">
        <v>999</v>
      </c>
      <c r="AB482" t="n">
        <v>11</v>
      </c>
      <c r="AC482" t="n">
        <v>11</v>
      </c>
      <c r="AD482" t="n">
        <v>47</v>
      </c>
      <c r="AE482" t="n">
        <v>51</v>
      </c>
      <c r="AF482" t="n">
        <v>20</v>
      </c>
      <c r="AG482" t="n">
        <v>22</v>
      </c>
      <c r="AH482" t="n">
        <v>7</v>
      </c>
      <c r="AI482" t="n">
        <v>8</v>
      </c>
      <c r="AJ482" t="n">
        <v>22</v>
      </c>
      <c r="AK482" t="n">
        <v>24</v>
      </c>
      <c r="AL482" t="n">
        <v>10</v>
      </c>
      <c r="AM482" t="n">
        <v>10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HYPERLINK("https://creighton-primo.hosted.exlibrisgroup.com/primo-explore/search?tab=default_tab&amp;search_scope=EVERYTHING&amp;vid=01CRU&amp;lang=en_US&amp;offset=0&amp;query=any,contains,991003185359702656","Catalog Record")</f>
        <v/>
      </c>
      <c r="AT482">
        <f>HYPERLINK("http://www.worldcat.org/oclc/712629","WorldCat Record")</f>
        <v/>
      </c>
      <c r="AU482" t="inlineStr">
        <is>
          <t>118309711:eng</t>
        </is>
      </c>
      <c r="AV482" t="inlineStr">
        <is>
          <t>712629</t>
        </is>
      </c>
      <c r="AW482" t="inlineStr">
        <is>
          <t>991003185359702656</t>
        </is>
      </c>
      <c r="AX482" t="inlineStr">
        <is>
          <t>991003185359702656</t>
        </is>
      </c>
      <c r="AY482" t="inlineStr">
        <is>
          <t>2256617310002656</t>
        </is>
      </c>
      <c r="AZ482" t="inlineStr">
        <is>
          <t>BOOK</t>
        </is>
      </c>
      <c r="BC482" t="inlineStr">
        <is>
          <t>32285002782257</t>
        </is>
      </c>
      <c r="BD482" t="inlineStr">
        <is>
          <t>893233899</t>
        </is>
      </c>
    </row>
    <row r="483">
      <c r="A483" t="inlineStr">
        <is>
          <t>No</t>
        </is>
      </c>
      <c r="B483" t="inlineStr">
        <is>
          <t>PS3507.O726 Z85</t>
        </is>
      </c>
      <c r="C483" t="inlineStr">
        <is>
          <t>0                      PS 3507000O  726                Z  85</t>
        </is>
      </c>
      <c r="D483" t="inlineStr">
        <is>
          <t>H.D., the life and work of an American poet / Janice S. Robinson.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Robinson, Janice S. (Janice Stevenson)</t>
        </is>
      </c>
      <c r="L483" t="inlineStr">
        <is>
          <t>Boston : Houghton Mifflin, 1982.</t>
        </is>
      </c>
      <c r="M483" t="inlineStr">
        <is>
          <t>1982</t>
        </is>
      </c>
      <c r="O483" t="inlineStr">
        <is>
          <t>eng</t>
        </is>
      </c>
      <c r="P483" t="inlineStr">
        <is>
          <t>mau</t>
        </is>
      </c>
      <c r="R483" t="inlineStr">
        <is>
          <t xml:space="preserve">PS </t>
        </is>
      </c>
      <c r="S483" t="n">
        <v>1</v>
      </c>
      <c r="T483" t="n">
        <v>1</v>
      </c>
      <c r="U483" t="inlineStr">
        <is>
          <t>2005-04-22</t>
        </is>
      </c>
      <c r="V483" t="inlineStr">
        <is>
          <t>2005-04-22</t>
        </is>
      </c>
      <c r="W483" t="inlineStr">
        <is>
          <t>1990-07-31</t>
        </is>
      </c>
      <c r="X483" t="inlineStr">
        <is>
          <t>1990-07-31</t>
        </is>
      </c>
      <c r="Y483" t="n">
        <v>925</v>
      </c>
      <c r="Z483" t="n">
        <v>802</v>
      </c>
      <c r="AA483" t="n">
        <v>819</v>
      </c>
      <c r="AB483" t="n">
        <v>5</v>
      </c>
      <c r="AC483" t="n">
        <v>5</v>
      </c>
      <c r="AD483" t="n">
        <v>33</v>
      </c>
      <c r="AE483" t="n">
        <v>35</v>
      </c>
      <c r="AF483" t="n">
        <v>17</v>
      </c>
      <c r="AG483" t="n">
        <v>18</v>
      </c>
      <c r="AH483" t="n">
        <v>9</v>
      </c>
      <c r="AI483" t="n">
        <v>10</v>
      </c>
      <c r="AJ483" t="n">
        <v>13</v>
      </c>
      <c r="AK483" t="n">
        <v>13</v>
      </c>
      <c r="AL483" t="n">
        <v>4</v>
      </c>
      <c r="AM483" t="n">
        <v>4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HYPERLINK("http://catalog.hathitrust.org/Record/000227048","HathiTrust Record")</f>
        <v/>
      </c>
      <c r="AS483">
        <f>HYPERLINK("https://creighton-primo.hosted.exlibrisgroup.com/primo-explore/search?tab=default_tab&amp;search_scope=EVERYTHING&amp;vid=01CRU&amp;lang=en_US&amp;offset=0&amp;query=any,contains,991005153479702656","Catalog Record")</f>
        <v/>
      </c>
      <c r="AT483">
        <f>HYPERLINK("http://www.worldcat.org/oclc/7736651","WorldCat Record")</f>
        <v/>
      </c>
      <c r="AU483" t="inlineStr">
        <is>
          <t>29729835:eng</t>
        </is>
      </c>
      <c r="AV483" t="inlineStr">
        <is>
          <t>7736651</t>
        </is>
      </c>
      <c r="AW483" t="inlineStr">
        <is>
          <t>991005153479702656</t>
        </is>
      </c>
      <c r="AX483" t="inlineStr">
        <is>
          <t>991005153479702656</t>
        </is>
      </c>
      <c r="AY483" t="inlineStr">
        <is>
          <t>2255281720002656</t>
        </is>
      </c>
      <c r="AZ483" t="inlineStr">
        <is>
          <t>BOOK</t>
        </is>
      </c>
      <c r="BB483" t="inlineStr">
        <is>
          <t>9780395318553</t>
        </is>
      </c>
      <c r="BC483" t="inlineStr">
        <is>
          <t>32285000229715</t>
        </is>
      </c>
      <c r="BD483" t="inlineStr">
        <is>
          <t>893810884</t>
        </is>
      </c>
    </row>
    <row r="484">
      <c r="A484" t="inlineStr">
        <is>
          <t>No</t>
        </is>
      </c>
      <c r="B484" t="inlineStr">
        <is>
          <t>PS3507.O726 Z87</t>
        </is>
      </c>
      <c r="C484" t="inlineStr">
        <is>
          <t>0                      PS 3507000O  726                Z  87</t>
        </is>
      </c>
      <c r="D484" t="inlineStr">
        <is>
          <t>The Classical world of H. D.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Swann, Thomas Burnett.</t>
        </is>
      </c>
      <c r="L484" t="inlineStr">
        <is>
          <t>Lincoln, University of Nebraska Press, 1962.</t>
        </is>
      </c>
      <c r="M484" t="inlineStr">
        <is>
          <t>1962</t>
        </is>
      </c>
      <c r="O484" t="inlineStr">
        <is>
          <t>eng</t>
        </is>
      </c>
      <c r="P484" t="inlineStr">
        <is>
          <t>nbu</t>
        </is>
      </c>
      <c r="R484" t="inlineStr">
        <is>
          <t xml:space="preserve">PS </t>
        </is>
      </c>
      <c r="S484" t="n">
        <v>1</v>
      </c>
      <c r="T484" t="n">
        <v>1</v>
      </c>
      <c r="U484" t="inlineStr">
        <is>
          <t>2005-04-24</t>
        </is>
      </c>
      <c r="V484" t="inlineStr">
        <is>
          <t>2005-04-24</t>
        </is>
      </c>
      <c r="W484" t="inlineStr">
        <is>
          <t>1997-06-02</t>
        </is>
      </c>
      <c r="X484" t="inlineStr">
        <is>
          <t>1997-06-02</t>
        </is>
      </c>
      <c r="Y484" t="n">
        <v>585</v>
      </c>
      <c r="Z484" t="n">
        <v>532</v>
      </c>
      <c r="AA484" t="n">
        <v>535</v>
      </c>
      <c r="AB484" t="n">
        <v>6</v>
      </c>
      <c r="AC484" t="n">
        <v>6</v>
      </c>
      <c r="AD484" t="n">
        <v>28</v>
      </c>
      <c r="AE484" t="n">
        <v>28</v>
      </c>
      <c r="AF484" t="n">
        <v>9</v>
      </c>
      <c r="AG484" t="n">
        <v>9</v>
      </c>
      <c r="AH484" t="n">
        <v>6</v>
      </c>
      <c r="AI484" t="n">
        <v>6</v>
      </c>
      <c r="AJ484" t="n">
        <v>14</v>
      </c>
      <c r="AK484" t="n">
        <v>14</v>
      </c>
      <c r="AL484" t="n">
        <v>5</v>
      </c>
      <c r="AM484" t="n">
        <v>5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R484">
        <f>HYPERLINK("http://catalog.hathitrust.org/Record/001375393","HathiTrust Record")</f>
        <v/>
      </c>
      <c r="AS484">
        <f>HYPERLINK("https://creighton-primo.hosted.exlibrisgroup.com/primo-explore/search?tab=default_tab&amp;search_scope=EVERYTHING&amp;vid=01CRU&amp;lang=en_US&amp;offset=0&amp;query=any,contains,991002195659702656","Catalog Record")</f>
        <v/>
      </c>
      <c r="AT484">
        <f>HYPERLINK("http://www.worldcat.org/oclc/282829","WorldCat Record")</f>
        <v/>
      </c>
      <c r="AU484" t="inlineStr">
        <is>
          <t>1438814:eng</t>
        </is>
      </c>
      <c r="AV484" t="inlineStr">
        <is>
          <t>282829</t>
        </is>
      </c>
      <c r="AW484" t="inlineStr">
        <is>
          <t>991002195659702656</t>
        </is>
      </c>
      <c r="AX484" t="inlineStr">
        <is>
          <t>991002195659702656</t>
        </is>
      </c>
      <c r="AY484" t="inlineStr">
        <is>
          <t>2266342520002656</t>
        </is>
      </c>
      <c r="AZ484" t="inlineStr">
        <is>
          <t>BOOK</t>
        </is>
      </c>
      <c r="BC484" t="inlineStr">
        <is>
          <t>32285002782265</t>
        </is>
      </c>
      <c r="BD484" t="inlineStr">
        <is>
          <t>893804335</t>
        </is>
      </c>
    </row>
    <row r="485">
      <c r="A485" t="inlineStr">
        <is>
          <t>No</t>
        </is>
      </c>
      <c r="B485" t="inlineStr">
        <is>
          <t>PS3507.O743 S26 1987</t>
        </is>
      </c>
      <c r="C485" t="inlineStr">
        <is>
          <t>0                      PS 3507000O  743                S  26          1987</t>
        </is>
      </c>
      <c r="D485" t="inlineStr">
        <is>
          <t>John Dos Passos : a comprehensive bibliography / David Sanders.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Sanders, David, 1926-</t>
        </is>
      </c>
      <c r="L485" t="inlineStr">
        <is>
          <t>New York : Garland Pub., 1987.</t>
        </is>
      </c>
      <c r="M485" t="inlineStr">
        <is>
          <t>1987</t>
        </is>
      </c>
      <c r="O485" t="inlineStr">
        <is>
          <t>eng</t>
        </is>
      </c>
      <c r="P485" t="inlineStr">
        <is>
          <t>nyu</t>
        </is>
      </c>
      <c r="Q485" t="inlineStr">
        <is>
          <t>Garland reference library of the humanities ; vol. 589</t>
        </is>
      </c>
      <c r="R485" t="inlineStr">
        <is>
          <t xml:space="preserve">PS </t>
        </is>
      </c>
      <c r="S485" t="n">
        <v>3</v>
      </c>
      <c r="T485" t="n">
        <v>3</v>
      </c>
      <c r="U485" t="inlineStr">
        <is>
          <t>1993-08-04</t>
        </is>
      </c>
      <c r="V485" t="inlineStr">
        <is>
          <t>1993-08-04</t>
        </is>
      </c>
      <c r="W485" t="inlineStr">
        <is>
          <t>1990-11-06</t>
        </is>
      </c>
      <c r="X485" t="inlineStr">
        <is>
          <t>1990-11-06</t>
        </is>
      </c>
      <c r="Y485" t="n">
        <v>237</v>
      </c>
      <c r="Z485" t="n">
        <v>189</v>
      </c>
      <c r="AA485" t="n">
        <v>194</v>
      </c>
      <c r="AB485" t="n">
        <v>4</v>
      </c>
      <c r="AC485" t="n">
        <v>4</v>
      </c>
      <c r="AD485" t="n">
        <v>11</v>
      </c>
      <c r="AE485" t="n">
        <v>11</v>
      </c>
      <c r="AF485" t="n">
        <v>0</v>
      </c>
      <c r="AG485" t="n">
        <v>0</v>
      </c>
      <c r="AH485" t="n">
        <v>5</v>
      </c>
      <c r="AI485" t="n">
        <v>5</v>
      </c>
      <c r="AJ485" t="n">
        <v>6</v>
      </c>
      <c r="AK485" t="n">
        <v>6</v>
      </c>
      <c r="AL485" t="n">
        <v>3</v>
      </c>
      <c r="AM485" t="n">
        <v>3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HYPERLINK("https://creighton-primo.hosted.exlibrisgroup.com/primo-explore/search?tab=default_tab&amp;search_scope=EVERYTHING&amp;vid=01CRU&amp;lang=en_US&amp;offset=0&amp;query=any,contains,991000905349702656","Catalog Record")</f>
        <v/>
      </c>
      <c r="AT485">
        <f>HYPERLINK("http://www.worldcat.org/oclc/14097625","WorldCat Record")</f>
        <v/>
      </c>
      <c r="AU485" t="inlineStr">
        <is>
          <t>836664493:eng</t>
        </is>
      </c>
      <c r="AV485" t="inlineStr">
        <is>
          <t>14097625</t>
        </is>
      </c>
      <c r="AW485" t="inlineStr">
        <is>
          <t>991000905349702656</t>
        </is>
      </c>
      <c r="AX485" t="inlineStr">
        <is>
          <t>991000905349702656</t>
        </is>
      </c>
      <c r="AY485" t="inlineStr">
        <is>
          <t>2266215250002656</t>
        </is>
      </c>
      <c r="AZ485" t="inlineStr">
        <is>
          <t>BOOK</t>
        </is>
      </c>
      <c r="BB485" t="inlineStr">
        <is>
          <t>9780824087388</t>
        </is>
      </c>
      <c r="BC485" t="inlineStr">
        <is>
          <t>32285000377076</t>
        </is>
      </c>
      <c r="BD485" t="inlineStr">
        <is>
          <t>893496657</t>
        </is>
      </c>
    </row>
    <row r="486">
      <c r="A486" t="inlineStr">
        <is>
          <t>No</t>
        </is>
      </c>
      <c r="B486" t="inlineStr">
        <is>
          <t>PS3507.O743 Z555 1987</t>
        </is>
      </c>
      <c r="C486" t="inlineStr">
        <is>
          <t>0                      PS 3507000O  743                Z  555         1987</t>
        </is>
      </c>
      <c r="D486" t="inlineStr">
        <is>
          <t>Dos Passos's early fiction, 1912-1938 / Michael Clark.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Clark, Michael, 1946-1999.</t>
        </is>
      </c>
      <c r="L486" t="inlineStr">
        <is>
          <t>Selinsgrove [Pa.] : Susquehanna University Press ; London ; Cranbury, NJ : Associated University Presses, c1987.</t>
        </is>
      </c>
      <c r="M486" t="inlineStr">
        <is>
          <t>1987</t>
        </is>
      </c>
      <c r="O486" t="inlineStr">
        <is>
          <t>eng</t>
        </is>
      </c>
      <c r="P486" t="inlineStr">
        <is>
          <t>pau</t>
        </is>
      </c>
      <c r="R486" t="inlineStr">
        <is>
          <t xml:space="preserve">PS </t>
        </is>
      </c>
      <c r="S486" t="n">
        <v>3</v>
      </c>
      <c r="T486" t="n">
        <v>3</v>
      </c>
      <c r="U486" t="inlineStr">
        <is>
          <t>1992-10-28</t>
        </is>
      </c>
      <c r="V486" t="inlineStr">
        <is>
          <t>1992-10-28</t>
        </is>
      </c>
      <c r="W486" t="inlineStr">
        <is>
          <t>1990-02-13</t>
        </is>
      </c>
      <c r="X486" t="inlineStr">
        <is>
          <t>1990-02-13</t>
        </is>
      </c>
      <c r="Y486" t="n">
        <v>387</v>
      </c>
      <c r="Z486" t="n">
        <v>318</v>
      </c>
      <c r="AA486" t="n">
        <v>324</v>
      </c>
      <c r="AB486" t="n">
        <v>3</v>
      </c>
      <c r="AC486" t="n">
        <v>3</v>
      </c>
      <c r="AD486" t="n">
        <v>18</v>
      </c>
      <c r="AE486" t="n">
        <v>18</v>
      </c>
      <c r="AF486" t="n">
        <v>8</v>
      </c>
      <c r="AG486" t="n">
        <v>8</v>
      </c>
      <c r="AH486" t="n">
        <v>5</v>
      </c>
      <c r="AI486" t="n">
        <v>5</v>
      </c>
      <c r="AJ486" t="n">
        <v>10</v>
      </c>
      <c r="AK486" t="n">
        <v>10</v>
      </c>
      <c r="AL486" t="n">
        <v>2</v>
      </c>
      <c r="AM486" t="n">
        <v>2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HYPERLINK("http://catalog.hathitrust.org/Record/000807036","HathiTrust Record")</f>
        <v/>
      </c>
      <c r="AS486">
        <f>HYPERLINK("https://creighton-primo.hosted.exlibrisgroup.com/primo-explore/search?tab=default_tab&amp;search_scope=EVERYTHING&amp;vid=01CRU&amp;lang=en_US&amp;offset=0&amp;query=any,contains,991000867799702656","Catalog Record")</f>
        <v/>
      </c>
      <c r="AT486">
        <f>HYPERLINK("http://www.worldcat.org/oclc/13760868","WorldCat Record")</f>
        <v/>
      </c>
      <c r="AU486" t="inlineStr">
        <is>
          <t>355572176:eng</t>
        </is>
      </c>
      <c r="AV486" t="inlineStr">
        <is>
          <t>13760868</t>
        </is>
      </c>
      <c r="AW486" t="inlineStr">
        <is>
          <t>991000867799702656</t>
        </is>
      </c>
      <c r="AX486" t="inlineStr">
        <is>
          <t>991000867799702656</t>
        </is>
      </c>
      <c r="AY486" t="inlineStr">
        <is>
          <t>2266179170002656</t>
        </is>
      </c>
      <c r="AZ486" t="inlineStr">
        <is>
          <t>BOOK</t>
        </is>
      </c>
      <c r="BB486" t="inlineStr">
        <is>
          <t>9780941664189</t>
        </is>
      </c>
      <c r="BC486" t="inlineStr">
        <is>
          <t>32285000052794</t>
        </is>
      </c>
      <c r="BD486" t="inlineStr">
        <is>
          <t>893696235</t>
        </is>
      </c>
    </row>
    <row r="487">
      <c r="A487" t="inlineStr">
        <is>
          <t>No</t>
        </is>
      </c>
      <c r="B487" t="inlineStr">
        <is>
          <t>PS3507.O743 Z74 1980</t>
        </is>
      </c>
      <c r="C487" t="inlineStr">
        <is>
          <t>0                      PS 3507000O  743                Z  74          1980</t>
        </is>
      </c>
      <c r="D487" t="inlineStr">
        <is>
          <t>John Dos Passos a twentieth century odyssey / Townsend Ludington.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Ludington, Townsend, 1936-</t>
        </is>
      </c>
      <c r="L487" t="inlineStr">
        <is>
          <t>New York : Dutton, c1980.</t>
        </is>
      </c>
      <c r="M487" t="inlineStr">
        <is>
          <t>1980</t>
        </is>
      </c>
      <c r="N487" t="inlineStr">
        <is>
          <t>1st ed.</t>
        </is>
      </c>
      <c r="O487" t="inlineStr">
        <is>
          <t>eng</t>
        </is>
      </c>
      <c r="P487" t="inlineStr">
        <is>
          <t>nyu</t>
        </is>
      </c>
      <c r="R487" t="inlineStr">
        <is>
          <t xml:space="preserve">PS </t>
        </is>
      </c>
      <c r="S487" t="n">
        <v>2</v>
      </c>
      <c r="T487" t="n">
        <v>2</v>
      </c>
      <c r="U487" t="inlineStr">
        <is>
          <t>1993-08-04</t>
        </is>
      </c>
      <c r="V487" t="inlineStr">
        <is>
          <t>1993-08-04</t>
        </is>
      </c>
      <c r="W487" t="inlineStr">
        <is>
          <t>1990-07-31</t>
        </is>
      </c>
      <c r="X487" t="inlineStr">
        <is>
          <t>1990-07-31</t>
        </is>
      </c>
      <c r="Y487" t="n">
        <v>1076</v>
      </c>
      <c r="Z487" t="n">
        <v>963</v>
      </c>
      <c r="AA487" t="n">
        <v>1026</v>
      </c>
      <c r="AB487" t="n">
        <v>5</v>
      </c>
      <c r="AC487" t="n">
        <v>6</v>
      </c>
      <c r="AD487" t="n">
        <v>35</v>
      </c>
      <c r="AE487" t="n">
        <v>37</v>
      </c>
      <c r="AF487" t="n">
        <v>16</v>
      </c>
      <c r="AG487" t="n">
        <v>16</v>
      </c>
      <c r="AH487" t="n">
        <v>7</v>
      </c>
      <c r="AI487" t="n">
        <v>8</v>
      </c>
      <c r="AJ487" t="n">
        <v>17</v>
      </c>
      <c r="AK487" t="n">
        <v>18</v>
      </c>
      <c r="AL487" t="n">
        <v>3</v>
      </c>
      <c r="AM487" t="n">
        <v>4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HYPERLINK("http://catalog.hathitrust.org/Record/000739010","HathiTrust Record")</f>
        <v/>
      </c>
      <c r="AS487">
        <f>HYPERLINK("https://creighton-primo.hosted.exlibrisgroup.com/primo-explore/search?tab=default_tab&amp;search_scope=EVERYTHING&amp;vid=01CRU&amp;lang=en_US&amp;offset=0&amp;query=any,contains,991005032649702656","Catalog Record")</f>
        <v/>
      </c>
      <c r="AT487">
        <f>HYPERLINK("http://www.worldcat.org/oclc/6734783","WorldCat Record")</f>
        <v/>
      </c>
      <c r="AU487" t="inlineStr">
        <is>
          <t>24310845:eng</t>
        </is>
      </c>
      <c r="AV487" t="inlineStr">
        <is>
          <t>6734783</t>
        </is>
      </c>
      <c r="AW487" t="inlineStr">
        <is>
          <t>991005032649702656</t>
        </is>
      </c>
      <c r="AX487" t="inlineStr">
        <is>
          <t>991005032649702656</t>
        </is>
      </c>
      <c r="AY487" t="inlineStr">
        <is>
          <t>2268576160002656</t>
        </is>
      </c>
      <c r="AZ487" t="inlineStr">
        <is>
          <t>BOOK</t>
        </is>
      </c>
      <c r="BB487" t="inlineStr">
        <is>
          <t>9780525224754</t>
        </is>
      </c>
      <c r="BC487" t="inlineStr">
        <is>
          <t>32285000229731</t>
        </is>
      </c>
      <c r="BD487" t="inlineStr">
        <is>
          <t>893533053</t>
        </is>
      </c>
    </row>
    <row r="488">
      <c r="A488" t="inlineStr">
        <is>
          <t>No</t>
        </is>
      </c>
      <c r="B488" t="inlineStr">
        <is>
          <t>PS3507.R5 Z6</t>
        </is>
      </c>
      <c r="C488" t="inlineStr">
        <is>
          <t>0                      PS 3507000R  5                  Z  6</t>
        </is>
      </c>
      <c r="D488" t="inlineStr">
        <is>
          <t>Theodore Dreiser / by Philip L. Gerber.</t>
        </is>
      </c>
      <c r="F488" t="inlineStr">
        <is>
          <t>No</t>
        </is>
      </c>
      <c r="G488" t="inlineStr">
        <is>
          <t>1</t>
        </is>
      </c>
      <c r="H488" t="inlineStr">
        <is>
          <t>Yes</t>
        </is>
      </c>
      <c r="I488" t="inlineStr">
        <is>
          <t>No</t>
        </is>
      </c>
      <c r="J488" t="inlineStr">
        <is>
          <t>0</t>
        </is>
      </c>
      <c r="K488" t="inlineStr">
        <is>
          <t>Gerber, Philip L.</t>
        </is>
      </c>
      <c r="L488" t="inlineStr">
        <is>
          <t>New York : Twayne Publishers, [1964]</t>
        </is>
      </c>
      <c r="M488" t="inlineStr">
        <is>
          <t>1964</t>
        </is>
      </c>
      <c r="O488" t="inlineStr">
        <is>
          <t>eng</t>
        </is>
      </c>
      <c r="P488" t="inlineStr">
        <is>
          <t>nyu</t>
        </is>
      </c>
      <c r="Q488" t="inlineStr">
        <is>
          <t>Twayne's United States authors series, 52</t>
        </is>
      </c>
      <c r="R488" t="inlineStr">
        <is>
          <t xml:space="preserve">PS </t>
        </is>
      </c>
      <c r="S488" t="n">
        <v>3</v>
      </c>
      <c r="T488" t="n">
        <v>5</v>
      </c>
      <c r="U488" t="inlineStr">
        <is>
          <t>1998-04-26</t>
        </is>
      </c>
      <c r="V488" t="inlineStr">
        <is>
          <t>1998-04-26</t>
        </is>
      </c>
      <c r="W488" t="inlineStr">
        <is>
          <t>1991-10-07</t>
        </is>
      </c>
      <c r="X488" t="inlineStr">
        <is>
          <t>1991-10-07</t>
        </is>
      </c>
      <c r="Y488" t="n">
        <v>1752</v>
      </c>
      <c r="Z488" t="n">
        <v>1586</v>
      </c>
      <c r="AA488" t="n">
        <v>1741</v>
      </c>
      <c r="AB488" t="n">
        <v>12</v>
      </c>
      <c r="AC488" t="n">
        <v>15</v>
      </c>
      <c r="AD488" t="n">
        <v>56</v>
      </c>
      <c r="AE488" t="n">
        <v>61</v>
      </c>
      <c r="AF488" t="n">
        <v>24</v>
      </c>
      <c r="AG488" t="n">
        <v>26</v>
      </c>
      <c r="AH488" t="n">
        <v>10</v>
      </c>
      <c r="AI488" t="n">
        <v>10</v>
      </c>
      <c r="AJ488" t="n">
        <v>25</v>
      </c>
      <c r="AK488" t="n">
        <v>25</v>
      </c>
      <c r="AL488" t="n">
        <v>10</v>
      </c>
      <c r="AM488" t="n">
        <v>13</v>
      </c>
      <c r="AN488" t="n">
        <v>0</v>
      </c>
      <c r="AO488" t="n">
        <v>0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HYPERLINK("http://catalog.hathitrust.org/Record/001020931","HathiTrust Record")</f>
        <v/>
      </c>
      <c r="AS488">
        <f>HYPERLINK("https://creighton-primo.hosted.exlibrisgroup.com/primo-explore/search?tab=default_tab&amp;search_scope=EVERYTHING&amp;vid=01CRU&amp;lang=en_US&amp;offset=0&amp;query=any,contains,991002195309702656","Catalog Record")</f>
        <v/>
      </c>
      <c r="AT488">
        <f>HYPERLINK("http://www.worldcat.org/oclc/282764","WorldCat Record")</f>
        <v/>
      </c>
      <c r="AU488" t="inlineStr">
        <is>
          <t>1848308366:eng</t>
        </is>
      </c>
      <c r="AV488" t="inlineStr">
        <is>
          <t>282764</t>
        </is>
      </c>
      <c r="AW488" t="inlineStr">
        <is>
          <t>991002195309702656</t>
        </is>
      </c>
      <c r="AX488" t="inlineStr">
        <is>
          <t>991002195309702656</t>
        </is>
      </c>
      <c r="AY488" t="inlineStr">
        <is>
          <t>2266304560002656</t>
        </is>
      </c>
      <c r="AZ488" t="inlineStr">
        <is>
          <t>BOOK</t>
        </is>
      </c>
      <c r="BC488" t="inlineStr">
        <is>
          <t>32285000763770</t>
        </is>
      </c>
      <c r="BD488" t="inlineStr">
        <is>
          <t>893685079</t>
        </is>
      </c>
    </row>
    <row r="489">
      <c r="A489" t="inlineStr">
        <is>
          <t>No</t>
        </is>
      </c>
      <c r="B489" t="inlineStr">
        <is>
          <t>PS3507.R5 Z6</t>
        </is>
      </c>
      <c r="C489" t="inlineStr">
        <is>
          <t>0                      PS 3507000R  5                  Z  6</t>
        </is>
      </c>
      <c r="D489" t="inlineStr">
        <is>
          <t>Theodore Dreiser / by Philip L. Gerber.</t>
        </is>
      </c>
      <c r="F489" t="inlineStr">
        <is>
          <t>No</t>
        </is>
      </c>
      <c r="G489" t="inlineStr">
        <is>
          <t>1</t>
        </is>
      </c>
      <c r="H489" t="inlineStr">
        <is>
          <t>Yes</t>
        </is>
      </c>
      <c r="I489" t="inlineStr">
        <is>
          <t>No</t>
        </is>
      </c>
      <c r="J489" t="inlineStr">
        <is>
          <t>0</t>
        </is>
      </c>
      <c r="K489" t="inlineStr">
        <is>
          <t>Gerber, Philip L.</t>
        </is>
      </c>
      <c r="L489" t="inlineStr">
        <is>
          <t>New York : Twayne Publishers, [1964]</t>
        </is>
      </c>
      <c r="M489" t="inlineStr">
        <is>
          <t>1964</t>
        </is>
      </c>
      <c r="O489" t="inlineStr">
        <is>
          <t>eng</t>
        </is>
      </c>
      <c r="P489" t="inlineStr">
        <is>
          <t>nyu</t>
        </is>
      </c>
      <c r="Q489" t="inlineStr">
        <is>
          <t>Twayne's United States authors series, 52</t>
        </is>
      </c>
      <c r="R489" t="inlineStr">
        <is>
          <t xml:space="preserve">PS </t>
        </is>
      </c>
      <c r="S489" t="n">
        <v>2</v>
      </c>
      <c r="T489" t="n">
        <v>5</v>
      </c>
      <c r="U489" t="inlineStr">
        <is>
          <t>1993-03-01</t>
        </is>
      </c>
      <c r="V489" t="inlineStr">
        <is>
          <t>1998-04-26</t>
        </is>
      </c>
      <c r="W489" t="inlineStr">
        <is>
          <t>1991-10-07</t>
        </is>
      </c>
      <c r="X489" t="inlineStr">
        <is>
          <t>1991-10-07</t>
        </is>
      </c>
      <c r="Y489" t="n">
        <v>1752</v>
      </c>
      <c r="Z489" t="n">
        <v>1586</v>
      </c>
      <c r="AA489" t="n">
        <v>1741</v>
      </c>
      <c r="AB489" t="n">
        <v>12</v>
      </c>
      <c r="AC489" t="n">
        <v>15</v>
      </c>
      <c r="AD489" t="n">
        <v>56</v>
      </c>
      <c r="AE489" t="n">
        <v>61</v>
      </c>
      <c r="AF489" t="n">
        <v>24</v>
      </c>
      <c r="AG489" t="n">
        <v>26</v>
      </c>
      <c r="AH489" t="n">
        <v>10</v>
      </c>
      <c r="AI489" t="n">
        <v>10</v>
      </c>
      <c r="AJ489" t="n">
        <v>25</v>
      </c>
      <c r="AK489" t="n">
        <v>25</v>
      </c>
      <c r="AL489" t="n">
        <v>10</v>
      </c>
      <c r="AM489" t="n">
        <v>13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HYPERLINK("http://catalog.hathitrust.org/Record/001020931","HathiTrust Record")</f>
        <v/>
      </c>
      <c r="AS489">
        <f>HYPERLINK("https://creighton-primo.hosted.exlibrisgroup.com/primo-explore/search?tab=default_tab&amp;search_scope=EVERYTHING&amp;vid=01CRU&amp;lang=en_US&amp;offset=0&amp;query=any,contains,991002195309702656","Catalog Record")</f>
        <v/>
      </c>
      <c r="AT489">
        <f>HYPERLINK("http://www.worldcat.org/oclc/282764","WorldCat Record")</f>
        <v/>
      </c>
      <c r="AU489" t="inlineStr">
        <is>
          <t>1848308366:eng</t>
        </is>
      </c>
      <c r="AV489" t="inlineStr">
        <is>
          <t>282764</t>
        </is>
      </c>
      <c r="AW489" t="inlineStr">
        <is>
          <t>991002195309702656</t>
        </is>
      </c>
      <c r="AX489" t="inlineStr">
        <is>
          <t>991002195309702656</t>
        </is>
      </c>
      <c r="AY489" t="inlineStr">
        <is>
          <t>2266304560002656</t>
        </is>
      </c>
      <c r="AZ489" t="inlineStr">
        <is>
          <t>BOOK</t>
        </is>
      </c>
      <c r="BC489" t="inlineStr">
        <is>
          <t>32285000763788</t>
        </is>
      </c>
      <c r="BD489" t="inlineStr">
        <is>
          <t>893697466</t>
        </is>
      </c>
    </row>
    <row r="490">
      <c r="A490" t="inlineStr">
        <is>
          <t>No</t>
        </is>
      </c>
      <c r="B490" t="inlineStr">
        <is>
          <t>PS3507.R55 Z66</t>
        </is>
      </c>
      <c r="C490" t="inlineStr">
        <is>
          <t>0                      PS 3507000R  55                 Z  66</t>
        </is>
      </c>
      <c r="D490" t="inlineStr">
        <is>
          <t>Theodore Dreiser : his world and his novels / [by] Richard Lehan.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Lehan, Richard Daniel, 1930-</t>
        </is>
      </c>
      <c r="L490" t="inlineStr">
        <is>
          <t>Carbondale : Southern Illinois University Press, [1969]</t>
        </is>
      </c>
      <c r="M490" t="inlineStr">
        <is>
          <t>1969</t>
        </is>
      </c>
      <c r="O490" t="inlineStr">
        <is>
          <t>eng</t>
        </is>
      </c>
      <c r="P490" t="inlineStr">
        <is>
          <t>ilu</t>
        </is>
      </c>
      <c r="R490" t="inlineStr">
        <is>
          <t xml:space="preserve">PS </t>
        </is>
      </c>
      <c r="S490" t="n">
        <v>6</v>
      </c>
      <c r="T490" t="n">
        <v>6</v>
      </c>
      <c r="U490" t="inlineStr">
        <is>
          <t>1995-11-21</t>
        </is>
      </c>
      <c r="V490" t="inlineStr">
        <is>
          <t>1995-11-21</t>
        </is>
      </c>
      <c r="W490" t="inlineStr">
        <is>
          <t>1990-09-14</t>
        </is>
      </c>
      <c r="X490" t="inlineStr">
        <is>
          <t>1990-09-14</t>
        </is>
      </c>
      <c r="Y490" t="n">
        <v>1235</v>
      </c>
      <c r="Z490" t="n">
        <v>1100</v>
      </c>
      <c r="AA490" t="n">
        <v>1215</v>
      </c>
      <c r="AB490" t="n">
        <v>11</v>
      </c>
      <c r="AC490" t="n">
        <v>12</v>
      </c>
      <c r="AD490" t="n">
        <v>47</v>
      </c>
      <c r="AE490" t="n">
        <v>50</v>
      </c>
      <c r="AF490" t="n">
        <v>19</v>
      </c>
      <c r="AG490" t="n">
        <v>21</v>
      </c>
      <c r="AH490" t="n">
        <v>9</v>
      </c>
      <c r="AI490" t="n">
        <v>9</v>
      </c>
      <c r="AJ490" t="n">
        <v>20</v>
      </c>
      <c r="AK490" t="n">
        <v>20</v>
      </c>
      <c r="AL490" t="n">
        <v>10</v>
      </c>
      <c r="AM490" t="n">
        <v>11</v>
      </c>
      <c r="AN490" t="n">
        <v>0</v>
      </c>
      <c r="AO490" t="n">
        <v>0</v>
      </c>
      <c r="AP490" t="inlineStr">
        <is>
          <t>No</t>
        </is>
      </c>
      <c r="AQ490" t="inlineStr">
        <is>
          <t>Yes</t>
        </is>
      </c>
      <c r="AR490">
        <f>HYPERLINK("http://catalog.hathitrust.org/Record/001028418","HathiTrust Record")</f>
        <v/>
      </c>
      <c r="AS490">
        <f>HYPERLINK("https://creighton-primo.hosted.exlibrisgroup.com/primo-explore/search?tab=default_tab&amp;search_scope=EVERYTHING&amp;vid=01CRU&amp;lang=en_US&amp;offset=0&amp;query=any,contains,991000118909702656","Catalog Record")</f>
        <v/>
      </c>
      <c r="AT490">
        <f>HYPERLINK("http://www.worldcat.org/oclc/49544","WorldCat Record")</f>
        <v/>
      </c>
      <c r="AU490" t="inlineStr">
        <is>
          <t>1219148:eng</t>
        </is>
      </c>
      <c r="AV490" t="inlineStr">
        <is>
          <t>49544</t>
        </is>
      </c>
      <c r="AW490" t="inlineStr">
        <is>
          <t>991000118909702656</t>
        </is>
      </c>
      <c r="AX490" t="inlineStr">
        <is>
          <t>991000118909702656</t>
        </is>
      </c>
      <c r="AY490" t="inlineStr">
        <is>
          <t>2263735110002656</t>
        </is>
      </c>
      <c r="AZ490" t="inlineStr">
        <is>
          <t>BOOK</t>
        </is>
      </c>
      <c r="BB490" t="inlineStr">
        <is>
          <t>9780809303823</t>
        </is>
      </c>
      <c r="BC490" t="inlineStr">
        <is>
          <t>32285000303742</t>
        </is>
      </c>
      <c r="BD490" t="inlineStr">
        <is>
          <t>893720580</t>
        </is>
      </c>
    </row>
    <row r="491">
      <c r="A491" t="inlineStr">
        <is>
          <t>No</t>
        </is>
      </c>
      <c r="B491" t="inlineStr">
        <is>
          <t>PS3507.R55 Z664 1986</t>
        </is>
      </c>
      <c r="C491" t="inlineStr">
        <is>
          <t>0                      PS 3507000R  55                 Z  664         1986</t>
        </is>
      </c>
      <c r="D491" t="inlineStr">
        <is>
          <t>Theodore Dreiser / Richard Lingeman.</t>
        </is>
      </c>
      <c r="E491" t="inlineStr">
        <is>
          <t>V.1</t>
        </is>
      </c>
      <c r="F491" t="inlineStr">
        <is>
          <t>Yes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Lingeman, Richard R.</t>
        </is>
      </c>
      <c r="L491" t="inlineStr">
        <is>
          <t>New York : Putnam, c1986-1990.</t>
        </is>
      </c>
      <c r="M491" t="inlineStr">
        <is>
          <t>1986</t>
        </is>
      </c>
      <c r="O491" t="inlineStr">
        <is>
          <t>eng</t>
        </is>
      </c>
      <c r="P491" t="inlineStr">
        <is>
          <t>nyu</t>
        </is>
      </c>
      <c r="R491" t="inlineStr">
        <is>
          <t xml:space="preserve">PS </t>
        </is>
      </c>
      <c r="S491" t="n">
        <v>1</v>
      </c>
      <c r="T491" t="n">
        <v>1</v>
      </c>
      <c r="U491" t="inlineStr">
        <is>
          <t>2001-11-26</t>
        </is>
      </c>
      <c r="V491" t="inlineStr">
        <is>
          <t>2001-11-26</t>
        </is>
      </c>
      <c r="W491" t="inlineStr">
        <is>
          <t>1998-05-12</t>
        </is>
      </c>
      <c r="X491" t="inlineStr">
        <is>
          <t>1998-05-12</t>
        </is>
      </c>
      <c r="Y491" t="n">
        <v>1030</v>
      </c>
      <c r="Z491" t="n">
        <v>959</v>
      </c>
      <c r="AA491" t="n">
        <v>962</v>
      </c>
      <c r="AB491" t="n">
        <v>9</v>
      </c>
      <c r="AC491" t="n">
        <v>9</v>
      </c>
      <c r="AD491" t="n">
        <v>36</v>
      </c>
      <c r="AE491" t="n">
        <v>36</v>
      </c>
      <c r="AF491" t="n">
        <v>16</v>
      </c>
      <c r="AG491" t="n">
        <v>16</v>
      </c>
      <c r="AH491" t="n">
        <v>5</v>
      </c>
      <c r="AI491" t="n">
        <v>5</v>
      </c>
      <c r="AJ491" t="n">
        <v>18</v>
      </c>
      <c r="AK491" t="n">
        <v>18</v>
      </c>
      <c r="AL491" t="n">
        <v>7</v>
      </c>
      <c r="AM491" t="n">
        <v>7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HYPERLINK("http://catalog.hathitrust.org/Record/000555263","HathiTrust Record")</f>
        <v/>
      </c>
      <c r="AS491">
        <f>HYPERLINK("https://creighton-primo.hosted.exlibrisgroup.com/primo-explore/search?tab=default_tab&amp;search_scope=EVERYTHING&amp;vid=01CRU&amp;lang=en_US&amp;offset=0&amp;query=any,contains,991000842269702656","Catalog Record")</f>
        <v/>
      </c>
      <c r="AT491">
        <f>HYPERLINK("http://www.worldcat.org/oclc/13526156","WorldCat Record")</f>
        <v/>
      </c>
      <c r="AU491" t="inlineStr">
        <is>
          <t>5609048825:eng</t>
        </is>
      </c>
      <c r="AV491" t="inlineStr">
        <is>
          <t>13526156</t>
        </is>
      </c>
      <c r="AW491" t="inlineStr">
        <is>
          <t>991000842269702656</t>
        </is>
      </c>
      <c r="AX491" t="inlineStr">
        <is>
          <t>991000842269702656</t>
        </is>
      </c>
      <c r="AY491" t="inlineStr">
        <is>
          <t>2260940880002656</t>
        </is>
      </c>
      <c r="AZ491" t="inlineStr">
        <is>
          <t>BOOK</t>
        </is>
      </c>
      <c r="BB491" t="inlineStr">
        <is>
          <t>9780399131479</t>
        </is>
      </c>
      <c r="BC491" t="inlineStr">
        <is>
          <t>32285003408274</t>
        </is>
      </c>
      <c r="BD491" t="inlineStr">
        <is>
          <t>893351679</t>
        </is>
      </c>
    </row>
    <row r="492">
      <c r="A492" t="inlineStr">
        <is>
          <t>No</t>
        </is>
      </c>
      <c r="B492" t="inlineStr">
        <is>
          <t>PS3507.R55 Z67</t>
        </is>
      </c>
      <c r="C492" t="inlineStr">
        <is>
          <t>0                      PS 3507000R  55                 Z  67</t>
        </is>
      </c>
      <c r="D492" t="inlineStr">
        <is>
          <t>Dreiser, a collection of critical essays.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Lydenberg, John, 1913-1987, compiler.</t>
        </is>
      </c>
      <c r="L492" t="inlineStr">
        <is>
          <t>Englewood Cliffs, N.J. : Prentice-Hall, [1971]</t>
        </is>
      </c>
      <c r="M492" t="inlineStr">
        <is>
          <t>1971</t>
        </is>
      </c>
      <c r="O492" t="inlineStr">
        <is>
          <t>eng</t>
        </is>
      </c>
      <c r="P492" t="inlineStr">
        <is>
          <t>nju</t>
        </is>
      </c>
      <c r="Q492" t="inlineStr">
        <is>
          <t>A Spectrum book: Twentieth century views, S-TC-96</t>
        </is>
      </c>
      <c r="R492" t="inlineStr">
        <is>
          <t xml:space="preserve">PS </t>
        </is>
      </c>
      <c r="S492" t="n">
        <v>8</v>
      </c>
      <c r="T492" t="n">
        <v>8</v>
      </c>
      <c r="U492" t="inlineStr">
        <is>
          <t>1999-12-04</t>
        </is>
      </c>
      <c r="V492" t="inlineStr">
        <is>
          <t>1999-12-04</t>
        </is>
      </c>
      <c r="W492" t="inlineStr">
        <is>
          <t>1990-09-14</t>
        </is>
      </c>
      <c r="X492" t="inlineStr">
        <is>
          <t>1990-09-14</t>
        </is>
      </c>
      <c r="Y492" t="n">
        <v>1490</v>
      </c>
      <c r="Z492" t="n">
        <v>1356</v>
      </c>
      <c r="AA492" t="n">
        <v>1364</v>
      </c>
      <c r="AB492" t="n">
        <v>14</v>
      </c>
      <c r="AC492" t="n">
        <v>14</v>
      </c>
      <c r="AD492" t="n">
        <v>52</v>
      </c>
      <c r="AE492" t="n">
        <v>52</v>
      </c>
      <c r="AF492" t="n">
        <v>20</v>
      </c>
      <c r="AG492" t="n">
        <v>20</v>
      </c>
      <c r="AH492" t="n">
        <v>9</v>
      </c>
      <c r="AI492" t="n">
        <v>9</v>
      </c>
      <c r="AJ492" t="n">
        <v>24</v>
      </c>
      <c r="AK492" t="n">
        <v>24</v>
      </c>
      <c r="AL492" t="n">
        <v>11</v>
      </c>
      <c r="AM492" t="n">
        <v>11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HYPERLINK("http://catalog.hathitrust.org/Record/001028419","HathiTrust Record")</f>
        <v/>
      </c>
      <c r="AS492">
        <f>HYPERLINK("https://creighton-primo.hosted.exlibrisgroup.com/primo-explore/search?tab=default_tab&amp;search_scope=EVERYTHING&amp;vid=01CRU&amp;lang=en_US&amp;offset=0&amp;query=any,contains,991001181479702656","Catalog Record")</f>
        <v/>
      </c>
      <c r="AT492">
        <f>HYPERLINK("http://www.worldcat.org/oclc/190496","WorldCat Record")</f>
        <v/>
      </c>
      <c r="AU492" t="inlineStr">
        <is>
          <t>4417351392:eng</t>
        </is>
      </c>
      <c r="AV492" t="inlineStr">
        <is>
          <t>190496</t>
        </is>
      </c>
      <c r="AW492" t="inlineStr">
        <is>
          <t>991001181479702656</t>
        </is>
      </c>
      <c r="AX492" t="inlineStr">
        <is>
          <t>991001181479702656</t>
        </is>
      </c>
      <c r="AY492" t="inlineStr">
        <is>
          <t>2259505640002656</t>
        </is>
      </c>
      <c r="AZ492" t="inlineStr">
        <is>
          <t>BOOK</t>
        </is>
      </c>
      <c r="BB492" t="inlineStr">
        <is>
          <t>9780132195355</t>
        </is>
      </c>
      <c r="BC492" t="inlineStr">
        <is>
          <t>32285000303775</t>
        </is>
      </c>
      <c r="BD492" t="inlineStr">
        <is>
          <t>893891380</t>
        </is>
      </c>
    </row>
    <row r="493">
      <c r="A493" t="inlineStr">
        <is>
          <t>No</t>
        </is>
      </c>
      <c r="B493" t="inlineStr">
        <is>
          <t>PS3507.R55 Z74</t>
        </is>
      </c>
      <c r="C493" t="inlineStr">
        <is>
          <t>0                      PS 3507000R  55                 Z  74</t>
        </is>
      </c>
      <c r="D493" t="inlineStr">
        <is>
          <t>Two Dreisers.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Moers, Ellen, 1928-</t>
        </is>
      </c>
      <c r="L493" t="inlineStr">
        <is>
          <t>New York : Viking Press, [1969]</t>
        </is>
      </c>
      <c r="M493" t="inlineStr">
        <is>
          <t>1969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PS </t>
        </is>
      </c>
      <c r="S493" t="n">
        <v>2</v>
      </c>
      <c r="T493" t="n">
        <v>2</v>
      </c>
      <c r="U493" t="inlineStr">
        <is>
          <t>1993-01-16</t>
        </is>
      </c>
      <c r="V493" t="inlineStr">
        <is>
          <t>1993-01-16</t>
        </is>
      </c>
      <c r="W493" t="inlineStr">
        <is>
          <t>1990-09-14</t>
        </is>
      </c>
      <c r="X493" t="inlineStr">
        <is>
          <t>1990-09-14</t>
        </is>
      </c>
      <c r="Y493" t="n">
        <v>1278</v>
      </c>
      <c r="Z493" t="n">
        <v>1170</v>
      </c>
      <c r="AA493" t="n">
        <v>1280</v>
      </c>
      <c r="AB493" t="n">
        <v>11</v>
      </c>
      <c r="AC493" t="n">
        <v>12</v>
      </c>
      <c r="AD493" t="n">
        <v>41</v>
      </c>
      <c r="AE493" t="n">
        <v>50</v>
      </c>
      <c r="AF493" t="n">
        <v>16</v>
      </c>
      <c r="AG493" t="n">
        <v>21</v>
      </c>
      <c r="AH493" t="n">
        <v>7</v>
      </c>
      <c r="AI493" t="n">
        <v>9</v>
      </c>
      <c r="AJ493" t="n">
        <v>18</v>
      </c>
      <c r="AK493" t="n">
        <v>21</v>
      </c>
      <c r="AL493" t="n">
        <v>10</v>
      </c>
      <c r="AM493" t="n">
        <v>11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HYPERLINK("http://catalog.hathitrust.org/Record/001375515","HathiTrust Record")</f>
        <v/>
      </c>
      <c r="AS493">
        <f>HYPERLINK("https://creighton-primo.hosted.exlibrisgroup.com/primo-explore/search?tab=default_tab&amp;search_scope=EVERYTHING&amp;vid=01CRU&amp;lang=en_US&amp;offset=0&amp;query=any,contains,991000003939702656","Catalog Record")</f>
        <v/>
      </c>
      <c r="AT493">
        <f>HYPERLINK("http://www.worldcat.org/oclc/12404","WorldCat Record")</f>
        <v/>
      </c>
      <c r="AU493" t="inlineStr">
        <is>
          <t>1135325:eng</t>
        </is>
      </c>
      <c r="AV493" t="inlineStr">
        <is>
          <t>12404</t>
        </is>
      </c>
      <c r="AW493" t="inlineStr">
        <is>
          <t>991000003939702656</t>
        </is>
      </c>
      <c r="AX493" t="inlineStr">
        <is>
          <t>991000003939702656</t>
        </is>
      </c>
      <c r="AY493" t="inlineStr">
        <is>
          <t>2265038000002656</t>
        </is>
      </c>
      <c r="AZ493" t="inlineStr">
        <is>
          <t>BOOK</t>
        </is>
      </c>
      <c r="BC493" t="inlineStr">
        <is>
          <t>32285000303767</t>
        </is>
      </c>
      <c r="BD493" t="inlineStr">
        <is>
          <t>893783869</t>
        </is>
      </c>
    </row>
    <row r="494">
      <c r="A494" t="inlineStr">
        <is>
          <t>No</t>
        </is>
      </c>
      <c r="B494" t="inlineStr">
        <is>
          <t>PS3507.R55 Z816</t>
        </is>
      </c>
      <c r="C494" t="inlineStr">
        <is>
          <t>0                      PS 3507000R  55                 Z  816</t>
        </is>
      </c>
      <c r="D494" t="inlineStr">
        <is>
          <t>Theodore Dreiser : the critical reception / edited with an introd. by Jack Salzman.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Salzman, Jack, compiler.</t>
        </is>
      </c>
      <c r="L494" t="inlineStr">
        <is>
          <t>New York : D. Lewis, 1972.</t>
        </is>
      </c>
      <c r="M494" t="inlineStr">
        <is>
          <t>1972</t>
        </is>
      </c>
      <c r="N494" t="inlineStr">
        <is>
          <t>[1st ed.]</t>
        </is>
      </c>
      <c r="O494" t="inlineStr">
        <is>
          <t>eng</t>
        </is>
      </c>
      <c r="P494" t="inlineStr">
        <is>
          <t>nyu</t>
        </is>
      </c>
      <c r="Q494" t="inlineStr">
        <is>
          <t>The American critical tradition</t>
        </is>
      </c>
      <c r="R494" t="inlineStr">
        <is>
          <t xml:space="preserve">PS </t>
        </is>
      </c>
      <c r="S494" t="n">
        <v>2</v>
      </c>
      <c r="T494" t="n">
        <v>2</v>
      </c>
      <c r="U494" t="inlineStr">
        <is>
          <t>1992-12-01</t>
        </is>
      </c>
      <c r="V494" t="inlineStr">
        <is>
          <t>1992-12-01</t>
        </is>
      </c>
      <c r="W494" t="inlineStr">
        <is>
          <t>1990-09-14</t>
        </is>
      </c>
      <c r="X494" t="inlineStr">
        <is>
          <t>1990-09-14</t>
        </is>
      </c>
      <c r="Y494" t="n">
        <v>734</v>
      </c>
      <c r="Z494" t="n">
        <v>663</v>
      </c>
      <c r="AA494" t="n">
        <v>670</v>
      </c>
      <c r="AB494" t="n">
        <v>5</v>
      </c>
      <c r="AC494" t="n">
        <v>5</v>
      </c>
      <c r="AD494" t="n">
        <v>25</v>
      </c>
      <c r="AE494" t="n">
        <v>25</v>
      </c>
      <c r="AF494" t="n">
        <v>6</v>
      </c>
      <c r="AG494" t="n">
        <v>6</v>
      </c>
      <c r="AH494" t="n">
        <v>5</v>
      </c>
      <c r="AI494" t="n">
        <v>5</v>
      </c>
      <c r="AJ494" t="n">
        <v>14</v>
      </c>
      <c r="AK494" t="n">
        <v>14</v>
      </c>
      <c r="AL494" t="n">
        <v>4</v>
      </c>
      <c r="AM494" t="n">
        <v>4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HYPERLINK("http://catalog.hathitrust.org/Record/001375516","HathiTrust Record")</f>
        <v/>
      </c>
      <c r="AS494">
        <f>HYPERLINK("https://creighton-primo.hosted.exlibrisgroup.com/primo-explore/search?tab=default_tab&amp;search_scope=EVERYTHING&amp;vid=01CRU&amp;lang=en_US&amp;offset=0&amp;query=any,contains,991004219769702656","Catalog Record")</f>
        <v/>
      </c>
      <c r="AT494">
        <f>HYPERLINK("http://www.worldcat.org/oclc/2709377","WorldCat Record")</f>
        <v/>
      </c>
      <c r="AU494" t="inlineStr">
        <is>
          <t>309007096:eng</t>
        </is>
      </c>
      <c r="AV494" t="inlineStr">
        <is>
          <t>2709377</t>
        </is>
      </c>
      <c r="AW494" t="inlineStr">
        <is>
          <t>991004219769702656</t>
        </is>
      </c>
      <c r="AX494" t="inlineStr">
        <is>
          <t>991004219769702656</t>
        </is>
      </c>
      <c r="AY494" t="inlineStr">
        <is>
          <t>2262393070002656</t>
        </is>
      </c>
      <c r="AZ494" t="inlineStr">
        <is>
          <t>BOOK</t>
        </is>
      </c>
      <c r="BC494" t="inlineStr">
        <is>
          <t>32285000303759</t>
        </is>
      </c>
      <c r="BD494" t="inlineStr">
        <is>
          <t>893235217</t>
        </is>
      </c>
    </row>
    <row r="495">
      <c r="A495" t="inlineStr">
        <is>
          <t>No</t>
        </is>
      </c>
      <c r="B495" t="inlineStr">
        <is>
          <t>PS3507.R55 Z84</t>
        </is>
      </c>
      <c r="C495" t="inlineStr">
        <is>
          <t>0                      PS 3507000R  55                 Z  84</t>
        </is>
      </c>
      <c r="D495" t="inlineStr">
        <is>
          <t>Dreiser / by W. A. Swanberg.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Swanberg, W. A. (William Andrew), 1907-1992.</t>
        </is>
      </c>
      <c r="L495" t="inlineStr">
        <is>
          <t>New York : Scribner, [1965]</t>
        </is>
      </c>
      <c r="M495" t="inlineStr">
        <is>
          <t>1965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PS </t>
        </is>
      </c>
      <c r="S495" t="n">
        <v>2</v>
      </c>
      <c r="T495" t="n">
        <v>2</v>
      </c>
      <c r="U495" t="inlineStr">
        <is>
          <t>1998-04-26</t>
        </is>
      </c>
      <c r="V495" t="inlineStr">
        <is>
          <t>1998-04-26</t>
        </is>
      </c>
      <c r="W495" t="inlineStr">
        <is>
          <t>1997-06-02</t>
        </is>
      </c>
      <c r="X495" t="inlineStr">
        <is>
          <t>1997-06-02</t>
        </is>
      </c>
      <c r="Y495" t="n">
        <v>1873</v>
      </c>
      <c r="Z495" t="n">
        <v>1724</v>
      </c>
      <c r="AA495" t="n">
        <v>1794</v>
      </c>
      <c r="AB495" t="n">
        <v>15</v>
      </c>
      <c r="AC495" t="n">
        <v>15</v>
      </c>
      <c r="AD495" t="n">
        <v>53</v>
      </c>
      <c r="AE495" t="n">
        <v>55</v>
      </c>
      <c r="AF495" t="n">
        <v>22</v>
      </c>
      <c r="AG495" t="n">
        <v>23</v>
      </c>
      <c r="AH495" t="n">
        <v>8</v>
      </c>
      <c r="AI495" t="n">
        <v>8</v>
      </c>
      <c r="AJ495" t="n">
        <v>23</v>
      </c>
      <c r="AK495" t="n">
        <v>24</v>
      </c>
      <c r="AL495" t="n">
        <v>11</v>
      </c>
      <c r="AM495" t="n">
        <v>11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HYPERLINK("http://catalog.hathitrust.org/Record/001028422","HathiTrust Record")</f>
        <v/>
      </c>
      <c r="AS495">
        <f>HYPERLINK("https://creighton-primo.hosted.exlibrisgroup.com/primo-explore/search?tab=default_tab&amp;search_scope=EVERYTHING&amp;vid=01CRU&amp;lang=en_US&amp;offset=0&amp;query=any,contains,991002195329702656","Catalog Record")</f>
        <v/>
      </c>
      <c r="AT495">
        <f>HYPERLINK("http://www.worldcat.org/oclc/282775","WorldCat Record")</f>
        <v/>
      </c>
      <c r="AU495" t="inlineStr">
        <is>
          <t>774260587:eng</t>
        </is>
      </c>
      <c r="AV495" t="inlineStr">
        <is>
          <t>282775</t>
        </is>
      </c>
      <c r="AW495" t="inlineStr">
        <is>
          <t>991002195329702656</t>
        </is>
      </c>
      <c r="AX495" t="inlineStr">
        <is>
          <t>991002195329702656</t>
        </is>
      </c>
      <c r="AY495" t="inlineStr">
        <is>
          <t>2266302050002656</t>
        </is>
      </c>
      <c r="AZ495" t="inlineStr">
        <is>
          <t>BOOK</t>
        </is>
      </c>
      <c r="BC495" t="inlineStr">
        <is>
          <t>32285002782554</t>
        </is>
      </c>
      <c r="BD495" t="inlineStr">
        <is>
          <t>893421040</t>
        </is>
      </c>
    </row>
    <row r="496">
      <c r="A496" t="inlineStr">
        <is>
          <t>No</t>
        </is>
      </c>
      <c r="B496" t="inlineStr">
        <is>
          <t>PS3507.R55 Z86</t>
        </is>
      </c>
      <c r="C496" t="inlineStr">
        <is>
          <t>0                      PS 3507000R  55                 Z  86</t>
        </is>
      </c>
      <c r="D496" t="inlineStr">
        <is>
          <t>Homage to Theodore Dreiser, August 27, 1871-December 28, 1945 : on the centennial of his birth.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Warren, Robert Penn, 1905-1989.</t>
        </is>
      </c>
      <c r="L496" t="inlineStr">
        <is>
          <t>New York : Random House, [1971]</t>
        </is>
      </c>
      <c r="M496" t="inlineStr">
        <is>
          <t>1971</t>
        </is>
      </c>
      <c r="N496" t="inlineStr">
        <is>
          <t>[1st ed.]</t>
        </is>
      </c>
      <c r="O496" t="inlineStr">
        <is>
          <t>eng</t>
        </is>
      </c>
      <c r="P496" t="inlineStr">
        <is>
          <t>nyu</t>
        </is>
      </c>
      <c r="R496" t="inlineStr">
        <is>
          <t xml:space="preserve">PS </t>
        </is>
      </c>
      <c r="S496" t="n">
        <v>1</v>
      </c>
      <c r="T496" t="n">
        <v>1</v>
      </c>
      <c r="U496" t="inlineStr">
        <is>
          <t>1992-12-04</t>
        </is>
      </c>
      <c r="V496" t="inlineStr">
        <is>
          <t>1992-12-04</t>
        </is>
      </c>
      <c r="W496" t="inlineStr">
        <is>
          <t>1990-09-14</t>
        </is>
      </c>
      <c r="X496" t="inlineStr">
        <is>
          <t>1990-09-14</t>
        </is>
      </c>
      <c r="Y496" t="n">
        <v>1109</v>
      </c>
      <c r="Z496" t="n">
        <v>998</v>
      </c>
      <c r="AA496" t="n">
        <v>1002</v>
      </c>
      <c r="AB496" t="n">
        <v>10</v>
      </c>
      <c r="AC496" t="n">
        <v>10</v>
      </c>
      <c r="AD496" t="n">
        <v>39</v>
      </c>
      <c r="AE496" t="n">
        <v>39</v>
      </c>
      <c r="AF496" t="n">
        <v>16</v>
      </c>
      <c r="AG496" t="n">
        <v>16</v>
      </c>
      <c r="AH496" t="n">
        <v>7</v>
      </c>
      <c r="AI496" t="n">
        <v>7</v>
      </c>
      <c r="AJ496" t="n">
        <v>17</v>
      </c>
      <c r="AK496" t="n">
        <v>17</v>
      </c>
      <c r="AL496" t="n">
        <v>9</v>
      </c>
      <c r="AM496" t="n">
        <v>9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HYPERLINK("http://catalog.hathitrust.org/Record/001028423","HathiTrust Record")</f>
        <v/>
      </c>
      <c r="AS496">
        <f>HYPERLINK("https://creighton-primo.hosted.exlibrisgroup.com/primo-explore/search?tab=default_tab&amp;search_scope=EVERYTHING&amp;vid=01CRU&amp;lang=en_US&amp;offset=0&amp;query=any,contains,991000910399702656","Catalog Record")</f>
        <v/>
      </c>
      <c r="AT496">
        <f>HYPERLINK("http://www.worldcat.org/oclc/159466","WorldCat Record")</f>
        <v/>
      </c>
      <c r="AU496" t="inlineStr">
        <is>
          <t>908286654:eng</t>
        </is>
      </c>
      <c r="AV496" t="inlineStr">
        <is>
          <t>159466</t>
        </is>
      </c>
      <c r="AW496" t="inlineStr">
        <is>
          <t>991000910399702656</t>
        </is>
      </c>
      <c r="AX496" t="inlineStr">
        <is>
          <t>991000910399702656</t>
        </is>
      </c>
      <c r="AY496" t="inlineStr">
        <is>
          <t>2259109920002656</t>
        </is>
      </c>
      <c r="AZ496" t="inlineStr">
        <is>
          <t>BOOK</t>
        </is>
      </c>
      <c r="BB496" t="inlineStr">
        <is>
          <t>9780394410272</t>
        </is>
      </c>
      <c r="BC496" t="inlineStr">
        <is>
          <t>32285000303734</t>
        </is>
      </c>
      <c r="BD496" t="inlineStr">
        <is>
          <t>893872121</t>
        </is>
      </c>
    </row>
    <row r="497">
      <c r="A497" t="inlineStr">
        <is>
          <t>No</t>
        </is>
      </c>
      <c r="B497" t="inlineStr">
        <is>
          <t>PS3507.R59 A3</t>
        </is>
      </c>
      <c r="C497" t="inlineStr">
        <is>
          <t>0                      PS 3507000R  59                 A  3</t>
        </is>
      </c>
      <c r="D497" t="inlineStr">
        <is>
          <t>Advise and consent / drawings by Arthur Shilstone.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Drury, Allen.</t>
        </is>
      </c>
      <c r="L497" t="inlineStr">
        <is>
          <t>Garden City, N.Y. : Doubleday, 1959.</t>
        </is>
      </c>
      <c r="M497" t="inlineStr">
        <is>
          <t>1959</t>
        </is>
      </c>
      <c r="N497" t="inlineStr">
        <is>
          <t>[1st ed.]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PS </t>
        </is>
      </c>
      <c r="S497" t="n">
        <v>1</v>
      </c>
      <c r="T497" t="n">
        <v>1</v>
      </c>
      <c r="U497" t="inlineStr">
        <is>
          <t>1993-06-01</t>
        </is>
      </c>
      <c r="V497" t="inlineStr">
        <is>
          <t>1993-06-01</t>
        </is>
      </c>
      <c r="W497" t="inlineStr">
        <is>
          <t>1990-09-11</t>
        </is>
      </c>
      <c r="X497" t="inlineStr">
        <is>
          <t>1990-09-11</t>
        </is>
      </c>
      <c r="Y497" t="n">
        <v>2568</v>
      </c>
      <c r="Z497" t="n">
        <v>2443</v>
      </c>
      <c r="AA497" t="n">
        <v>2708</v>
      </c>
      <c r="AB497" t="n">
        <v>25</v>
      </c>
      <c r="AC497" t="n">
        <v>27</v>
      </c>
      <c r="AD497" t="n">
        <v>53</v>
      </c>
      <c r="AE497" t="n">
        <v>53</v>
      </c>
      <c r="AF497" t="n">
        <v>18</v>
      </c>
      <c r="AG497" t="n">
        <v>18</v>
      </c>
      <c r="AH497" t="n">
        <v>8</v>
      </c>
      <c r="AI497" t="n">
        <v>8</v>
      </c>
      <c r="AJ497" t="n">
        <v>22</v>
      </c>
      <c r="AK497" t="n">
        <v>22</v>
      </c>
      <c r="AL497" t="n">
        <v>9</v>
      </c>
      <c r="AM497" t="n">
        <v>9</v>
      </c>
      <c r="AN497" t="n">
        <v>7</v>
      </c>
      <c r="AO497" t="n">
        <v>7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HYPERLINK("http://catalog.hathitrust.org/Record/001910050","HathiTrust Record")</f>
        <v/>
      </c>
      <c r="AS497">
        <f>HYPERLINK("https://creighton-primo.hosted.exlibrisgroup.com/primo-explore/search?tab=default_tab&amp;search_scope=EVERYTHING&amp;vid=01CRU&amp;lang=en_US&amp;offset=0&amp;query=any,contains,991002195479702656","Catalog Record")</f>
        <v/>
      </c>
      <c r="AT497">
        <f>HYPERLINK("http://www.worldcat.org/oclc/282794","WorldCat Record")</f>
        <v/>
      </c>
      <c r="AU497" t="inlineStr">
        <is>
          <t>453726:eng</t>
        </is>
      </c>
      <c r="AV497" t="inlineStr">
        <is>
          <t>282794</t>
        </is>
      </c>
      <c r="AW497" t="inlineStr">
        <is>
          <t>991002195479702656</t>
        </is>
      </c>
      <c r="AX497" t="inlineStr">
        <is>
          <t>991002195479702656</t>
        </is>
      </c>
      <c r="AY497" t="inlineStr">
        <is>
          <t>2266318430002656</t>
        </is>
      </c>
      <c r="AZ497" t="inlineStr">
        <is>
          <t>BOOK</t>
        </is>
      </c>
      <c r="BC497" t="inlineStr">
        <is>
          <t>32285000301456</t>
        </is>
      </c>
      <c r="BD497" t="inlineStr">
        <is>
          <t>893347215</t>
        </is>
      </c>
    </row>
    <row r="498">
      <c r="A498" t="inlineStr">
        <is>
          <t>No</t>
        </is>
      </c>
      <c r="B498" t="inlineStr">
        <is>
          <t>PS3507.U6755 Z57</t>
        </is>
      </c>
      <c r="C498" t="inlineStr">
        <is>
          <t>0                      PS 3507000U  6755               Z  57</t>
        </is>
      </c>
      <c r="D498" t="inlineStr">
        <is>
          <t>Finley Peter Dunne / by Grace Eckley.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Eckley, Grace.</t>
        </is>
      </c>
      <c r="L498" t="inlineStr">
        <is>
          <t>Boston : G. K. Hall, 1981.</t>
        </is>
      </c>
      <c r="M498" t="inlineStr">
        <is>
          <t>1981</t>
        </is>
      </c>
      <c r="O498" t="inlineStr">
        <is>
          <t>eng</t>
        </is>
      </c>
      <c r="P498" t="inlineStr">
        <is>
          <t>mau</t>
        </is>
      </c>
      <c r="Q498" t="inlineStr">
        <is>
          <t>Twayne's United States authors series ; 402</t>
        </is>
      </c>
      <c r="R498" t="inlineStr">
        <is>
          <t xml:space="preserve">PS </t>
        </is>
      </c>
      <c r="S498" t="n">
        <v>4</v>
      </c>
      <c r="T498" t="n">
        <v>4</v>
      </c>
      <c r="U498" t="inlineStr">
        <is>
          <t>2004-01-13</t>
        </is>
      </c>
      <c r="V498" t="inlineStr">
        <is>
          <t>2004-01-13</t>
        </is>
      </c>
      <c r="W498" t="inlineStr">
        <is>
          <t>1990-11-06</t>
        </is>
      </c>
      <c r="X498" t="inlineStr">
        <is>
          <t>1990-11-06</t>
        </is>
      </c>
      <c r="Y498" t="n">
        <v>630</v>
      </c>
      <c r="Z498" t="n">
        <v>573</v>
      </c>
      <c r="AA498" t="n">
        <v>581</v>
      </c>
      <c r="AB498" t="n">
        <v>5</v>
      </c>
      <c r="AC498" t="n">
        <v>5</v>
      </c>
      <c r="AD498" t="n">
        <v>26</v>
      </c>
      <c r="AE498" t="n">
        <v>27</v>
      </c>
      <c r="AF498" t="n">
        <v>8</v>
      </c>
      <c r="AG498" t="n">
        <v>8</v>
      </c>
      <c r="AH498" t="n">
        <v>5</v>
      </c>
      <c r="AI498" t="n">
        <v>6</v>
      </c>
      <c r="AJ498" t="n">
        <v>16</v>
      </c>
      <c r="AK498" t="n">
        <v>17</v>
      </c>
      <c r="AL498" t="n">
        <v>4</v>
      </c>
      <c r="AM498" t="n">
        <v>4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HYPERLINK("http://catalog.hathitrust.org/Record/004439997","HathiTrust Record")</f>
        <v/>
      </c>
      <c r="AS498">
        <f>HYPERLINK("https://creighton-primo.hosted.exlibrisgroup.com/primo-explore/search?tab=default_tab&amp;search_scope=EVERYTHING&amp;vid=01CRU&amp;lang=en_US&amp;offset=0&amp;query=any,contains,991005016319702656","Catalog Record")</f>
        <v/>
      </c>
      <c r="AT498">
        <f>HYPERLINK("http://www.worldcat.org/oclc/6626524","WorldCat Record")</f>
        <v/>
      </c>
      <c r="AU498" t="inlineStr">
        <is>
          <t>20338288:eng</t>
        </is>
      </c>
      <c r="AV498" t="inlineStr">
        <is>
          <t>6626524</t>
        </is>
      </c>
      <c r="AW498" t="inlineStr">
        <is>
          <t>991005016319702656</t>
        </is>
      </c>
      <c r="AX498" t="inlineStr">
        <is>
          <t>991005016319702656</t>
        </is>
      </c>
      <c r="AY498" t="inlineStr">
        <is>
          <t>2256220690002656</t>
        </is>
      </c>
      <c r="AZ498" t="inlineStr">
        <is>
          <t>BOOK</t>
        </is>
      </c>
      <c r="BB498" t="inlineStr">
        <is>
          <t>9780805772951</t>
        </is>
      </c>
      <c r="BC498" t="inlineStr">
        <is>
          <t>32285000377167</t>
        </is>
      </c>
      <c r="BD498" t="inlineStr">
        <is>
          <t>893801594</t>
        </is>
      </c>
    </row>
    <row r="499">
      <c r="A499" t="inlineStr">
        <is>
          <t>No</t>
        </is>
      </c>
      <c r="B499" t="inlineStr">
        <is>
          <t>PS3507.U6755 Z6</t>
        </is>
      </c>
      <c r="C499" t="inlineStr">
        <is>
          <t>0                      PS 3507000U  6755               Z  6</t>
        </is>
      </c>
      <c r="D499" t="inlineStr">
        <is>
          <t>Mr. Dooley's America : a life of Finley Peter Dunne / by Elmer Ellis.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Ellis, Elmer, 1901-1989.</t>
        </is>
      </c>
      <c r="L499" t="inlineStr">
        <is>
          <t>New York, A. A. Knopf, 1941.</t>
        </is>
      </c>
      <c r="M499" t="inlineStr">
        <is>
          <t>1941</t>
        </is>
      </c>
      <c r="N499" t="inlineStr">
        <is>
          <t>1st ed.</t>
        </is>
      </c>
      <c r="O499" t="inlineStr">
        <is>
          <t>eng</t>
        </is>
      </c>
      <c r="P499" t="inlineStr">
        <is>
          <t>nyu</t>
        </is>
      </c>
      <c r="R499" t="inlineStr">
        <is>
          <t xml:space="preserve">PS </t>
        </is>
      </c>
      <c r="S499" t="n">
        <v>3</v>
      </c>
      <c r="T499" t="n">
        <v>3</v>
      </c>
      <c r="U499" t="inlineStr">
        <is>
          <t>1999-09-07</t>
        </is>
      </c>
      <c r="V499" t="inlineStr">
        <is>
          <t>1999-09-07</t>
        </is>
      </c>
      <c r="W499" t="inlineStr">
        <is>
          <t>1993-09-18</t>
        </is>
      </c>
      <c r="X499" t="inlineStr">
        <is>
          <t>1993-09-18</t>
        </is>
      </c>
      <c r="Y499" t="n">
        <v>523</v>
      </c>
      <c r="Z499" t="n">
        <v>499</v>
      </c>
      <c r="AA499" t="n">
        <v>516</v>
      </c>
      <c r="AB499" t="n">
        <v>3</v>
      </c>
      <c r="AC499" t="n">
        <v>3</v>
      </c>
      <c r="AD499" t="n">
        <v>30</v>
      </c>
      <c r="AE499" t="n">
        <v>30</v>
      </c>
      <c r="AF499" t="n">
        <v>10</v>
      </c>
      <c r="AG499" t="n">
        <v>10</v>
      </c>
      <c r="AH499" t="n">
        <v>7</v>
      </c>
      <c r="AI499" t="n">
        <v>7</v>
      </c>
      <c r="AJ499" t="n">
        <v>19</v>
      </c>
      <c r="AK499" t="n">
        <v>19</v>
      </c>
      <c r="AL499" t="n">
        <v>2</v>
      </c>
      <c r="AM499" t="n">
        <v>2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HYPERLINK("http://catalog.hathitrust.org/Record/001028436","HathiTrust Record")</f>
        <v/>
      </c>
      <c r="AS499">
        <f>HYPERLINK("https://creighton-primo.hosted.exlibrisgroup.com/primo-explore/search?tab=default_tab&amp;search_scope=EVERYTHING&amp;vid=01CRU&amp;lang=en_US&amp;offset=0&amp;query=any,contains,991002196189702656","Catalog Record")</f>
        <v/>
      </c>
      <c r="AT499">
        <f>HYPERLINK("http://www.worldcat.org/oclc/283002","WorldCat Record")</f>
        <v/>
      </c>
      <c r="AU499" t="inlineStr">
        <is>
          <t>1129329:eng</t>
        </is>
      </c>
      <c r="AV499" t="inlineStr">
        <is>
          <t>283002</t>
        </is>
      </c>
      <c r="AW499" t="inlineStr">
        <is>
          <t>991002196189702656</t>
        </is>
      </c>
      <c r="AX499" t="inlineStr">
        <is>
          <t>991002196189702656</t>
        </is>
      </c>
      <c r="AY499" t="inlineStr">
        <is>
          <t>2265669080002656</t>
        </is>
      </c>
      <c r="AZ499" t="inlineStr">
        <is>
          <t>BOOK</t>
        </is>
      </c>
      <c r="BC499" t="inlineStr">
        <is>
          <t>32285001770493</t>
        </is>
      </c>
      <c r="BD499" t="inlineStr">
        <is>
          <t>893256996</t>
        </is>
      </c>
    </row>
    <row r="500">
      <c r="A500" t="inlineStr">
        <is>
          <t>No</t>
        </is>
      </c>
      <c r="B500" t="inlineStr">
        <is>
          <t>PS3509.A84 Z465 1978</t>
        </is>
      </c>
      <c r="C500" t="inlineStr">
        <is>
          <t>0                      PS 3509000A  84                 Z  465         1978</t>
        </is>
      </c>
      <c r="D500" t="inlineStr">
        <is>
          <t>I send a voice / by Evelyn Eaton.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Eaton, Evelyn, 1902-1983.</t>
        </is>
      </c>
      <c r="L500" t="inlineStr">
        <is>
          <t>Wheaton, Ill. : Theosophical Pub. House, 1978.</t>
        </is>
      </c>
      <c r="M500" t="inlineStr">
        <is>
          <t>1978</t>
        </is>
      </c>
      <c r="N500" t="inlineStr">
        <is>
          <t>1st Quest Book ed.</t>
        </is>
      </c>
      <c r="O500" t="inlineStr">
        <is>
          <t>eng</t>
        </is>
      </c>
      <c r="P500" t="inlineStr">
        <is>
          <t>ilu</t>
        </is>
      </c>
      <c r="Q500" t="inlineStr">
        <is>
          <t>A Quest book original</t>
        </is>
      </c>
      <c r="R500" t="inlineStr">
        <is>
          <t xml:space="preserve">PS </t>
        </is>
      </c>
      <c r="S500" t="n">
        <v>1</v>
      </c>
      <c r="T500" t="n">
        <v>1</v>
      </c>
      <c r="U500" t="inlineStr">
        <is>
          <t>2002-04-23</t>
        </is>
      </c>
      <c r="V500" t="inlineStr">
        <is>
          <t>2002-04-23</t>
        </is>
      </c>
      <c r="W500" t="inlineStr">
        <is>
          <t>2002-04-16</t>
        </is>
      </c>
      <c r="X500" t="inlineStr">
        <is>
          <t>2002-04-16</t>
        </is>
      </c>
      <c r="Y500" t="n">
        <v>144</v>
      </c>
      <c r="Z500" t="n">
        <v>126</v>
      </c>
      <c r="AA500" t="n">
        <v>173</v>
      </c>
      <c r="AB500" t="n">
        <v>1</v>
      </c>
      <c r="AC500" t="n">
        <v>1</v>
      </c>
      <c r="AD500" t="n">
        <v>2</v>
      </c>
      <c r="AE500" t="n">
        <v>4</v>
      </c>
      <c r="AF500" t="n">
        <v>1</v>
      </c>
      <c r="AG500" t="n">
        <v>2</v>
      </c>
      <c r="AH500" t="n">
        <v>0</v>
      </c>
      <c r="AI500" t="n">
        <v>2</v>
      </c>
      <c r="AJ500" t="n">
        <v>1</v>
      </c>
      <c r="AK500" t="n">
        <v>1</v>
      </c>
      <c r="AL500" t="n">
        <v>0</v>
      </c>
      <c r="AM500" t="n">
        <v>0</v>
      </c>
      <c r="AN500" t="n">
        <v>1</v>
      </c>
      <c r="AO500" t="n">
        <v>1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HYPERLINK("https://creighton-primo.hosted.exlibrisgroup.com/primo-explore/search?tab=default_tab&amp;search_scope=EVERYTHING&amp;vid=01CRU&amp;lang=en_US&amp;offset=0&amp;query=any,contains,991003685879702656","Catalog Record")</f>
        <v/>
      </c>
      <c r="AT500">
        <f>HYPERLINK("http://www.worldcat.org/oclc/3843095","WorldCat Record")</f>
        <v/>
      </c>
      <c r="AU500" t="inlineStr">
        <is>
          <t>497189:eng</t>
        </is>
      </c>
      <c r="AV500" t="inlineStr">
        <is>
          <t>3843095</t>
        </is>
      </c>
      <c r="AW500" t="inlineStr">
        <is>
          <t>991003685879702656</t>
        </is>
      </c>
      <c r="AX500" t="inlineStr">
        <is>
          <t>991003685879702656</t>
        </is>
      </c>
      <c r="AY500" t="inlineStr">
        <is>
          <t>2266368560002656</t>
        </is>
      </c>
      <c r="AZ500" t="inlineStr">
        <is>
          <t>BOOK</t>
        </is>
      </c>
      <c r="BB500" t="inlineStr">
        <is>
          <t>9780835605113</t>
        </is>
      </c>
      <c r="BC500" t="inlineStr">
        <is>
          <t>32285004480348</t>
        </is>
      </c>
      <c r="BD500" t="inlineStr">
        <is>
          <t>893699285</t>
        </is>
      </c>
    </row>
    <row r="501">
      <c r="A501" t="inlineStr">
        <is>
          <t>No</t>
        </is>
      </c>
      <c r="B501" t="inlineStr">
        <is>
          <t>PS3509.B456 O35 1979</t>
        </is>
      </c>
      <c r="C501" t="inlineStr">
        <is>
          <t>0                      PS 3509000B  456                O  35          1979</t>
        </is>
      </c>
      <c r="D501" t="inlineStr">
        <is>
          <t>Of poetry and poets / Richard Eberhart.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Eberhart, Richard, 1904-2005.</t>
        </is>
      </c>
      <c r="L501" t="inlineStr">
        <is>
          <t>Urbana : University of Illinois Press, c1979, 1980 printing.</t>
        </is>
      </c>
      <c r="M501" t="inlineStr">
        <is>
          <t>1979</t>
        </is>
      </c>
      <c r="O501" t="inlineStr">
        <is>
          <t>eng</t>
        </is>
      </c>
      <c r="P501" t="inlineStr">
        <is>
          <t>ilu</t>
        </is>
      </c>
      <c r="R501" t="inlineStr">
        <is>
          <t xml:space="preserve">PS </t>
        </is>
      </c>
      <c r="S501" t="n">
        <v>1</v>
      </c>
      <c r="T501" t="n">
        <v>1</v>
      </c>
      <c r="U501" t="inlineStr">
        <is>
          <t>1998-03-27</t>
        </is>
      </c>
      <c r="V501" t="inlineStr">
        <is>
          <t>1998-03-27</t>
        </is>
      </c>
      <c r="W501" t="inlineStr">
        <is>
          <t>1990-07-31</t>
        </is>
      </c>
      <c r="X501" t="inlineStr">
        <is>
          <t>1990-07-31</t>
        </is>
      </c>
      <c r="Y501" t="n">
        <v>1070</v>
      </c>
      <c r="Z501" t="n">
        <v>974</v>
      </c>
      <c r="AA501" t="n">
        <v>1025</v>
      </c>
      <c r="AB501" t="n">
        <v>9</v>
      </c>
      <c r="AC501" t="n">
        <v>9</v>
      </c>
      <c r="AD501" t="n">
        <v>39</v>
      </c>
      <c r="AE501" t="n">
        <v>39</v>
      </c>
      <c r="AF501" t="n">
        <v>15</v>
      </c>
      <c r="AG501" t="n">
        <v>15</v>
      </c>
      <c r="AH501" t="n">
        <v>7</v>
      </c>
      <c r="AI501" t="n">
        <v>7</v>
      </c>
      <c r="AJ501" t="n">
        <v>17</v>
      </c>
      <c r="AK501" t="n">
        <v>17</v>
      </c>
      <c r="AL501" t="n">
        <v>7</v>
      </c>
      <c r="AM501" t="n">
        <v>7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HYPERLINK("http://catalog.hathitrust.org/Record/000256792","HathiTrust Record")</f>
        <v/>
      </c>
      <c r="AS501">
        <f>HYPERLINK("https://creighton-primo.hosted.exlibrisgroup.com/primo-explore/search?tab=default_tab&amp;search_scope=EVERYTHING&amp;vid=01CRU&amp;lang=en_US&amp;offset=0&amp;query=any,contains,991004662729702656","Catalog Record")</f>
        <v/>
      </c>
      <c r="AT501">
        <f>HYPERLINK("http://www.worldcat.org/oclc/4498005","WorldCat Record")</f>
        <v/>
      </c>
      <c r="AU501" t="inlineStr">
        <is>
          <t>48129102:eng</t>
        </is>
      </c>
      <c r="AV501" t="inlineStr">
        <is>
          <t>4498005</t>
        </is>
      </c>
      <c r="AW501" t="inlineStr">
        <is>
          <t>991004662729702656</t>
        </is>
      </c>
      <c r="AX501" t="inlineStr">
        <is>
          <t>991004662729702656</t>
        </is>
      </c>
      <c r="AY501" t="inlineStr">
        <is>
          <t>2266442180002656</t>
        </is>
      </c>
      <c r="AZ501" t="inlineStr">
        <is>
          <t>BOOK</t>
        </is>
      </c>
      <c r="BB501" t="inlineStr">
        <is>
          <t>9780252006302</t>
        </is>
      </c>
      <c r="BC501" t="inlineStr">
        <is>
          <t>32285000229764</t>
        </is>
      </c>
      <c r="BD501" t="inlineStr">
        <is>
          <t>893807335</t>
        </is>
      </c>
    </row>
    <row r="502">
      <c r="A502" t="inlineStr">
        <is>
          <t>No</t>
        </is>
      </c>
      <c r="B502" t="inlineStr">
        <is>
          <t>PS3509.L43 F646</t>
        </is>
      </c>
      <c r="C502" t="inlineStr">
        <is>
          <t>0                      PS 3509000L  43                 F  646</t>
        </is>
      </c>
      <c r="D502" t="inlineStr">
        <is>
          <t>The composition of Four quartets / Helen Gardner.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Gardner, Helen, 1908-1986.</t>
        </is>
      </c>
      <c r="L502" t="inlineStr">
        <is>
          <t>London ; Boston : Faber, 1978.</t>
        </is>
      </c>
      <c r="M502" t="inlineStr">
        <is>
          <t>1978</t>
        </is>
      </c>
      <c r="O502" t="inlineStr">
        <is>
          <t>eng</t>
        </is>
      </c>
      <c r="P502" t="inlineStr">
        <is>
          <t>enk</t>
        </is>
      </c>
      <c r="R502" t="inlineStr">
        <is>
          <t xml:space="preserve">PS </t>
        </is>
      </c>
      <c r="S502" t="n">
        <v>3</v>
      </c>
      <c r="T502" t="n">
        <v>3</v>
      </c>
      <c r="U502" t="inlineStr">
        <is>
          <t>1998-03-29</t>
        </is>
      </c>
      <c r="V502" t="inlineStr">
        <is>
          <t>1998-03-29</t>
        </is>
      </c>
      <c r="W502" t="inlineStr">
        <is>
          <t>1997-12-16</t>
        </is>
      </c>
      <c r="X502" t="inlineStr">
        <is>
          <t>1997-12-16</t>
        </is>
      </c>
      <c r="Y502" t="n">
        <v>378</v>
      </c>
      <c r="Z502" t="n">
        <v>122</v>
      </c>
      <c r="AA502" t="n">
        <v>660</v>
      </c>
      <c r="AB502" t="n">
        <v>2</v>
      </c>
      <c r="AC502" t="n">
        <v>5</v>
      </c>
      <c r="AD502" t="n">
        <v>8</v>
      </c>
      <c r="AE502" t="n">
        <v>41</v>
      </c>
      <c r="AF502" t="n">
        <v>3</v>
      </c>
      <c r="AG502" t="n">
        <v>16</v>
      </c>
      <c r="AH502" t="n">
        <v>1</v>
      </c>
      <c r="AI502" t="n">
        <v>11</v>
      </c>
      <c r="AJ502" t="n">
        <v>4</v>
      </c>
      <c r="AK502" t="n">
        <v>22</v>
      </c>
      <c r="AL502" t="n">
        <v>1</v>
      </c>
      <c r="AM502" t="n">
        <v>4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HYPERLINK("https://creighton-primo.hosted.exlibrisgroup.com/primo-explore/search?tab=default_tab&amp;search_scope=EVERYTHING&amp;vid=01CRU&amp;lang=en_US&amp;offset=0&amp;query=any,contains,991004552719702656","Catalog Record")</f>
        <v/>
      </c>
      <c r="AT502">
        <f>HYPERLINK("http://www.worldcat.org/oclc/3947697","WorldCat Record")</f>
        <v/>
      </c>
      <c r="AU502" t="inlineStr">
        <is>
          <t>117925616:eng</t>
        </is>
      </c>
      <c r="AV502" t="inlineStr">
        <is>
          <t>3947697</t>
        </is>
      </c>
      <c r="AW502" t="inlineStr">
        <is>
          <t>991004552719702656</t>
        </is>
      </c>
      <c r="AX502" t="inlineStr">
        <is>
          <t>991004552719702656</t>
        </is>
      </c>
      <c r="AY502" t="inlineStr">
        <is>
          <t>2267980800002656</t>
        </is>
      </c>
      <c r="AZ502" t="inlineStr">
        <is>
          <t>BOOK</t>
        </is>
      </c>
      <c r="BB502" t="inlineStr">
        <is>
          <t>9780571110483</t>
        </is>
      </c>
      <c r="BC502" t="inlineStr">
        <is>
          <t>32285003292025</t>
        </is>
      </c>
      <c r="BD502" t="inlineStr">
        <is>
          <t>893606173</t>
        </is>
      </c>
    </row>
    <row r="503">
      <c r="A503" t="inlineStr">
        <is>
          <t>No</t>
        </is>
      </c>
      <c r="B503" t="inlineStr">
        <is>
          <t>PS3509.L43 M856</t>
        </is>
      </c>
      <c r="C503" t="inlineStr">
        <is>
          <t>0                      PS 3509000L  43                 M  856</t>
        </is>
      </c>
      <c r="D503" t="inlineStr">
        <is>
          <t>Twentieth century interpretations of Murder in the Cathedral : a collection of critical essays / edited by David R. Clark.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Clark, David R. compiler.</t>
        </is>
      </c>
      <c r="L503" t="inlineStr">
        <is>
          <t>Englewood Cliffs, N.J. : Prentice-Hall, [1971]</t>
        </is>
      </c>
      <c r="M503" t="inlineStr">
        <is>
          <t>1971</t>
        </is>
      </c>
      <c r="O503" t="inlineStr">
        <is>
          <t>eng</t>
        </is>
      </c>
      <c r="P503" t="inlineStr">
        <is>
          <t>nju</t>
        </is>
      </c>
      <c r="Q503" t="inlineStr">
        <is>
          <t>A Spectrum book, S-876</t>
        </is>
      </c>
      <c r="R503" t="inlineStr">
        <is>
          <t xml:space="preserve">PS </t>
        </is>
      </c>
      <c r="S503" t="n">
        <v>2</v>
      </c>
      <c r="T503" t="n">
        <v>2</v>
      </c>
      <c r="U503" t="inlineStr">
        <is>
          <t>1997-12-01</t>
        </is>
      </c>
      <c r="V503" t="inlineStr">
        <is>
          <t>1997-12-01</t>
        </is>
      </c>
      <c r="W503" t="inlineStr">
        <is>
          <t>1990-11-07</t>
        </is>
      </c>
      <c r="X503" t="inlineStr">
        <is>
          <t>1990-11-07</t>
        </is>
      </c>
      <c r="Y503" t="n">
        <v>1537</v>
      </c>
      <c r="Z503" t="n">
        <v>1398</v>
      </c>
      <c r="AA503" t="n">
        <v>1407</v>
      </c>
      <c r="AB503" t="n">
        <v>16</v>
      </c>
      <c r="AC503" t="n">
        <v>16</v>
      </c>
      <c r="AD503" t="n">
        <v>51</v>
      </c>
      <c r="AE503" t="n">
        <v>51</v>
      </c>
      <c r="AF503" t="n">
        <v>17</v>
      </c>
      <c r="AG503" t="n">
        <v>17</v>
      </c>
      <c r="AH503" t="n">
        <v>9</v>
      </c>
      <c r="AI503" t="n">
        <v>9</v>
      </c>
      <c r="AJ503" t="n">
        <v>21</v>
      </c>
      <c r="AK503" t="n">
        <v>21</v>
      </c>
      <c r="AL503" t="n">
        <v>14</v>
      </c>
      <c r="AM503" t="n">
        <v>14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HYPERLINK("http://catalog.hathitrust.org/Record/001028472","HathiTrust Record")</f>
        <v/>
      </c>
      <c r="AS503">
        <f>HYPERLINK("https://creighton-primo.hosted.exlibrisgroup.com/primo-explore/search?tab=default_tab&amp;search_scope=EVERYTHING&amp;vid=01CRU&amp;lang=en_US&amp;offset=0&amp;query=any,contains,991000885669702656","Catalog Record")</f>
        <v/>
      </c>
      <c r="AT503">
        <f>HYPERLINK("http://www.worldcat.org/oclc/152933","WorldCat Record")</f>
        <v/>
      </c>
      <c r="AU503" t="inlineStr">
        <is>
          <t>191764464:eng</t>
        </is>
      </c>
      <c r="AV503" t="inlineStr">
        <is>
          <t>152933</t>
        </is>
      </c>
      <c r="AW503" t="inlineStr">
        <is>
          <t>991000885669702656</t>
        </is>
      </c>
      <c r="AX503" t="inlineStr">
        <is>
          <t>991000885669702656</t>
        </is>
      </c>
      <c r="AY503" t="inlineStr">
        <is>
          <t>2271745990002656</t>
        </is>
      </c>
      <c r="AZ503" t="inlineStr">
        <is>
          <t>BOOK</t>
        </is>
      </c>
      <c r="BB503" t="inlineStr">
        <is>
          <t>9780136063926</t>
        </is>
      </c>
      <c r="BC503" t="inlineStr">
        <is>
          <t>32285000377225</t>
        </is>
      </c>
      <c r="BD503" t="inlineStr">
        <is>
          <t>893255831</t>
        </is>
      </c>
    </row>
    <row r="504">
      <c r="A504" t="inlineStr">
        <is>
          <t>No</t>
        </is>
      </c>
      <c r="B504" t="inlineStr">
        <is>
          <t>PS3509.L43 M9 1988</t>
        </is>
      </c>
      <c r="C504" t="inlineStr">
        <is>
          <t>0                      PS 3509000L  43                 M  9           1988</t>
        </is>
      </c>
      <c r="D504" t="inlineStr">
        <is>
          <t>T.S. Eliot's Murder in the cathedral / edited and with an introduction by Harold Bloom.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L504" t="inlineStr">
        <is>
          <t>New York : Chelsea House Publishers, 1988.</t>
        </is>
      </c>
      <c r="M504" t="inlineStr">
        <is>
          <t>1988</t>
        </is>
      </c>
      <c r="O504" t="inlineStr">
        <is>
          <t>eng</t>
        </is>
      </c>
      <c r="P504" t="inlineStr">
        <is>
          <t>nyu</t>
        </is>
      </c>
      <c r="Q504" t="inlineStr">
        <is>
          <t>Modern critical interpretations</t>
        </is>
      </c>
      <c r="R504" t="inlineStr">
        <is>
          <t xml:space="preserve">PS </t>
        </is>
      </c>
      <c r="S504" t="n">
        <v>5</v>
      </c>
      <c r="T504" t="n">
        <v>5</v>
      </c>
      <c r="U504" t="inlineStr">
        <is>
          <t>1997-12-01</t>
        </is>
      </c>
      <c r="V504" t="inlineStr">
        <is>
          <t>1997-12-01</t>
        </is>
      </c>
      <c r="W504" t="inlineStr">
        <is>
          <t>1990-03-19</t>
        </is>
      </c>
      <c r="X504" t="inlineStr">
        <is>
          <t>1990-03-19</t>
        </is>
      </c>
      <c r="Y504" t="n">
        <v>637</v>
      </c>
      <c r="Z504" t="n">
        <v>581</v>
      </c>
      <c r="AA504" t="n">
        <v>589</v>
      </c>
      <c r="AB504" t="n">
        <v>3</v>
      </c>
      <c r="AC504" t="n">
        <v>3</v>
      </c>
      <c r="AD504" t="n">
        <v>16</v>
      </c>
      <c r="AE504" t="n">
        <v>16</v>
      </c>
      <c r="AF504" t="n">
        <v>6</v>
      </c>
      <c r="AG504" t="n">
        <v>6</v>
      </c>
      <c r="AH504" t="n">
        <v>3</v>
      </c>
      <c r="AI504" t="n">
        <v>3</v>
      </c>
      <c r="AJ504" t="n">
        <v>9</v>
      </c>
      <c r="AK504" t="n">
        <v>9</v>
      </c>
      <c r="AL504" t="n">
        <v>2</v>
      </c>
      <c r="AM504" t="n">
        <v>2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HYPERLINK("http://catalog.hathitrust.org/Record/000929877","HathiTrust Record")</f>
        <v/>
      </c>
      <c r="AS504">
        <f>HYPERLINK("https://creighton-primo.hosted.exlibrisgroup.com/primo-explore/search?tab=default_tab&amp;search_scope=EVERYTHING&amp;vid=01CRU&amp;lang=en_US&amp;offset=0&amp;query=any,contains,991001174999702656","Catalog Record")</f>
        <v/>
      </c>
      <c r="AT504">
        <f>HYPERLINK("http://www.worldcat.org/oclc/16986056","WorldCat Record")</f>
        <v/>
      </c>
      <c r="AU504" t="inlineStr">
        <is>
          <t>2260875219:eng</t>
        </is>
      </c>
      <c r="AV504" t="inlineStr">
        <is>
          <t>16986056</t>
        </is>
      </c>
      <c r="AW504" t="inlineStr">
        <is>
          <t>991001174999702656</t>
        </is>
      </c>
      <c r="AX504" t="inlineStr">
        <is>
          <t>991001174999702656</t>
        </is>
      </c>
      <c r="AY504" t="inlineStr">
        <is>
          <t>2272301630002656</t>
        </is>
      </c>
      <c r="AZ504" t="inlineStr">
        <is>
          <t>BOOK</t>
        </is>
      </c>
      <c r="BB504" t="inlineStr">
        <is>
          <t>9781555460372</t>
        </is>
      </c>
      <c r="BC504" t="inlineStr">
        <is>
          <t>32285000081926</t>
        </is>
      </c>
      <c r="BD504" t="inlineStr">
        <is>
          <t>893432651</t>
        </is>
      </c>
    </row>
    <row r="505">
      <c r="A505" t="inlineStr">
        <is>
          <t>No</t>
        </is>
      </c>
      <c r="B505" t="inlineStr">
        <is>
          <t>PS3509.L43 Z459 1995</t>
        </is>
      </c>
      <c r="C505" t="inlineStr">
        <is>
          <t>0                      PS 3509000L  43                 Z  459         1995</t>
        </is>
      </c>
      <c r="D505" t="inlineStr">
        <is>
          <t>A concordance to the complete poems and plays of T.S. Eliot / edited by J.L. Dawson, P.D. Holland, D.J. McKitterick.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Dawson, J. L.</t>
        </is>
      </c>
      <c r="L505" t="inlineStr">
        <is>
          <t>Ithaca : Cornell University Press, 1995.</t>
        </is>
      </c>
      <c r="M505" t="inlineStr">
        <is>
          <t>1995</t>
        </is>
      </c>
      <c r="O505" t="inlineStr">
        <is>
          <t>eng</t>
        </is>
      </c>
      <c r="P505" t="inlineStr">
        <is>
          <t>nyu</t>
        </is>
      </c>
      <c r="Q505" t="inlineStr">
        <is>
          <t>The Cornell concordances</t>
        </is>
      </c>
      <c r="R505" t="inlineStr">
        <is>
          <t xml:space="preserve">PS </t>
        </is>
      </c>
      <c r="S505" t="n">
        <v>2</v>
      </c>
      <c r="T505" t="n">
        <v>2</v>
      </c>
      <c r="U505" t="inlineStr">
        <is>
          <t>2002-06-10</t>
        </is>
      </c>
      <c r="V505" t="inlineStr">
        <is>
          <t>2002-06-10</t>
        </is>
      </c>
      <c r="W505" t="inlineStr">
        <is>
          <t>1997-05-28</t>
        </is>
      </c>
      <c r="X505" t="inlineStr">
        <is>
          <t>1997-05-28</t>
        </is>
      </c>
      <c r="Y505" t="n">
        <v>413</v>
      </c>
      <c r="Z505" t="n">
        <v>332</v>
      </c>
      <c r="AA505" t="n">
        <v>363</v>
      </c>
      <c r="AB505" t="n">
        <v>3</v>
      </c>
      <c r="AC505" t="n">
        <v>4</v>
      </c>
      <c r="AD505" t="n">
        <v>24</v>
      </c>
      <c r="AE505" t="n">
        <v>29</v>
      </c>
      <c r="AF505" t="n">
        <v>9</v>
      </c>
      <c r="AG505" t="n">
        <v>11</v>
      </c>
      <c r="AH505" t="n">
        <v>7</v>
      </c>
      <c r="AI505" t="n">
        <v>9</v>
      </c>
      <c r="AJ505" t="n">
        <v>14</v>
      </c>
      <c r="AK505" t="n">
        <v>15</v>
      </c>
      <c r="AL505" t="n">
        <v>2</v>
      </c>
      <c r="AM505" t="n">
        <v>3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HYPERLINK("http://catalog.hathitrust.org/Record/003045239","HathiTrust Record")</f>
        <v/>
      </c>
      <c r="AS505">
        <f>HYPERLINK("https://creighton-primo.hosted.exlibrisgroup.com/primo-explore/search?tab=default_tab&amp;search_scope=EVERYTHING&amp;vid=01CRU&amp;lang=en_US&amp;offset=0&amp;query=any,contains,991002508289702656","Catalog Record")</f>
        <v/>
      </c>
      <c r="AT505">
        <f>HYPERLINK("http://www.worldcat.org/oclc/32625227","WorldCat Record")</f>
        <v/>
      </c>
      <c r="AU505" t="inlineStr">
        <is>
          <t>906437757:eng</t>
        </is>
      </c>
      <c r="AV505" t="inlineStr">
        <is>
          <t>32625227</t>
        </is>
      </c>
      <c r="AW505" t="inlineStr">
        <is>
          <t>991002508289702656</t>
        </is>
      </c>
      <c r="AX505" t="inlineStr">
        <is>
          <t>991002508289702656</t>
        </is>
      </c>
      <c r="AY505" t="inlineStr">
        <is>
          <t>2269192050002656</t>
        </is>
      </c>
      <c r="AZ505" t="inlineStr">
        <is>
          <t>BOOK</t>
        </is>
      </c>
      <c r="BB505" t="inlineStr">
        <is>
          <t>9780801415616</t>
        </is>
      </c>
      <c r="BC505" t="inlineStr">
        <is>
          <t>32285002612082</t>
        </is>
      </c>
      <c r="BD505" t="inlineStr">
        <is>
          <t>893691687</t>
        </is>
      </c>
    </row>
    <row r="506">
      <c r="A506" t="inlineStr">
        <is>
          <t>No</t>
        </is>
      </c>
      <c r="B506" t="inlineStr">
        <is>
          <t>PS3509.L43 Z4594 1969</t>
        </is>
      </c>
      <c r="C506" t="inlineStr">
        <is>
          <t>0                      PS 3509000L  43                 Z  4594        1969</t>
        </is>
      </c>
      <c r="D506" t="inlineStr">
        <is>
          <t>T. S. Eliot; a bibliography, by Donald Gallup.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Gallup, Donald, 1913-2000.</t>
        </is>
      </c>
      <c r="L506" t="inlineStr">
        <is>
          <t>New York, Harcourt, Brace &amp; World [1969]</t>
        </is>
      </c>
      <c r="M506" t="inlineStr">
        <is>
          <t>1969</t>
        </is>
      </c>
      <c r="N506" t="inlineStr">
        <is>
          <t>Rev. and extended ed. [1st American ed.]</t>
        </is>
      </c>
      <c r="O506" t="inlineStr">
        <is>
          <t>eng</t>
        </is>
      </c>
      <c r="P506" t="inlineStr">
        <is>
          <t>nyu</t>
        </is>
      </c>
      <c r="R506" t="inlineStr">
        <is>
          <t xml:space="preserve">PS </t>
        </is>
      </c>
      <c r="S506" t="n">
        <v>5</v>
      </c>
      <c r="T506" t="n">
        <v>5</v>
      </c>
      <c r="U506" t="inlineStr">
        <is>
          <t>2002-12-04</t>
        </is>
      </c>
      <c r="V506" t="inlineStr">
        <is>
          <t>2002-12-04</t>
        </is>
      </c>
      <c r="W506" t="inlineStr">
        <is>
          <t>1997-06-03</t>
        </is>
      </c>
      <c r="X506" t="inlineStr">
        <is>
          <t>1997-06-03</t>
        </is>
      </c>
      <c r="Y506" t="n">
        <v>369</v>
      </c>
      <c r="Z506" t="n">
        <v>354</v>
      </c>
      <c r="AA506" t="n">
        <v>500</v>
      </c>
      <c r="AB506" t="n">
        <v>4</v>
      </c>
      <c r="AC506" t="n">
        <v>4</v>
      </c>
      <c r="AD506" t="n">
        <v>17</v>
      </c>
      <c r="AE506" t="n">
        <v>25</v>
      </c>
      <c r="AF506" t="n">
        <v>4</v>
      </c>
      <c r="AG506" t="n">
        <v>7</v>
      </c>
      <c r="AH506" t="n">
        <v>6</v>
      </c>
      <c r="AI506" t="n">
        <v>9</v>
      </c>
      <c r="AJ506" t="n">
        <v>8</v>
      </c>
      <c r="AK506" t="n">
        <v>12</v>
      </c>
      <c r="AL506" t="n">
        <v>3</v>
      </c>
      <c r="AM506" t="n">
        <v>3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HYPERLINK("http://catalog.hathitrust.org/Record/009914162","HathiTrust Record")</f>
        <v/>
      </c>
      <c r="AS506">
        <f>HYPERLINK("https://creighton-primo.hosted.exlibrisgroup.com/primo-explore/search?tab=default_tab&amp;search_scope=EVERYTHING&amp;vid=01CRU&amp;lang=en_US&amp;offset=0&amp;query=any,contains,991000605099702656","Catalog Record")</f>
        <v/>
      </c>
      <c r="AT506">
        <f>HYPERLINK("http://www.worldcat.org/oclc/98808","WorldCat Record")</f>
        <v/>
      </c>
      <c r="AU506" t="inlineStr">
        <is>
          <t>343732583:eng</t>
        </is>
      </c>
      <c r="AV506" t="inlineStr">
        <is>
          <t>98808</t>
        </is>
      </c>
      <c r="AW506" t="inlineStr">
        <is>
          <t>991000605099702656</t>
        </is>
      </c>
      <c r="AX506" t="inlineStr">
        <is>
          <t>991000605099702656</t>
        </is>
      </c>
      <c r="AY506" t="inlineStr">
        <is>
          <t>2272147010002656</t>
        </is>
      </c>
      <c r="AZ506" t="inlineStr">
        <is>
          <t>BOOK</t>
        </is>
      </c>
      <c r="BC506" t="inlineStr">
        <is>
          <t>32285002782844</t>
        </is>
      </c>
      <c r="BD506" t="inlineStr">
        <is>
          <t>893589597</t>
        </is>
      </c>
    </row>
    <row r="507">
      <c r="A507" t="inlineStr">
        <is>
          <t>No</t>
        </is>
      </c>
      <c r="B507" t="inlineStr">
        <is>
          <t>PS3509.L43 Z583 1986</t>
        </is>
      </c>
      <c r="C507" t="inlineStr">
        <is>
          <t>0                      PS 3509000L  43                 Z  583         1986</t>
        </is>
      </c>
      <c r="D507" t="inlineStr">
        <is>
          <t>T.S. Eliot as editor / by Agha Shahid Ali.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Agha, Shahid Ali, 1949-2001.</t>
        </is>
      </c>
      <c r="L507" t="inlineStr">
        <is>
          <t>Ann Arbor, Mich. : UMI Research Press, c1986.</t>
        </is>
      </c>
      <c r="M507" t="inlineStr">
        <is>
          <t>1986</t>
        </is>
      </c>
      <c r="O507" t="inlineStr">
        <is>
          <t>eng</t>
        </is>
      </c>
      <c r="P507" t="inlineStr">
        <is>
          <t>miu</t>
        </is>
      </c>
      <c r="Q507" t="inlineStr">
        <is>
          <t>Studies in modern literature ; no. 60</t>
        </is>
      </c>
      <c r="R507" t="inlineStr">
        <is>
          <t xml:space="preserve">PS </t>
        </is>
      </c>
      <c r="S507" t="n">
        <v>2</v>
      </c>
      <c r="T507" t="n">
        <v>2</v>
      </c>
      <c r="U507" t="inlineStr">
        <is>
          <t>1999-05-20</t>
        </is>
      </c>
      <c r="V507" t="inlineStr">
        <is>
          <t>1999-05-20</t>
        </is>
      </c>
      <c r="W507" t="inlineStr">
        <is>
          <t>1990-08-02</t>
        </is>
      </c>
      <c r="X507" t="inlineStr">
        <is>
          <t>1990-08-02</t>
        </is>
      </c>
      <c r="Y507" t="n">
        <v>200</v>
      </c>
      <c r="Z507" t="n">
        <v>156</v>
      </c>
      <c r="AA507" t="n">
        <v>158</v>
      </c>
      <c r="AB507" t="n">
        <v>2</v>
      </c>
      <c r="AC507" t="n">
        <v>2</v>
      </c>
      <c r="AD507" t="n">
        <v>8</v>
      </c>
      <c r="AE507" t="n">
        <v>8</v>
      </c>
      <c r="AF507" t="n">
        <v>0</v>
      </c>
      <c r="AG507" t="n">
        <v>0</v>
      </c>
      <c r="AH507" t="n">
        <v>3</v>
      </c>
      <c r="AI507" t="n">
        <v>3</v>
      </c>
      <c r="AJ507" t="n">
        <v>7</v>
      </c>
      <c r="AK507" t="n">
        <v>7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HYPERLINK("http://catalog.hathitrust.org/Record/000490754","HathiTrust Record")</f>
        <v/>
      </c>
      <c r="AS507">
        <f>HYPERLINK("https://creighton-primo.hosted.exlibrisgroup.com/primo-explore/search?tab=default_tab&amp;search_scope=EVERYTHING&amp;vid=01CRU&amp;lang=en_US&amp;offset=0&amp;query=any,contains,991000780749702656","Catalog Record")</f>
        <v/>
      </c>
      <c r="AT507">
        <f>HYPERLINK("http://www.worldcat.org/oclc/13095444","WorldCat Record")</f>
        <v/>
      </c>
      <c r="AU507" t="inlineStr">
        <is>
          <t>432931188:eng</t>
        </is>
      </c>
      <c r="AV507" t="inlineStr">
        <is>
          <t>13095444</t>
        </is>
      </c>
      <c r="AW507" t="inlineStr">
        <is>
          <t>991000780749702656</t>
        </is>
      </c>
      <c r="AX507" t="inlineStr">
        <is>
          <t>991000780749702656</t>
        </is>
      </c>
      <c r="AY507" t="inlineStr">
        <is>
          <t>2256080790002656</t>
        </is>
      </c>
      <c r="AZ507" t="inlineStr">
        <is>
          <t>BOOK</t>
        </is>
      </c>
      <c r="BB507" t="inlineStr">
        <is>
          <t>9780835717519</t>
        </is>
      </c>
      <c r="BC507" t="inlineStr">
        <is>
          <t>32285000262401</t>
        </is>
      </c>
      <c r="BD507" t="inlineStr">
        <is>
          <t>893315226</t>
        </is>
      </c>
    </row>
    <row r="508">
      <c r="A508" t="inlineStr">
        <is>
          <t>No</t>
        </is>
      </c>
      <c r="B508" t="inlineStr">
        <is>
          <t>PS3509.L43 Z585</t>
        </is>
      </c>
      <c r="C508" t="inlineStr">
        <is>
          <t>0                      PS 3509000L  43                 Z  585</t>
        </is>
      </c>
      <c r="D508" t="inlineStr">
        <is>
          <t>T. S. Eliot's impersonal theory of poetry / Mowbray Allan.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Allan, Mowbray, 1934-</t>
        </is>
      </c>
      <c r="L508" t="inlineStr">
        <is>
          <t>Lewisburg [Pa.] : Bucknell University Press, c1974.</t>
        </is>
      </c>
      <c r="M508" t="inlineStr">
        <is>
          <t>1974</t>
        </is>
      </c>
      <c r="O508" t="inlineStr">
        <is>
          <t>eng</t>
        </is>
      </c>
      <c r="P508" t="inlineStr">
        <is>
          <t>pau</t>
        </is>
      </c>
      <c r="R508" t="inlineStr">
        <is>
          <t xml:space="preserve">PS </t>
        </is>
      </c>
      <c r="S508" t="n">
        <v>14</v>
      </c>
      <c r="T508" t="n">
        <v>14</v>
      </c>
      <c r="U508" t="inlineStr">
        <is>
          <t>2001-03-30</t>
        </is>
      </c>
      <c r="V508" t="inlineStr">
        <is>
          <t>2001-03-30</t>
        </is>
      </c>
      <c r="W508" t="inlineStr">
        <is>
          <t>1990-07-31</t>
        </is>
      </c>
      <c r="X508" t="inlineStr">
        <is>
          <t>1990-07-31</t>
        </is>
      </c>
      <c r="Y508" t="n">
        <v>608</v>
      </c>
      <c r="Z508" t="n">
        <v>468</v>
      </c>
      <c r="AA508" t="n">
        <v>477</v>
      </c>
      <c r="AB508" t="n">
        <v>5</v>
      </c>
      <c r="AC508" t="n">
        <v>5</v>
      </c>
      <c r="AD508" t="n">
        <v>25</v>
      </c>
      <c r="AE508" t="n">
        <v>26</v>
      </c>
      <c r="AF508" t="n">
        <v>5</v>
      </c>
      <c r="AG508" t="n">
        <v>5</v>
      </c>
      <c r="AH508" t="n">
        <v>7</v>
      </c>
      <c r="AI508" t="n">
        <v>8</v>
      </c>
      <c r="AJ508" t="n">
        <v>13</v>
      </c>
      <c r="AK508" t="n">
        <v>14</v>
      </c>
      <c r="AL508" t="n">
        <v>4</v>
      </c>
      <c r="AM508" t="n">
        <v>4</v>
      </c>
      <c r="AN508" t="n">
        <v>0</v>
      </c>
      <c r="AO508" t="n">
        <v>0</v>
      </c>
      <c r="AP508" t="inlineStr">
        <is>
          <t>No</t>
        </is>
      </c>
      <c r="AQ508" t="inlineStr">
        <is>
          <t>Yes</t>
        </is>
      </c>
      <c r="AR508">
        <f>HYPERLINK("http://catalog.hathitrust.org/Record/000539805","HathiTrust Record")</f>
        <v/>
      </c>
      <c r="AS508">
        <f>HYPERLINK("https://creighton-primo.hosted.exlibrisgroup.com/primo-explore/search?tab=default_tab&amp;search_scope=EVERYTHING&amp;vid=01CRU&amp;lang=en_US&amp;offset=0&amp;query=any,contains,991003164759702656","Catalog Record")</f>
        <v/>
      </c>
      <c r="AT508">
        <f>HYPERLINK("http://www.worldcat.org/oclc/702970","WorldCat Record")</f>
        <v/>
      </c>
      <c r="AU508" t="inlineStr">
        <is>
          <t>503504:eng</t>
        </is>
      </c>
      <c r="AV508" t="inlineStr">
        <is>
          <t>702970</t>
        </is>
      </c>
      <c r="AW508" t="inlineStr">
        <is>
          <t>991003164759702656</t>
        </is>
      </c>
      <c r="AX508" t="inlineStr">
        <is>
          <t>991003164759702656</t>
        </is>
      </c>
      <c r="AY508" t="inlineStr">
        <is>
          <t>2258114410002656</t>
        </is>
      </c>
      <c r="AZ508" t="inlineStr">
        <is>
          <t>BOOK</t>
        </is>
      </c>
      <c r="BB508" t="inlineStr">
        <is>
          <t>9780838713112</t>
        </is>
      </c>
      <c r="BC508" t="inlineStr">
        <is>
          <t>32285000229814</t>
        </is>
      </c>
      <c r="BD508" t="inlineStr">
        <is>
          <t>893799443</t>
        </is>
      </c>
    </row>
    <row r="509">
      <c r="A509" t="inlineStr">
        <is>
          <t>No</t>
        </is>
      </c>
      <c r="B509" t="inlineStr">
        <is>
          <t>PS3509.L43 Z63</t>
        </is>
      </c>
      <c r="C509" t="inlineStr">
        <is>
          <t>0                      PS 3509000L  43                 Z  63</t>
        </is>
      </c>
      <c r="D509" t="inlineStr">
        <is>
          <t>T. S. Eliot &amp; education / [by] G. H. Bantock.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Bantock, G. H. (Geoffrey Herman), 1914-</t>
        </is>
      </c>
      <c r="L509" t="inlineStr">
        <is>
          <t>New York : Random House, [1969]</t>
        </is>
      </c>
      <c r="M509" t="inlineStr">
        <is>
          <t>1969</t>
        </is>
      </c>
      <c r="O509" t="inlineStr">
        <is>
          <t>eng</t>
        </is>
      </c>
      <c r="P509" t="inlineStr">
        <is>
          <t>nyu</t>
        </is>
      </c>
      <c r="Q509" t="inlineStr">
        <is>
          <t>Studies in the Western educational tradition ; SED 18</t>
        </is>
      </c>
      <c r="R509" t="inlineStr">
        <is>
          <t xml:space="preserve">PS </t>
        </is>
      </c>
      <c r="S509" t="n">
        <v>6</v>
      </c>
      <c r="T509" t="n">
        <v>6</v>
      </c>
      <c r="U509" t="inlineStr">
        <is>
          <t>1999-05-20</t>
        </is>
      </c>
      <c r="V509" t="inlineStr">
        <is>
          <t>1999-05-20</t>
        </is>
      </c>
      <c r="W509" t="inlineStr">
        <is>
          <t>1993-04-03</t>
        </is>
      </c>
      <c r="X509" t="inlineStr">
        <is>
          <t>1993-04-03</t>
        </is>
      </c>
      <c r="Y509" t="n">
        <v>423</v>
      </c>
      <c r="Z509" t="n">
        <v>387</v>
      </c>
      <c r="AA509" t="n">
        <v>435</v>
      </c>
      <c r="AB509" t="n">
        <v>5</v>
      </c>
      <c r="AC509" t="n">
        <v>5</v>
      </c>
      <c r="AD509" t="n">
        <v>23</v>
      </c>
      <c r="AE509" t="n">
        <v>23</v>
      </c>
      <c r="AF509" t="n">
        <v>4</v>
      </c>
      <c r="AG509" t="n">
        <v>4</v>
      </c>
      <c r="AH509" t="n">
        <v>6</v>
      </c>
      <c r="AI509" t="n">
        <v>6</v>
      </c>
      <c r="AJ509" t="n">
        <v>13</v>
      </c>
      <c r="AK509" t="n">
        <v>13</v>
      </c>
      <c r="AL509" t="n">
        <v>4</v>
      </c>
      <c r="AM509" t="n">
        <v>4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HYPERLINK("http://catalog.hathitrust.org/Record/000539806","HathiTrust Record")</f>
        <v/>
      </c>
      <c r="AS509">
        <f>HYPERLINK("https://creighton-primo.hosted.exlibrisgroup.com/primo-explore/search?tab=default_tab&amp;search_scope=EVERYTHING&amp;vid=01CRU&amp;lang=en_US&amp;offset=0&amp;query=any,contains,991000119229702656","Catalog Record")</f>
        <v/>
      </c>
      <c r="AT509">
        <f>HYPERLINK("http://www.worldcat.org/oclc/49603","WorldCat Record")</f>
        <v/>
      </c>
      <c r="AU509" t="inlineStr">
        <is>
          <t>1176736:eng</t>
        </is>
      </c>
      <c r="AV509" t="inlineStr">
        <is>
          <t>49603</t>
        </is>
      </c>
      <c r="AW509" t="inlineStr">
        <is>
          <t>991000119229702656</t>
        </is>
      </c>
      <c r="AX509" t="inlineStr">
        <is>
          <t>991000119229702656</t>
        </is>
      </c>
      <c r="AY509" t="inlineStr">
        <is>
          <t>2263729320002656</t>
        </is>
      </c>
      <c r="AZ509" t="inlineStr">
        <is>
          <t>BOOK</t>
        </is>
      </c>
      <c r="BC509" t="inlineStr">
        <is>
          <t>32285001499309</t>
        </is>
      </c>
      <c r="BD509" t="inlineStr">
        <is>
          <t>893425442</t>
        </is>
      </c>
    </row>
    <row r="510">
      <c r="A510" t="inlineStr">
        <is>
          <t>No</t>
        </is>
      </c>
      <c r="B510" t="inlineStr">
        <is>
          <t>PS3509.L43 Z64 1969</t>
        </is>
      </c>
      <c r="C510" t="inlineStr">
        <is>
          <t>0                      PS 3509000L  43                 Z  64          1969</t>
        </is>
      </c>
      <c r="D510" t="inlineStr">
        <is>
          <t>An analysis of the prosodic structure of selected poems of T. S. Eliot / by Sister M. Martin Barry.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Barry, Mary Martin, 1903-</t>
        </is>
      </c>
      <c r="L510" t="inlineStr">
        <is>
          <t>Washington : Catholic University of America Press, 1969.</t>
        </is>
      </c>
      <c r="M510" t="inlineStr">
        <is>
          <t>1969</t>
        </is>
      </c>
      <c r="N510" t="inlineStr">
        <is>
          <t>Rev. ed.</t>
        </is>
      </c>
      <c r="O510" t="inlineStr">
        <is>
          <t>eng</t>
        </is>
      </c>
      <c r="P510" t="inlineStr">
        <is>
          <t>dcu</t>
        </is>
      </c>
      <c r="R510" t="inlineStr">
        <is>
          <t xml:space="preserve">PS </t>
        </is>
      </c>
      <c r="S510" t="n">
        <v>4</v>
      </c>
      <c r="T510" t="n">
        <v>4</v>
      </c>
      <c r="U510" t="inlineStr">
        <is>
          <t>2001-03-30</t>
        </is>
      </c>
      <c r="V510" t="inlineStr">
        <is>
          <t>2001-03-30</t>
        </is>
      </c>
      <c r="W510" t="inlineStr">
        <is>
          <t>1990-09-11</t>
        </is>
      </c>
      <c r="X510" t="inlineStr">
        <is>
          <t>1990-09-11</t>
        </is>
      </c>
      <c r="Y510" t="n">
        <v>272</v>
      </c>
      <c r="Z510" t="n">
        <v>239</v>
      </c>
      <c r="AA510" t="n">
        <v>305</v>
      </c>
      <c r="AB510" t="n">
        <v>4</v>
      </c>
      <c r="AC510" t="n">
        <v>4</v>
      </c>
      <c r="AD510" t="n">
        <v>15</v>
      </c>
      <c r="AE510" t="n">
        <v>18</v>
      </c>
      <c r="AF510" t="n">
        <v>3</v>
      </c>
      <c r="AG510" t="n">
        <v>4</v>
      </c>
      <c r="AH510" t="n">
        <v>5</v>
      </c>
      <c r="AI510" t="n">
        <v>6</v>
      </c>
      <c r="AJ510" t="n">
        <v>9</v>
      </c>
      <c r="AK510" t="n">
        <v>12</v>
      </c>
      <c r="AL510" t="n">
        <v>3</v>
      </c>
      <c r="AM510" t="n">
        <v>3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HYPERLINK("http://catalog.hathitrust.org/Record/000539808","HathiTrust Record")</f>
        <v/>
      </c>
      <c r="AS510">
        <f>HYPERLINK("https://creighton-primo.hosted.exlibrisgroup.com/primo-explore/search?tab=default_tab&amp;search_scope=EVERYTHING&amp;vid=01CRU&amp;lang=en_US&amp;offset=0&amp;query=any,contains,991001293769702656","Catalog Record")</f>
        <v/>
      </c>
      <c r="AT510">
        <f>HYPERLINK("http://www.worldcat.org/oclc/218693","WorldCat Record")</f>
        <v/>
      </c>
      <c r="AU510" t="inlineStr">
        <is>
          <t>1315444:eng</t>
        </is>
      </c>
      <c r="AV510" t="inlineStr">
        <is>
          <t>218693</t>
        </is>
      </c>
      <c r="AW510" t="inlineStr">
        <is>
          <t>991001293769702656</t>
        </is>
      </c>
      <c r="AX510" t="inlineStr">
        <is>
          <t>991001293769702656</t>
        </is>
      </c>
      <c r="AY510" t="inlineStr">
        <is>
          <t>2258881610002656</t>
        </is>
      </c>
      <c r="AZ510" t="inlineStr">
        <is>
          <t>BOOK</t>
        </is>
      </c>
      <c r="BC510" t="inlineStr">
        <is>
          <t>32285000301480</t>
        </is>
      </c>
      <c r="BD510" t="inlineStr">
        <is>
          <t>893715350</t>
        </is>
      </c>
    </row>
    <row r="511">
      <c r="A511" t="inlineStr">
        <is>
          <t>No</t>
        </is>
      </c>
      <c r="B511" t="inlineStr">
        <is>
          <t>PS3509.L43 Z6443</t>
        </is>
      </c>
      <c r="C511" t="inlineStr">
        <is>
          <t>0                      PS 3509000L  43                 Z  6443</t>
        </is>
      </c>
      <c r="D511" t="inlineStr">
        <is>
          <t>Lyricism in the poetry of T. S. Eliot / Ann P. Brady.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Brady, Ann P.</t>
        </is>
      </c>
      <c r="L511" t="inlineStr">
        <is>
          <t>Port Washington, N.Y. : Kennikat Press, 1978.</t>
        </is>
      </c>
      <c r="M511" t="inlineStr">
        <is>
          <t>1978</t>
        </is>
      </c>
      <c r="O511" t="inlineStr">
        <is>
          <t>eng</t>
        </is>
      </c>
      <c r="P511" t="inlineStr">
        <is>
          <t>nyu</t>
        </is>
      </c>
      <c r="Q511" t="inlineStr">
        <is>
          <t>Literary criticism series</t>
        </is>
      </c>
      <c r="R511" t="inlineStr">
        <is>
          <t xml:space="preserve">PS </t>
        </is>
      </c>
      <c r="S511" t="n">
        <v>22</v>
      </c>
      <c r="T511" t="n">
        <v>22</v>
      </c>
      <c r="U511" t="inlineStr">
        <is>
          <t>2005-10-31</t>
        </is>
      </c>
      <c r="V511" t="inlineStr">
        <is>
          <t>2005-10-31</t>
        </is>
      </c>
      <c r="W511" t="inlineStr">
        <is>
          <t>1990-08-07</t>
        </is>
      </c>
      <c r="X511" t="inlineStr">
        <is>
          <t>1990-08-07</t>
        </is>
      </c>
      <c r="Y511" t="n">
        <v>485</v>
      </c>
      <c r="Z511" t="n">
        <v>390</v>
      </c>
      <c r="AA511" t="n">
        <v>402</v>
      </c>
      <c r="AB511" t="n">
        <v>5</v>
      </c>
      <c r="AC511" t="n">
        <v>5</v>
      </c>
      <c r="AD511" t="n">
        <v>22</v>
      </c>
      <c r="AE511" t="n">
        <v>23</v>
      </c>
      <c r="AF511" t="n">
        <v>6</v>
      </c>
      <c r="AG511" t="n">
        <v>7</v>
      </c>
      <c r="AH511" t="n">
        <v>6</v>
      </c>
      <c r="AI511" t="n">
        <v>6</v>
      </c>
      <c r="AJ511" t="n">
        <v>12</v>
      </c>
      <c r="AK511" t="n">
        <v>12</v>
      </c>
      <c r="AL511" t="n">
        <v>4</v>
      </c>
      <c r="AM511" t="n">
        <v>4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HYPERLINK("http://catalog.hathitrust.org/Record/000173545","HathiTrust Record")</f>
        <v/>
      </c>
      <c r="AS511">
        <f>HYPERLINK("https://creighton-primo.hosted.exlibrisgroup.com/primo-explore/search?tab=default_tab&amp;search_scope=EVERYTHING&amp;vid=01CRU&amp;lang=en_US&amp;offset=0&amp;query=any,contains,991004247599702656","Catalog Record")</f>
        <v/>
      </c>
      <c r="AT511">
        <f>HYPERLINK("http://www.worldcat.org/oclc/2798916","WorldCat Record")</f>
        <v/>
      </c>
      <c r="AU511" t="inlineStr">
        <is>
          <t>459015:eng</t>
        </is>
      </c>
      <c r="AV511" t="inlineStr">
        <is>
          <t>2798916</t>
        </is>
      </c>
      <c r="AW511" t="inlineStr">
        <is>
          <t>991004247599702656</t>
        </is>
      </c>
      <c r="AX511" t="inlineStr">
        <is>
          <t>991004247599702656</t>
        </is>
      </c>
      <c r="AY511" t="inlineStr">
        <is>
          <t>2270914430002656</t>
        </is>
      </c>
      <c r="AZ511" t="inlineStr">
        <is>
          <t>BOOK</t>
        </is>
      </c>
      <c r="BB511" t="inlineStr">
        <is>
          <t>9780804691833</t>
        </is>
      </c>
      <c r="BC511" t="inlineStr">
        <is>
          <t>32285000253897</t>
        </is>
      </c>
      <c r="BD511" t="inlineStr">
        <is>
          <t>893325121</t>
        </is>
      </c>
    </row>
    <row r="512">
      <c r="A512" t="inlineStr">
        <is>
          <t>No</t>
        </is>
      </c>
      <c r="B512" t="inlineStr">
        <is>
          <t>PS3509.L43 Z6445</t>
        </is>
      </c>
      <c r="C512" t="inlineStr">
        <is>
          <t>0                      PS 3509000L  43                 Z  6445</t>
        </is>
      </c>
      <c r="D512" t="inlineStr">
        <is>
          <t>T. S. Eliot : a symposium for his seventieth birthday / edited by Neville Braybrooke.</t>
        </is>
      </c>
      <c r="F512" t="inlineStr">
        <is>
          <t>No</t>
        </is>
      </c>
      <c r="G512" t="inlineStr">
        <is>
          <t>1</t>
        </is>
      </c>
      <c r="H512" t="inlineStr">
        <is>
          <t>Yes</t>
        </is>
      </c>
      <c r="I512" t="inlineStr">
        <is>
          <t>No</t>
        </is>
      </c>
      <c r="J512" t="inlineStr">
        <is>
          <t>0</t>
        </is>
      </c>
      <c r="K512" t="inlineStr">
        <is>
          <t>Braybrooke, Neville, 1923-2001 editor.</t>
        </is>
      </c>
      <c r="L512" t="inlineStr">
        <is>
          <t>New York : Farrar, Straus &amp; Cudahy, 1958.</t>
        </is>
      </c>
      <c r="M512" t="inlineStr">
        <is>
          <t>1958</t>
        </is>
      </c>
      <c r="O512" t="inlineStr">
        <is>
          <t>eng</t>
        </is>
      </c>
      <c r="P512" t="inlineStr">
        <is>
          <t>nyu</t>
        </is>
      </c>
      <c r="R512" t="inlineStr">
        <is>
          <t xml:space="preserve">PS </t>
        </is>
      </c>
      <c r="S512" t="n">
        <v>3</v>
      </c>
      <c r="T512" t="n">
        <v>8</v>
      </c>
      <c r="U512" t="inlineStr">
        <is>
          <t>2002-11-22</t>
        </is>
      </c>
      <c r="V512" t="inlineStr">
        <is>
          <t>2002-11-22</t>
        </is>
      </c>
      <c r="W512" t="inlineStr">
        <is>
          <t>1997-09-15</t>
        </is>
      </c>
      <c r="X512" t="inlineStr">
        <is>
          <t>1997-09-15</t>
        </is>
      </c>
      <c r="Y512" t="n">
        <v>624</v>
      </c>
      <c r="Z512" t="n">
        <v>596</v>
      </c>
      <c r="AA512" t="n">
        <v>963</v>
      </c>
      <c r="AB512" t="n">
        <v>5</v>
      </c>
      <c r="AC512" t="n">
        <v>7</v>
      </c>
      <c r="AD512" t="n">
        <v>30</v>
      </c>
      <c r="AE512" t="n">
        <v>47</v>
      </c>
      <c r="AF512" t="n">
        <v>12</v>
      </c>
      <c r="AG512" t="n">
        <v>22</v>
      </c>
      <c r="AH512" t="n">
        <v>5</v>
      </c>
      <c r="AI512" t="n">
        <v>10</v>
      </c>
      <c r="AJ512" t="n">
        <v>16</v>
      </c>
      <c r="AK512" t="n">
        <v>21</v>
      </c>
      <c r="AL512" t="n">
        <v>4</v>
      </c>
      <c r="AM512" t="n">
        <v>6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R512">
        <f>HYPERLINK("http://catalog.hathitrust.org/Record/000539837","HathiTrust Record")</f>
        <v/>
      </c>
      <c r="AS512">
        <f>HYPERLINK("https://creighton-primo.hosted.exlibrisgroup.com/primo-explore/search?tab=default_tab&amp;search_scope=EVERYTHING&amp;vid=01CRU&amp;lang=en_US&amp;offset=0&amp;query=any,contains,991002200059702656","Catalog Record")</f>
        <v/>
      </c>
      <c r="AT512">
        <f>HYPERLINK("http://www.worldcat.org/oclc/284050","WorldCat Record")</f>
        <v/>
      </c>
      <c r="AU512" t="inlineStr">
        <is>
          <t>3856184531:eng</t>
        </is>
      </c>
      <c r="AV512" t="inlineStr">
        <is>
          <t>284050</t>
        </is>
      </c>
      <c r="AW512" t="inlineStr">
        <is>
          <t>991002200059702656</t>
        </is>
      </c>
      <c r="AX512" t="inlineStr">
        <is>
          <t>991002200059702656</t>
        </is>
      </c>
      <c r="AY512" t="inlineStr">
        <is>
          <t>2266046670002656</t>
        </is>
      </c>
      <c r="AZ512" t="inlineStr">
        <is>
          <t>BOOK</t>
        </is>
      </c>
      <c r="BC512" t="inlineStr">
        <is>
          <t>32285003171468</t>
        </is>
      </c>
      <c r="BD512" t="inlineStr">
        <is>
          <t>893597136</t>
        </is>
      </c>
    </row>
    <row r="513">
      <c r="A513" t="inlineStr">
        <is>
          <t>No</t>
        </is>
      </c>
      <c r="B513" t="inlineStr">
        <is>
          <t>PS3509.L43 Z6445</t>
        </is>
      </c>
      <c r="C513" t="inlineStr">
        <is>
          <t>0                      PS 3509000L  43                 Z  6445</t>
        </is>
      </c>
      <c r="D513" t="inlineStr">
        <is>
          <t>T. S. Eliot : a symposium for his seventieth birthday / edited by Neville Braybrooke.</t>
        </is>
      </c>
      <c r="F513" t="inlineStr">
        <is>
          <t>No</t>
        </is>
      </c>
      <c r="G513" t="inlineStr">
        <is>
          <t>1</t>
        </is>
      </c>
      <c r="H513" t="inlineStr">
        <is>
          <t>Yes</t>
        </is>
      </c>
      <c r="I513" t="inlineStr">
        <is>
          <t>No</t>
        </is>
      </c>
      <c r="J513" t="inlineStr">
        <is>
          <t>0</t>
        </is>
      </c>
      <c r="K513" t="inlineStr">
        <is>
          <t>Braybrooke, Neville, 1923-2001 editor.</t>
        </is>
      </c>
      <c r="L513" t="inlineStr">
        <is>
          <t>New York : Farrar, Straus &amp; Cudahy, 1958.</t>
        </is>
      </c>
      <c r="M513" t="inlineStr">
        <is>
          <t>1958</t>
        </is>
      </c>
      <c r="O513" t="inlineStr">
        <is>
          <t>eng</t>
        </is>
      </c>
      <c r="P513" t="inlineStr">
        <is>
          <t>nyu</t>
        </is>
      </c>
      <c r="R513" t="inlineStr">
        <is>
          <t xml:space="preserve">PS </t>
        </is>
      </c>
      <c r="S513" t="n">
        <v>5</v>
      </c>
      <c r="T513" t="n">
        <v>8</v>
      </c>
      <c r="U513" t="inlineStr">
        <is>
          <t>2000-04-16</t>
        </is>
      </c>
      <c r="V513" t="inlineStr">
        <is>
          <t>2002-11-22</t>
        </is>
      </c>
      <c r="W513" t="inlineStr">
        <is>
          <t>1991-10-28</t>
        </is>
      </c>
      <c r="X513" t="inlineStr">
        <is>
          <t>1997-09-15</t>
        </is>
      </c>
      <c r="Y513" t="n">
        <v>624</v>
      </c>
      <c r="Z513" t="n">
        <v>596</v>
      </c>
      <c r="AA513" t="n">
        <v>963</v>
      </c>
      <c r="AB513" t="n">
        <v>5</v>
      </c>
      <c r="AC513" t="n">
        <v>7</v>
      </c>
      <c r="AD513" t="n">
        <v>30</v>
      </c>
      <c r="AE513" t="n">
        <v>47</v>
      </c>
      <c r="AF513" t="n">
        <v>12</v>
      </c>
      <c r="AG513" t="n">
        <v>22</v>
      </c>
      <c r="AH513" t="n">
        <v>5</v>
      </c>
      <c r="AI513" t="n">
        <v>10</v>
      </c>
      <c r="AJ513" t="n">
        <v>16</v>
      </c>
      <c r="AK513" t="n">
        <v>21</v>
      </c>
      <c r="AL513" t="n">
        <v>4</v>
      </c>
      <c r="AM513" t="n">
        <v>6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R513">
        <f>HYPERLINK("http://catalog.hathitrust.org/Record/000539837","HathiTrust Record")</f>
        <v/>
      </c>
      <c r="AS513">
        <f>HYPERLINK("https://creighton-primo.hosted.exlibrisgroup.com/primo-explore/search?tab=default_tab&amp;search_scope=EVERYTHING&amp;vid=01CRU&amp;lang=en_US&amp;offset=0&amp;query=any,contains,991002200059702656","Catalog Record")</f>
        <v/>
      </c>
      <c r="AT513">
        <f>HYPERLINK("http://www.worldcat.org/oclc/284050","WorldCat Record")</f>
        <v/>
      </c>
      <c r="AU513" t="inlineStr">
        <is>
          <t>3856184531:eng</t>
        </is>
      </c>
      <c r="AV513" t="inlineStr">
        <is>
          <t>284050</t>
        </is>
      </c>
      <c r="AW513" t="inlineStr">
        <is>
          <t>991002200059702656</t>
        </is>
      </c>
      <c r="AX513" t="inlineStr">
        <is>
          <t>991002200059702656</t>
        </is>
      </c>
      <c r="AY513" t="inlineStr">
        <is>
          <t>2266046670002656</t>
        </is>
      </c>
      <c r="AZ513" t="inlineStr">
        <is>
          <t>BOOK</t>
        </is>
      </c>
      <c r="BC513" t="inlineStr">
        <is>
          <t>32285000800143</t>
        </is>
      </c>
      <c r="BD513" t="inlineStr">
        <is>
          <t>893597137</t>
        </is>
      </c>
    </row>
    <row r="514">
      <c r="A514" t="inlineStr">
        <is>
          <t>No</t>
        </is>
      </c>
      <c r="B514" t="inlineStr">
        <is>
          <t>PS3509.L43 Z6473</t>
        </is>
      </c>
      <c r="C514" t="inlineStr">
        <is>
          <t>0                      PS 3509000L  43                 Z  6473</t>
        </is>
      </c>
      <c r="D514" t="inlineStr">
        <is>
          <t>T.S. Eliot : the poet and his critics / Robert H. Canary.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Canary, Robert H.</t>
        </is>
      </c>
      <c r="L514" t="inlineStr">
        <is>
          <t>Chicago : American Library Association, 1982.</t>
        </is>
      </c>
      <c r="M514" t="inlineStr">
        <is>
          <t>1982</t>
        </is>
      </c>
      <c r="O514" t="inlineStr">
        <is>
          <t>eng</t>
        </is>
      </c>
      <c r="P514" t="inlineStr">
        <is>
          <t>ilu</t>
        </is>
      </c>
      <c r="Q514" t="inlineStr">
        <is>
          <t>The Poet and his critics</t>
        </is>
      </c>
      <c r="R514" t="inlineStr">
        <is>
          <t xml:space="preserve">PS </t>
        </is>
      </c>
      <c r="S514" t="n">
        <v>27</v>
      </c>
      <c r="T514" t="n">
        <v>27</v>
      </c>
      <c r="U514" t="inlineStr">
        <is>
          <t>2004-12-02</t>
        </is>
      </c>
      <c r="V514" t="inlineStr">
        <is>
          <t>2004-12-02</t>
        </is>
      </c>
      <c r="W514" t="inlineStr">
        <is>
          <t>1990-07-20</t>
        </is>
      </c>
      <c r="X514" t="inlineStr">
        <is>
          <t>1990-07-20</t>
        </is>
      </c>
      <c r="Y514" t="n">
        <v>720</v>
      </c>
      <c r="Z514" t="n">
        <v>628</v>
      </c>
      <c r="AA514" t="n">
        <v>636</v>
      </c>
      <c r="AB514" t="n">
        <v>9</v>
      </c>
      <c r="AC514" t="n">
        <v>9</v>
      </c>
      <c r="AD514" t="n">
        <v>28</v>
      </c>
      <c r="AE514" t="n">
        <v>28</v>
      </c>
      <c r="AF514" t="n">
        <v>10</v>
      </c>
      <c r="AG514" t="n">
        <v>10</v>
      </c>
      <c r="AH514" t="n">
        <v>5</v>
      </c>
      <c r="AI514" t="n">
        <v>5</v>
      </c>
      <c r="AJ514" t="n">
        <v>14</v>
      </c>
      <c r="AK514" t="n">
        <v>14</v>
      </c>
      <c r="AL514" t="n">
        <v>7</v>
      </c>
      <c r="AM514" t="n">
        <v>7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HYPERLINK("http://catalog.hathitrust.org/Record/000762647","HathiTrust Record")</f>
        <v/>
      </c>
      <c r="AS514">
        <f>HYPERLINK("https://creighton-primo.hosted.exlibrisgroup.com/primo-explore/search?tab=default_tab&amp;search_scope=EVERYTHING&amp;vid=01CRU&amp;lang=en_US&amp;offset=0&amp;query=any,contains,991005191019702656","Catalog Record")</f>
        <v/>
      </c>
      <c r="AT514">
        <f>HYPERLINK("http://www.worldcat.org/oclc/7998961","WorldCat Record")</f>
        <v/>
      </c>
      <c r="AU514" t="inlineStr">
        <is>
          <t>472154024:eng</t>
        </is>
      </c>
      <c r="AV514" t="inlineStr">
        <is>
          <t>7998961</t>
        </is>
      </c>
      <c r="AW514" t="inlineStr">
        <is>
          <t>991005191019702656</t>
        </is>
      </c>
      <c r="AX514" t="inlineStr">
        <is>
          <t>991005191019702656</t>
        </is>
      </c>
      <c r="AY514" t="inlineStr">
        <is>
          <t>2257806530002656</t>
        </is>
      </c>
      <c r="AZ514" t="inlineStr">
        <is>
          <t>BOOK</t>
        </is>
      </c>
      <c r="BB514" t="inlineStr">
        <is>
          <t>9780838903551</t>
        </is>
      </c>
      <c r="BC514" t="inlineStr">
        <is>
          <t>32285000245083</t>
        </is>
      </c>
      <c r="BD514" t="inlineStr">
        <is>
          <t>893902270</t>
        </is>
      </c>
    </row>
    <row r="515">
      <c r="A515" t="inlineStr">
        <is>
          <t>No</t>
        </is>
      </c>
      <c r="B515" t="inlineStr">
        <is>
          <t>PS3509.L43 Z648 1969</t>
        </is>
      </c>
      <c r="C515" t="inlineStr">
        <is>
          <t>0                      PS 3509000L  43                 Z  648         1969</t>
        </is>
      </c>
      <c r="D515" t="inlineStr">
        <is>
          <t>T. S. Eliot / translated by Claire Pace &amp; Jean Stewart.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Cattaui, Georges.</t>
        </is>
      </c>
      <c r="L515" t="inlineStr">
        <is>
          <t>New York : Funk &amp; Wagnalls, [1969, c1966]</t>
        </is>
      </c>
      <c r="M515" t="inlineStr">
        <is>
          <t>1969</t>
        </is>
      </c>
      <c r="N515" t="inlineStr">
        <is>
          <t>[1st American ed.]</t>
        </is>
      </c>
      <c r="O515" t="inlineStr">
        <is>
          <t>eng</t>
        </is>
      </c>
      <c r="P515" t="inlineStr">
        <is>
          <t>nyu</t>
        </is>
      </c>
      <c r="R515" t="inlineStr">
        <is>
          <t xml:space="preserve">PS </t>
        </is>
      </c>
      <c r="S515" t="n">
        <v>18</v>
      </c>
      <c r="T515" t="n">
        <v>18</v>
      </c>
      <c r="U515" t="inlineStr">
        <is>
          <t>2005-10-31</t>
        </is>
      </c>
      <c r="V515" t="inlineStr">
        <is>
          <t>2005-10-31</t>
        </is>
      </c>
      <c r="W515" t="inlineStr">
        <is>
          <t>1992-04-24</t>
        </is>
      </c>
      <c r="X515" t="inlineStr">
        <is>
          <t>1992-04-24</t>
        </is>
      </c>
      <c r="Y515" t="n">
        <v>516</v>
      </c>
      <c r="Z515" t="n">
        <v>490</v>
      </c>
      <c r="AA515" t="n">
        <v>639</v>
      </c>
      <c r="AB515" t="n">
        <v>6</v>
      </c>
      <c r="AC515" t="n">
        <v>6</v>
      </c>
      <c r="AD515" t="n">
        <v>20</v>
      </c>
      <c r="AE515" t="n">
        <v>30</v>
      </c>
      <c r="AF515" t="n">
        <v>6</v>
      </c>
      <c r="AG515" t="n">
        <v>10</v>
      </c>
      <c r="AH515" t="n">
        <v>4</v>
      </c>
      <c r="AI515" t="n">
        <v>6</v>
      </c>
      <c r="AJ515" t="n">
        <v>10</v>
      </c>
      <c r="AK515" t="n">
        <v>17</v>
      </c>
      <c r="AL515" t="n">
        <v>4</v>
      </c>
      <c r="AM515" t="n">
        <v>4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HYPERLINK("http://catalog.hathitrust.org/Record/007124483","HathiTrust Record")</f>
        <v/>
      </c>
      <c r="AS515">
        <f>HYPERLINK("https://creighton-primo.hosted.exlibrisgroup.com/primo-explore/search?tab=default_tab&amp;search_scope=EVERYTHING&amp;vid=01CRU&amp;lang=en_US&amp;offset=0&amp;query=any,contains,991002787759702656","Catalog Record")</f>
        <v/>
      </c>
      <c r="AT515">
        <f>HYPERLINK("http://www.worldcat.org/oclc/442321","WorldCat Record")</f>
        <v/>
      </c>
      <c r="AU515" t="inlineStr">
        <is>
          <t>3943712976:eng</t>
        </is>
      </c>
      <c r="AV515" t="inlineStr">
        <is>
          <t>442321</t>
        </is>
      </c>
      <c r="AW515" t="inlineStr">
        <is>
          <t>991002787759702656</t>
        </is>
      </c>
      <c r="AX515" t="inlineStr">
        <is>
          <t>991002787759702656</t>
        </is>
      </c>
      <c r="AY515" t="inlineStr">
        <is>
          <t>2255977890002656</t>
        </is>
      </c>
      <c r="AZ515" t="inlineStr">
        <is>
          <t>BOOK</t>
        </is>
      </c>
      <c r="BC515" t="inlineStr">
        <is>
          <t>32285001086189</t>
        </is>
      </c>
      <c r="BD515" t="inlineStr">
        <is>
          <t>893710678</t>
        </is>
      </c>
    </row>
    <row r="516">
      <c r="A516" t="inlineStr">
        <is>
          <t>No</t>
        </is>
      </c>
      <c r="B516" t="inlineStr">
        <is>
          <t>PS3509.L43 Z655 1985</t>
        </is>
      </c>
      <c r="C516" t="inlineStr">
        <is>
          <t>0                      PS 3509000L  43                 Z  655         1985</t>
        </is>
      </c>
      <c r="D516" t="inlineStr">
        <is>
          <t>Critical essays on T.S. Eliot : the Sweeney motif / [edited by] Kinley E. Roby.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Boston, Mass. : G.K. Hall, c1985.</t>
        </is>
      </c>
      <c r="M516" t="inlineStr">
        <is>
          <t>1985</t>
        </is>
      </c>
      <c r="O516" t="inlineStr">
        <is>
          <t>eng</t>
        </is>
      </c>
      <c r="P516" t="inlineStr">
        <is>
          <t>mau</t>
        </is>
      </c>
      <c r="Q516" t="inlineStr">
        <is>
          <t>Critical essays on American literature</t>
        </is>
      </c>
      <c r="R516" t="inlineStr">
        <is>
          <t xml:space="preserve">PS </t>
        </is>
      </c>
      <c r="S516" t="n">
        <v>22</v>
      </c>
      <c r="T516" t="n">
        <v>22</v>
      </c>
      <c r="U516" t="inlineStr">
        <is>
          <t>2002-11-22</t>
        </is>
      </c>
      <c r="V516" t="inlineStr">
        <is>
          <t>2002-11-22</t>
        </is>
      </c>
      <c r="W516" t="inlineStr">
        <is>
          <t>1990-07-31</t>
        </is>
      </c>
      <c r="X516" t="inlineStr">
        <is>
          <t>1990-07-31</t>
        </is>
      </c>
      <c r="Y516" t="n">
        <v>458</v>
      </c>
      <c r="Z516" t="n">
        <v>382</v>
      </c>
      <c r="AA516" t="n">
        <v>389</v>
      </c>
      <c r="AB516" t="n">
        <v>5</v>
      </c>
      <c r="AC516" t="n">
        <v>5</v>
      </c>
      <c r="AD516" t="n">
        <v>20</v>
      </c>
      <c r="AE516" t="n">
        <v>20</v>
      </c>
      <c r="AF516" t="n">
        <v>5</v>
      </c>
      <c r="AG516" t="n">
        <v>5</v>
      </c>
      <c r="AH516" t="n">
        <v>7</v>
      </c>
      <c r="AI516" t="n">
        <v>7</v>
      </c>
      <c r="AJ516" t="n">
        <v>11</v>
      </c>
      <c r="AK516" t="n">
        <v>11</v>
      </c>
      <c r="AL516" t="n">
        <v>4</v>
      </c>
      <c r="AM516" t="n">
        <v>4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HYPERLINK("http://catalog.hathitrust.org/Record/000369031","HathiTrust Record")</f>
        <v/>
      </c>
      <c r="AS516">
        <f>HYPERLINK("https://creighton-primo.hosted.exlibrisgroup.com/primo-explore/search?tab=default_tab&amp;search_scope=EVERYTHING&amp;vid=01CRU&amp;lang=en_US&amp;offset=0&amp;query=any,contains,991000517149702656","Catalog Record")</f>
        <v/>
      </c>
      <c r="AT516">
        <f>HYPERLINK("http://www.worldcat.org/oclc/11291124","WorldCat Record")</f>
        <v/>
      </c>
      <c r="AU516" t="inlineStr">
        <is>
          <t>138907245:eng</t>
        </is>
      </c>
      <c r="AV516" t="inlineStr">
        <is>
          <t>11291124</t>
        </is>
      </c>
      <c r="AW516" t="inlineStr">
        <is>
          <t>991000517149702656</t>
        </is>
      </c>
      <c r="AX516" t="inlineStr">
        <is>
          <t>991000517149702656</t>
        </is>
      </c>
      <c r="AY516" t="inlineStr">
        <is>
          <t>2262018280002656</t>
        </is>
      </c>
      <c r="AZ516" t="inlineStr">
        <is>
          <t>BOOK</t>
        </is>
      </c>
      <c r="BB516" t="inlineStr">
        <is>
          <t>9780816186891</t>
        </is>
      </c>
      <c r="BC516" t="inlineStr">
        <is>
          <t>32285000229830</t>
        </is>
      </c>
      <c r="BD516" t="inlineStr">
        <is>
          <t>893607981</t>
        </is>
      </c>
    </row>
    <row r="517">
      <c r="A517" t="inlineStr">
        <is>
          <t>No</t>
        </is>
      </c>
      <c r="B517" t="inlineStr">
        <is>
          <t>PS3509.L43 Z67</t>
        </is>
      </c>
      <c r="C517" t="inlineStr">
        <is>
          <t>0                      PS 3509000L  43                 Z  67</t>
        </is>
      </c>
      <c r="D517" t="inlineStr">
        <is>
          <t>T. S. Eliot, the design of his poetry.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Drew, Elizabeth A., 1887-1965.</t>
        </is>
      </c>
      <c r="L517" t="inlineStr">
        <is>
          <t>New York, C. Scribner's Sons, 1949.</t>
        </is>
      </c>
      <c r="M517" t="inlineStr">
        <is>
          <t>1949</t>
        </is>
      </c>
      <c r="O517" t="inlineStr">
        <is>
          <t>eng</t>
        </is>
      </c>
      <c r="P517" t="inlineStr">
        <is>
          <t>nyu</t>
        </is>
      </c>
      <c r="R517" t="inlineStr">
        <is>
          <t xml:space="preserve">PS </t>
        </is>
      </c>
      <c r="S517" t="n">
        <v>16</v>
      </c>
      <c r="T517" t="n">
        <v>16</v>
      </c>
      <c r="U517" t="inlineStr">
        <is>
          <t>2002-11-22</t>
        </is>
      </c>
      <c r="V517" t="inlineStr">
        <is>
          <t>2002-11-22</t>
        </is>
      </c>
      <c r="W517" t="inlineStr">
        <is>
          <t>1992-04-08</t>
        </is>
      </c>
      <c r="X517" t="inlineStr">
        <is>
          <t>1992-04-08</t>
        </is>
      </c>
      <c r="Y517" t="n">
        <v>1335</v>
      </c>
      <c r="Z517" t="n">
        <v>1204</v>
      </c>
      <c r="AA517" t="n">
        <v>1324</v>
      </c>
      <c r="AB517" t="n">
        <v>11</v>
      </c>
      <c r="AC517" t="n">
        <v>11</v>
      </c>
      <c r="AD517" t="n">
        <v>53</v>
      </c>
      <c r="AE517" t="n">
        <v>54</v>
      </c>
      <c r="AF517" t="n">
        <v>21</v>
      </c>
      <c r="AG517" t="n">
        <v>22</v>
      </c>
      <c r="AH517" t="n">
        <v>11</v>
      </c>
      <c r="AI517" t="n">
        <v>11</v>
      </c>
      <c r="AJ517" t="n">
        <v>24</v>
      </c>
      <c r="AK517" t="n">
        <v>25</v>
      </c>
      <c r="AL517" t="n">
        <v>9</v>
      </c>
      <c r="AM517" t="n">
        <v>9</v>
      </c>
      <c r="AN517" t="n">
        <v>0</v>
      </c>
      <c r="AO517" t="n">
        <v>0</v>
      </c>
      <c r="AP517" t="inlineStr">
        <is>
          <t>No</t>
        </is>
      </c>
      <c r="AQ517" t="inlineStr">
        <is>
          <t>No</t>
        </is>
      </c>
      <c r="AR517">
        <f>HYPERLINK("http://catalog.hathitrust.org/Record/000540057","HathiTrust Record")</f>
        <v/>
      </c>
      <c r="AS517">
        <f>HYPERLINK("https://creighton-primo.hosted.exlibrisgroup.com/primo-explore/search?tab=default_tab&amp;search_scope=EVERYTHING&amp;vid=01CRU&amp;lang=en_US&amp;offset=0&amp;query=any,contains,991003235329702656","Catalog Record")</f>
        <v/>
      </c>
      <c r="AT517">
        <f>HYPERLINK("http://www.worldcat.org/oclc/760113","WorldCat Record")</f>
        <v/>
      </c>
      <c r="AU517" t="inlineStr">
        <is>
          <t>1607002:eng</t>
        </is>
      </c>
      <c r="AV517" t="inlineStr">
        <is>
          <t>760113</t>
        </is>
      </c>
      <c r="AW517" t="inlineStr">
        <is>
          <t>991003235329702656</t>
        </is>
      </c>
      <c r="AX517" t="inlineStr">
        <is>
          <t>991003235329702656</t>
        </is>
      </c>
      <c r="AY517" t="inlineStr">
        <is>
          <t>2266369480002656</t>
        </is>
      </c>
      <c r="AZ517" t="inlineStr">
        <is>
          <t>BOOK</t>
        </is>
      </c>
      <c r="BB517" t="inlineStr">
        <is>
          <t>9780684717524</t>
        </is>
      </c>
      <c r="BC517" t="inlineStr">
        <is>
          <t>32285001051589</t>
        </is>
      </c>
      <c r="BD517" t="inlineStr">
        <is>
          <t>893511723</t>
        </is>
      </c>
    </row>
    <row r="518">
      <c r="A518" t="inlineStr">
        <is>
          <t>No</t>
        </is>
      </c>
      <c r="B518" t="inlineStr">
        <is>
          <t>PS3509.L43 Z674 1972</t>
        </is>
      </c>
      <c r="C518" t="inlineStr">
        <is>
          <t>0                      PS 3509000L  43                 Z  674         1972</t>
        </is>
      </c>
      <c r="D518" t="inlineStr">
        <is>
          <t>T. S. Eliot.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Frye, Northrop.</t>
        </is>
      </c>
      <c r="L518" t="inlineStr">
        <is>
          <t>New York : Capricorn Books, [1972, c1963]</t>
        </is>
      </c>
      <c r="M518" t="inlineStr">
        <is>
          <t>1972</t>
        </is>
      </c>
      <c r="O518" t="inlineStr">
        <is>
          <t>eng</t>
        </is>
      </c>
      <c r="P518" t="inlineStr">
        <is>
          <t>nyu</t>
        </is>
      </c>
      <c r="Q518" t="inlineStr">
        <is>
          <t>Writers and critics</t>
        </is>
      </c>
      <c r="R518" t="inlineStr">
        <is>
          <t xml:space="preserve">PS </t>
        </is>
      </c>
      <c r="S518" t="n">
        <v>4</v>
      </c>
      <c r="T518" t="n">
        <v>4</v>
      </c>
      <c r="U518" t="inlineStr">
        <is>
          <t>2005-03-30</t>
        </is>
      </c>
      <c r="V518" t="inlineStr">
        <is>
          <t>2005-03-30</t>
        </is>
      </c>
      <c r="W518" t="inlineStr">
        <is>
          <t>1992-04-22</t>
        </is>
      </c>
      <c r="X518" t="inlineStr">
        <is>
          <t>1992-04-22</t>
        </is>
      </c>
      <c r="Y518" t="n">
        <v>284</v>
      </c>
      <c r="Z518" t="n">
        <v>258</v>
      </c>
      <c r="AA518" t="n">
        <v>531</v>
      </c>
      <c r="AB518" t="n">
        <v>2</v>
      </c>
      <c r="AC518" t="n">
        <v>3</v>
      </c>
      <c r="AD518" t="n">
        <v>12</v>
      </c>
      <c r="AE518" t="n">
        <v>21</v>
      </c>
      <c r="AF518" t="n">
        <v>4</v>
      </c>
      <c r="AG518" t="n">
        <v>8</v>
      </c>
      <c r="AH518" t="n">
        <v>4</v>
      </c>
      <c r="AI518" t="n">
        <v>7</v>
      </c>
      <c r="AJ518" t="n">
        <v>5</v>
      </c>
      <c r="AK518" t="n">
        <v>9</v>
      </c>
      <c r="AL518" t="n">
        <v>1</v>
      </c>
      <c r="AM518" t="n">
        <v>2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S518">
        <f>HYPERLINK("https://creighton-primo.hosted.exlibrisgroup.com/primo-explore/search?tab=default_tab&amp;search_scope=EVERYTHING&amp;vid=01CRU&amp;lang=en_US&amp;offset=0&amp;query=any,contains,991002842109702656","Catalog Record")</f>
        <v/>
      </c>
      <c r="AT518">
        <f>HYPERLINK("http://www.worldcat.org/oclc/482665","WorldCat Record")</f>
        <v/>
      </c>
      <c r="AU518" t="inlineStr">
        <is>
          <t>3768464678:eng</t>
        </is>
      </c>
      <c r="AV518" t="inlineStr">
        <is>
          <t>482665</t>
        </is>
      </c>
      <c r="AW518" t="inlineStr">
        <is>
          <t>991002842109702656</t>
        </is>
      </c>
      <c r="AX518" t="inlineStr">
        <is>
          <t>991002842109702656</t>
        </is>
      </c>
      <c r="AY518" t="inlineStr">
        <is>
          <t>2258835110002656</t>
        </is>
      </c>
      <c r="AZ518" t="inlineStr">
        <is>
          <t>BOOK</t>
        </is>
      </c>
      <c r="BB518" t="inlineStr">
        <is>
          <t>9780399502637</t>
        </is>
      </c>
      <c r="BC518" t="inlineStr">
        <is>
          <t>32285001064087</t>
        </is>
      </c>
      <c r="BD518" t="inlineStr">
        <is>
          <t>893504889</t>
        </is>
      </c>
    </row>
    <row r="519">
      <c r="A519" t="inlineStr">
        <is>
          <t>No</t>
        </is>
      </c>
      <c r="B519" t="inlineStr">
        <is>
          <t>PS3509.L43 Z675</t>
        </is>
      </c>
      <c r="C519" t="inlineStr">
        <is>
          <t>0                      PS 3509000L  43                 Z  675</t>
        </is>
      </c>
      <c r="D519" t="inlineStr">
        <is>
          <t>The art of T.S. Eliot.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Gardner, Helen, 1908-1986.</t>
        </is>
      </c>
      <c r="L519" t="inlineStr">
        <is>
          <t>New York : Dutton, [1950]</t>
        </is>
      </c>
      <c r="M519" t="inlineStr">
        <is>
          <t>1950</t>
        </is>
      </c>
      <c r="O519" t="inlineStr">
        <is>
          <t>eng</t>
        </is>
      </c>
      <c r="P519" t="inlineStr">
        <is>
          <t>nyu</t>
        </is>
      </c>
      <c r="R519" t="inlineStr">
        <is>
          <t xml:space="preserve">PS </t>
        </is>
      </c>
      <c r="S519" t="n">
        <v>4</v>
      </c>
      <c r="T519" t="n">
        <v>4</v>
      </c>
      <c r="U519" t="inlineStr">
        <is>
          <t>1997-04-19</t>
        </is>
      </c>
      <c r="V519" t="inlineStr">
        <is>
          <t>1997-04-19</t>
        </is>
      </c>
      <c r="W519" t="inlineStr">
        <is>
          <t>1990-08-09</t>
        </is>
      </c>
      <c r="X519" t="inlineStr">
        <is>
          <t>1990-08-09</t>
        </is>
      </c>
      <c r="Y519" t="n">
        <v>668</v>
      </c>
      <c r="Z519" t="n">
        <v>633</v>
      </c>
      <c r="AA519" t="n">
        <v>1267</v>
      </c>
      <c r="AB519" t="n">
        <v>8</v>
      </c>
      <c r="AC519" t="n">
        <v>10</v>
      </c>
      <c r="AD519" t="n">
        <v>36</v>
      </c>
      <c r="AE519" t="n">
        <v>58</v>
      </c>
      <c r="AF519" t="n">
        <v>17</v>
      </c>
      <c r="AG519" t="n">
        <v>27</v>
      </c>
      <c r="AH519" t="n">
        <v>4</v>
      </c>
      <c r="AI519" t="n">
        <v>9</v>
      </c>
      <c r="AJ519" t="n">
        <v>13</v>
      </c>
      <c r="AK519" t="n">
        <v>26</v>
      </c>
      <c r="AL519" t="n">
        <v>7</v>
      </c>
      <c r="AM519" t="n">
        <v>9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HYPERLINK("http://catalog.hathitrust.org/Record/000540115","HathiTrust Record")</f>
        <v/>
      </c>
      <c r="AS519">
        <f>HYPERLINK("https://creighton-primo.hosted.exlibrisgroup.com/primo-explore/search?tab=default_tab&amp;search_scope=EVERYTHING&amp;vid=01CRU&amp;lang=en_US&amp;offset=0&amp;query=any,contains,991004005239702656","Catalog Record")</f>
        <v/>
      </c>
      <c r="AT519">
        <f>HYPERLINK("http://www.worldcat.org/oclc/2082815","WorldCat Record")</f>
        <v/>
      </c>
      <c r="AU519" t="inlineStr">
        <is>
          <t>114834466:eng</t>
        </is>
      </c>
      <c r="AV519" t="inlineStr">
        <is>
          <t>2082815</t>
        </is>
      </c>
      <c r="AW519" t="inlineStr">
        <is>
          <t>991004005239702656</t>
        </is>
      </c>
      <c r="AX519" t="inlineStr">
        <is>
          <t>991004005239702656</t>
        </is>
      </c>
      <c r="AY519" t="inlineStr">
        <is>
          <t>2257344230002656</t>
        </is>
      </c>
      <c r="AZ519" t="inlineStr">
        <is>
          <t>BOOK</t>
        </is>
      </c>
      <c r="BC519" t="inlineStr">
        <is>
          <t>32285000280015</t>
        </is>
      </c>
      <c r="BD519" t="inlineStr">
        <is>
          <t>893618105</t>
        </is>
      </c>
    </row>
    <row r="520">
      <c r="A520" t="inlineStr">
        <is>
          <t>No</t>
        </is>
      </c>
      <c r="B520" t="inlineStr">
        <is>
          <t>PS3509.L43 Z6793 1988</t>
        </is>
      </c>
      <c r="C520" t="inlineStr">
        <is>
          <t>0                      PS 3509000L  43                 Z  6793        1988</t>
        </is>
      </c>
      <c r="D520" t="inlineStr">
        <is>
          <t>Eliot's new life / Lyndall Gordon.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Gordon, Lyndall.</t>
        </is>
      </c>
      <c r="L520" t="inlineStr">
        <is>
          <t>New York : Farrar Straus Giroux, 1988.</t>
        </is>
      </c>
      <c r="M520" t="inlineStr">
        <is>
          <t>1988</t>
        </is>
      </c>
      <c r="N520" t="inlineStr">
        <is>
          <t>1st American ed.</t>
        </is>
      </c>
      <c r="O520" t="inlineStr">
        <is>
          <t>eng</t>
        </is>
      </c>
      <c r="P520" t="inlineStr">
        <is>
          <t>nyu</t>
        </is>
      </c>
      <c r="R520" t="inlineStr">
        <is>
          <t xml:space="preserve">PS </t>
        </is>
      </c>
      <c r="S520" t="n">
        <v>13</v>
      </c>
      <c r="T520" t="n">
        <v>13</v>
      </c>
      <c r="U520" t="inlineStr">
        <is>
          <t>2002-04-12</t>
        </is>
      </c>
      <c r="V520" t="inlineStr">
        <is>
          <t>2002-04-12</t>
        </is>
      </c>
      <c r="W520" t="inlineStr">
        <is>
          <t>1990-07-31</t>
        </is>
      </c>
      <c r="X520" t="inlineStr">
        <is>
          <t>1990-07-31</t>
        </is>
      </c>
      <c r="Y520" t="n">
        <v>998</v>
      </c>
      <c r="Z520" t="n">
        <v>895</v>
      </c>
      <c r="AA520" t="n">
        <v>992</v>
      </c>
      <c r="AB520" t="n">
        <v>5</v>
      </c>
      <c r="AC520" t="n">
        <v>7</v>
      </c>
      <c r="AD520" t="n">
        <v>31</v>
      </c>
      <c r="AE520" t="n">
        <v>40</v>
      </c>
      <c r="AF520" t="n">
        <v>11</v>
      </c>
      <c r="AG520" t="n">
        <v>14</v>
      </c>
      <c r="AH520" t="n">
        <v>6</v>
      </c>
      <c r="AI520" t="n">
        <v>9</v>
      </c>
      <c r="AJ520" t="n">
        <v>17</v>
      </c>
      <c r="AK520" t="n">
        <v>21</v>
      </c>
      <c r="AL520" t="n">
        <v>4</v>
      </c>
      <c r="AM520" t="n">
        <v>6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HYPERLINK("https://creighton-primo.hosted.exlibrisgroup.com/primo-explore/search?tab=default_tab&amp;search_scope=EVERYTHING&amp;vid=01CRU&amp;lang=en_US&amp;offset=0&amp;query=any,contains,991001262899702656","Catalog Record")</f>
        <v/>
      </c>
      <c r="AT520">
        <f>HYPERLINK("http://www.worldcat.org/oclc/17775659","WorldCat Record")</f>
        <v/>
      </c>
      <c r="AU520" t="inlineStr">
        <is>
          <t>6397284:eng</t>
        </is>
      </c>
      <c r="AV520" t="inlineStr">
        <is>
          <t>17775659</t>
        </is>
      </c>
      <c r="AW520" t="inlineStr">
        <is>
          <t>991001262899702656</t>
        </is>
      </c>
      <c r="AX520" t="inlineStr">
        <is>
          <t>991001262899702656</t>
        </is>
      </c>
      <c r="AY520" t="inlineStr">
        <is>
          <t>2271276430002656</t>
        </is>
      </c>
      <c r="AZ520" t="inlineStr">
        <is>
          <t>BOOK</t>
        </is>
      </c>
      <c r="BB520" t="inlineStr">
        <is>
          <t>9780374147419</t>
        </is>
      </c>
      <c r="BC520" t="inlineStr">
        <is>
          <t>32285000229855</t>
        </is>
      </c>
      <c r="BD520" t="inlineStr">
        <is>
          <t>893496956</t>
        </is>
      </c>
    </row>
    <row r="521">
      <c r="A521" t="inlineStr">
        <is>
          <t>No</t>
        </is>
      </c>
      <c r="B521" t="inlineStr">
        <is>
          <t>PS3509.L43 Z6798</t>
        </is>
      </c>
      <c r="C521" t="inlineStr">
        <is>
          <t>0                      PS 3509000L  43                 Z  6798</t>
        </is>
      </c>
      <c r="D521" t="inlineStr">
        <is>
          <t>T. S. Eliot's intellectual and poetic development, 1909-1922 / Piers Gray.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Gray, Piers.</t>
        </is>
      </c>
      <c r="L521" t="inlineStr">
        <is>
          <t>Brighton, Sussex : Harvester Press ; Atlantic Highlands, New Jersey : Humanities Press, c1982.</t>
        </is>
      </c>
      <c r="M521" t="inlineStr">
        <is>
          <t>1982</t>
        </is>
      </c>
      <c r="O521" t="inlineStr">
        <is>
          <t>eng</t>
        </is>
      </c>
      <c r="P521" t="inlineStr">
        <is>
          <t>enk</t>
        </is>
      </c>
      <c r="R521" t="inlineStr">
        <is>
          <t xml:space="preserve">PS </t>
        </is>
      </c>
      <c r="S521" t="n">
        <v>20</v>
      </c>
      <c r="T521" t="n">
        <v>20</v>
      </c>
      <c r="U521" t="inlineStr">
        <is>
          <t>2005-11-06</t>
        </is>
      </c>
      <c r="V521" t="inlineStr">
        <is>
          <t>2005-11-06</t>
        </is>
      </c>
      <c r="W521" t="inlineStr">
        <is>
          <t>1990-07-31</t>
        </is>
      </c>
      <c r="X521" t="inlineStr">
        <is>
          <t>1990-07-31</t>
        </is>
      </c>
      <c r="Y521" t="n">
        <v>596</v>
      </c>
      <c r="Z521" t="n">
        <v>441</v>
      </c>
      <c r="AA521" t="n">
        <v>448</v>
      </c>
      <c r="AB521" t="n">
        <v>5</v>
      </c>
      <c r="AC521" t="n">
        <v>5</v>
      </c>
      <c r="AD521" t="n">
        <v>28</v>
      </c>
      <c r="AE521" t="n">
        <v>28</v>
      </c>
      <c r="AF521" t="n">
        <v>12</v>
      </c>
      <c r="AG521" t="n">
        <v>12</v>
      </c>
      <c r="AH521" t="n">
        <v>7</v>
      </c>
      <c r="AI521" t="n">
        <v>7</v>
      </c>
      <c r="AJ521" t="n">
        <v>13</v>
      </c>
      <c r="AK521" t="n">
        <v>13</v>
      </c>
      <c r="AL521" t="n">
        <v>4</v>
      </c>
      <c r="AM521" t="n">
        <v>4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HYPERLINK("http://catalog.hathitrust.org/Record/000764960","HathiTrust Record")</f>
        <v/>
      </c>
      <c r="AS521">
        <f>HYPERLINK("https://creighton-primo.hosted.exlibrisgroup.com/primo-explore/search?tab=default_tab&amp;search_scope=EVERYTHING&amp;vid=01CRU&amp;lang=en_US&amp;offset=0&amp;query=any,contains,991000050399702656","Catalog Record")</f>
        <v/>
      </c>
      <c r="AT521">
        <f>HYPERLINK("http://www.worldcat.org/oclc/9218950","WorldCat Record")</f>
        <v/>
      </c>
      <c r="AU521" t="inlineStr">
        <is>
          <t>43000535:eng</t>
        </is>
      </c>
      <c r="AV521" t="inlineStr">
        <is>
          <t>9218950</t>
        </is>
      </c>
      <c r="AW521" t="inlineStr">
        <is>
          <t>991000050399702656</t>
        </is>
      </c>
      <c r="AX521" t="inlineStr">
        <is>
          <t>991000050399702656</t>
        </is>
      </c>
      <c r="AY521" t="inlineStr">
        <is>
          <t>2268922330002656</t>
        </is>
      </c>
      <c r="AZ521" t="inlineStr">
        <is>
          <t>BOOK</t>
        </is>
      </c>
      <c r="BB521" t="inlineStr">
        <is>
          <t>9780710800466</t>
        </is>
      </c>
      <c r="BC521" t="inlineStr">
        <is>
          <t>32285000229863</t>
        </is>
      </c>
      <c r="BD521" t="inlineStr">
        <is>
          <t>893437954</t>
        </is>
      </c>
    </row>
    <row r="522">
      <c r="A522" t="inlineStr">
        <is>
          <t>No</t>
        </is>
      </c>
      <c r="B522" t="inlineStr">
        <is>
          <t>PS3509.L43 Z68135 1985</t>
        </is>
      </c>
      <c r="C522" t="inlineStr">
        <is>
          <t>0                      PS 3509000L  43                 Z  68135       1985</t>
        </is>
      </c>
      <c r="D522" t="inlineStr">
        <is>
          <t>T.S. Eliot's romantic dilemma : tradition's anti-traditional elements / Eugenia M. Gunner.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Gunner, Jeanne, 1954-</t>
        </is>
      </c>
      <c r="L522" t="inlineStr">
        <is>
          <t>New York : Garland Pub., 1985.</t>
        </is>
      </c>
      <c r="M522" t="inlineStr">
        <is>
          <t>1985</t>
        </is>
      </c>
      <c r="O522" t="inlineStr">
        <is>
          <t>eng</t>
        </is>
      </c>
      <c r="P522" t="inlineStr">
        <is>
          <t>nyu</t>
        </is>
      </c>
      <c r="Q522" t="inlineStr">
        <is>
          <t>Garland publications in comparative literature</t>
        </is>
      </c>
      <c r="R522" t="inlineStr">
        <is>
          <t xml:space="preserve">PS </t>
        </is>
      </c>
      <c r="S522" t="n">
        <v>11</v>
      </c>
      <c r="T522" t="n">
        <v>11</v>
      </c>
      <c r="U522" t="inlineStr">
        <is>
          <t>2005-10-31</t>
        </is>
      </c>
      <c r="V522" t="inlineStr">
        <is>
          <t>2005-10-31</t>
        </is>
      </c>
      <c r="W522" t="inlineStr">
        <is>
          <t>1990-11-07</t>
        </is>
      </c>
      <c r="X522" t="inlineStr">
        <is>
          <t>1990-11-07</t>
        </is>
      </c>
      <c r="Y522" t="n">
        <v>193</v>
      </c>
      <c r="Z522" t="n">
        <v>149</v>
      </c>
      <c r="AA522" t="n">
        <v>197</v>
      </c>
      <c r="AB522" t="n">
        <v>3</v>
      </c>
      <c r="AC522" t="n">
        <v>3</v>
      </c>
      <c r="AD522" t="n">
        <v>10</v>
      </c>
      <c r="AE522" t="n">
        <v>10</v>
      </c>
      <c r="AF522" t="n">
        <v>1</v>
      </c>
      <c r="AG522" t="n">
        <v>1</v>
      </c>
      <c r="AH522" t="n">
        <v>2</v>
      </c>
      <c r="AI522" t="n">
        <v>2</v>
      </c>
      <c r="AJ522" t="n">
        <v>8</v>
      </c>
      <c r="AK522" t="n">
        <v>8</v>
      </c>
      <c r="AL522" t="n">
        <v>2</v>
      </c>
      <c r="AM522" t="n">
        <v>2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HYPERLINK("http://catalog.hathitrust.org/Record/000430241","HathiTrust Record")</f>
        <v/>
      </c>
      <c r="AS522">
        <f>HYPERLINK("https://creighton-primo.hosted.exlibrisgroup.com/primo-explore/search?tab=default_tab&amp;search_scope=EVERYTHING&amp;vid=01CRU&amp;lang=en_US&amp;offset=0&amp;query=any,contains,991000606739702656","Catalog Record")</f>
        <v/>
      </c>
      <c r="AT522">
        <f>HYPERLINK("http://www.worldcat.org/oclc/11866974","WorldCat Record")</f>
        <v/>
      </c>
      <c r="AU522" t="inlineStr">
        <is>
          <t>363346396:eng</t>
        </is>
      </c>
      <c r="AV522" t="inlineStr">
        <is>
          <t>11866974</t>
        </is>
      </c>
      <c r="AW522" t="inlineStr">
        <is>
          <t>991000606739702656</t>
        </is>
      </c>
      <c r="AX522" t="inlineStr">
        <is>
          <t>991000606739702656</t>
        </is>
      </c>
      <c r="AY522" t="inlineStr">
        <is>
          <t>2265159610002656</t>
        </is>
      </c>
      <c r="AZ522" t="inlineStr">
        <is>
          <t>BOOK</t>
        </is>
      </c>
      <c r="BB522" t="inlineStr">
        <is>
          <t>9780824067038</t>
        </is>
      </c>
      <c r="BC522" t="inlineStr">
        <is>
          <t>32285000377282</t>
        </is>
      </c>
      <c r="BD522" t="inlineStr">
        <is>
          <t>893601901</t>
        </is>
      </c>
    </row>
    <row r="523">
      <c r="A523" t="inlineStr">
        <is>
          <t>No</t>
        </is>
      </c>
      <c r="B523" t="inlineStr">
        <is>
          <t>PS3509.L43 Z682</t>
        </is>
      </c>
      <c r="C523" t="inlineStr">
        <is>
          <t>0                      PS 3509000L  43                 Z  682</t>
        </is>
      </c>
      <c r="D523" t="inlineStr">
        <is>
          <t>T. S. Eliot / by Philip R. Headings.</t>
        </is>
      </c>
      <c r="F523" t="inlineStr">
        <is>
          <t>No</t>
        </is>
      </c>
      <c r="G523" t="inlineStr">
        <is>
          <t>1</t>
        </is>
      </c>
      <c r="H523" t="inlineStr">
        <is>
          <t>Yes</t>
        </is>
      </c>
      <c r="I523" t="inlineStr">
        <is>
          <t>No</t>
        </is>
      </c>
      <c r="J523" t="inlineStr">
        <is>
          <t>0</t>
        </is>
      </c>
      <c r="K523" t="inlineStr">
        <is>
          <t>Headings, Philip Ray, 1922-</t>
        </is>
      </c>
      <c r="L523" t="inlineStr">
        <is>
          <t>New York : Twayne Publishers, [1964]</t>
        </is>
      </c>
      <c r="M523" t="inlineStr">
        <is>
          <t>1964</t>
        </is>
      </c>
      <c r="O523" t="inlineStr">
        <is>
          <t>eng</t>
        </is>
      </c>
      <c r="P523" t="inlineStr">
        <is>
          <t>nyu</t>
        </is>
      </c>
      <c r="Q523" t="inlineStr">
        <is>
          <t>Twayne's United States authors series, 57</t>
        </is>
      </c>
      <c r="R523" t="inlineStr">
        <is>
          <t xml:space="preserve">PS </t>
        </is>
      </c>
      <c r="S523" t="n">
        <v>3</v>
      </c>
      <c r="T523" t="n">
        <v>7</v>
      </c>
      <c r="U523" t="inlineStr">
        <is>
          <t>2002-11-22</t>
        </is>
      </c>
      <c r="V523" t="inlineStr">
        <is>
          <t>2002-11-22</t>
        </is>
      </c>
      <c r="W523" t="inlineStr">
        <is>
          <t>1990-09-18</t>
        </is>
      </c>
      <c r="X523" t="inlineStr">
        <is>
          <t>1992-06-10</t>
        </is>
      </c>
      <c r="Y523" t="n">
        <v>1786</v>
      </c>
      <c r="Z523" t="n">
        <v>1618</v>
      </c>
      <c r="AA523" t="n">
        <v>1629</v>
      </c>
      <c r="AB523" t="n">
        <v>18</v>
      </c>
      <c r="AC523" t="n">
        <v>18</v>
      </c>
      <c r="AD523" t="n">
        <v>50</v>
      </c>
      <c r="AE523" t="n">
        <v>50</v>
      </c>
      <c r="AF523" t="n">
        <v>19</v>
      </c>
      <c r="AG523" t="n">
        <v>19</v>
      </c>
      <c r="AH523" t="n">
        <v>10</v>
      </c>
      <c r="AI523" t="n">
        <v>10</v>
      </c>
      <c r="AJ523" t="n">
        <v>22</v>
      </c>
      <c r="AK523" t="n">
        <v>22</v>
      </c>
      <c r="AL523" t="n">
        <v>11</v>
      </c>
      <c r="AM523" t="n">
        <v>11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HYPERLINK("http://catalog.hathitrust.org/Record/007122797","HathiTrust Record")</f>
        <v/>
      </c>
      <c r="AS523">
        <f>HYPERLINK("https://creighton-primo.hosted.exlibrisgroup.com/primo-explore/search?tab=default_tab&amp;search_scope=EVERYTHING&amp;vid=01CRU&amp;lang=en_US&amp;offset=0&amp;query=any,contains,991003429709702656","Catalog Record")</f>
        <v/>
      </c>
      <c r="AT523">
        <f>HYPERLINK("http://www.worldcat.org/oclc/965284","WorldCat Record")</f>
        <v/>
      </c>
      <c r="AU523" t="inlineStr">
        <is>
          <t>10567175895:eng</t>
        </is>
      </c>
      <c r="AV523" t="inlineStr">
        <is>
          <t>965284</t>
        </is>
      </c>
      <c r="AW523" t="inlineStr">
        <is>
          <t>991003429709702656</t>
        </is>
      </c>
      <c r="AX523" t="inlineStr">
        <is>
          <t>991003429709702656</t>
        </is>
      </c>
      <c r="AY523" t="inlineStr">
        <is>
          <t>2258339630002656</t>
        </is>
      </c>
      <c r="AZ523" t="inlineStr">
        <is>
          <t>BOOK</t>
        </is>
      </c>
      <c r="BC523" t="inlineStr">
        <is>
          <t>32285000305069</t>
        </is>
      </c>
      <c r="BD523" t="inlineStr">
        <is>
          <t>893711365</t>
        </is>
      </c>
    </row>
    <row r="524">
      <c r="A524" t="inlineStr">
        <is>
          <t>No</t>
        </is>
      </c>
      <c r="B524" t="inlineStr">
        <is>
          <t>PS3509.L43 Z682</t>
        </is>
      </c>
      <c r="C524" t="inlineStr">
        <is>
          <t>0                      PS 3509000L  43                 Z  682</t>
        </is>
      </c>
      <c r="D524" t="inlineStr">
        <is>
          <t>T. S. Eliot / by Philip R. Headings.</t>
        </is>
      </c>
      <c r="F524" t="inlineStr">
        <is>
          <t>No</t>
        </is>
      </c>
      <c r="G524" t="inlineStr">
        <is>
          <t>1</t>
        </is>
      </c>
      <c r="H524" t="inlineStr">
        <is>
          <t>Yes</t>
        </is>
      </c>
      <c r="I524" t="inlineStr">
        <is>
          <t>No</t>
        </is>
      </c>
      <c r="J524" t="inlineStr">
        <is>
          <t>0</t>
        </is>
      </c>
      <c r="K524" t="inlineStr">
        <is>
          <t>Headings, Philip Ray, 1922-</t>
        </is>
      </c>
      <c r="L524" t="inlineStr">
        <is>
          <t>New York : Twayne Publishers, [1964]</t>
        </is>
      </c>
      <c r="M524" t="inlineStr">
        <is>
          <t>1964</t>
        </is>
      </c>
      <c r="O524" t="inlineStr">
        <is>
          <t>eng</t>
        </is>
      </c>
      <c r="P524" t="inlineStr">
        <is>
          <t>nyu</t>
        </is>
      </c>
      <c r="Q524" t="inlineStr">
        <is>
          <t>Twayne's United States authors series, 57</t>
        </is>
      </c>
      <c r="R524" t="inlineStr">
        <is>
          <t xml:space="preserve">PS </t>
        </is>
      </c>
      <c r="S524" t="n">
        <v>4</v>
      </c>
      <c r="T524" t="n">
        <v>7</v>
      </c>
      <c r="U524" t="inlineStr">
        <is>
          <t>1997-12-09</t>
        </is>
      </c>
      <c r="V524" t="inlineStr">
        <is>
          <t>2002-11-22</t>
        </is>
      </c>
      <c r="W524" t="inlineStr">
        <is>
          <t>1992-06-10</t>
        </is>
      </c>
      <c r="X524" t="inlineStr">
        <is>
          <t>1992-06-10</t>
        </is>
      </c>
      <c r="Y524" t="n">
        <v>1786</v>
      </c>
      <c r="Z524" t="n">
        <v>1618</v>
      </c>
      <c r="AA524" t="n">
        <v>1629</v>
      </c>
      <c r="AB524" t="n">
        <v>18</v>
      </c>
      <c r="AC524" t="n">
        <v>18</v>
      </c>
      <c r="AD524" t="n">
        <v>50</v>
      </c>
      <c r="AE524" t="n">
        <v>50</v>
      </c>
      <c r="AF524" t="n">
        <v>19</v>
      </c>
      <c r="AG524" t="n">
        <v>19</v>
      </c>
      <c r="AH524" t="n">
        <v>10</v>
      </c>
      <c r="AI524" t="n">
        <v>10</v>
      </c>
      <c r="AJ524" t="n">
        <v>22</v>
      </c>
      <c r="AK524" t="n">
        <v>22</v>
      </c>
      <c r="AL524" t="n">
        <v>11</v>
      </c>
      <c r="AM524" t="n">
        <v>11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HYPERLINK("http://catalog.hathitrust.org/Record/007122797","HathiTrust Record")</f>
        <v/>
      </c>
      <c r="AS524">
        <f>HYPERLINK("https://creighton-primo.hosted.exlibrisgroup.com/primo-explore/search?tab=default_tab&amp;search_scope=EVERYTHING&amp;vid=01CRU&amp;lang=en_US&amp;offset=0&amp;query=any,contains,991003429709702656","Catalog Record")</f>
        <v/>
      </c>
      <c r="AT524">
        <f>HYPERLINK("http://www.worldcat.org/oclc/965284","WorldCat Record")</f>
        <v/>
      </c>
      <c r="AU524" t="inlineStr">
        <is>
          <t>10567175895:eng</t>
        </is>
      </c>
      <c r="AV524" t="inlineStr">
        <is>
          <t>965284</t>
        </is>
      </c>
      <c r="AW524" t="inlineStr">
        <is>
          <t>991003429709702656</t>
        </is>
      </c>
      <c r="AX524" t="inlineStr">
        <is>
          <t>991003429709702656</t>
        </is>
      </c>
      <c r="AY524" t="inlineStr">
        <is>
          <t>2258339630002656</t>
        </is>
      </c>
      <c r="AZ524" t="inlineStr">
        <is>
          <t>BOOK</t>
        </is>
      </c>
      <c r="BC524" t="inlineStr">
        <is>
          <t>32285001076024</t>
        </is>
      </c>
      <c r="BD524" t="inlineStr">
        <is>
          <t>893698996</t>
        </is>
      </c>
    </row>
    <row r="525">
      <c r="A525" t="inlineStr">
        <is>
          <t>No</t>
        </is>
      </c>
      <c r="B525" t="inlineStr">
        <is>
          <t>PS3509.L43 Z6824 1983</t>
        </is>
      </c>
      <c r="C525" t="inlineStr">
        <is>
          <t>0                      PS 3509000L  43                 Z  6824        1983</t>
        </is>
      </c>
      <c r="D525" t="inlineStr">
        <is>
          <t>T.S. Eliot's poems in French translation--Pierre Leyris and others / by Joan Fillmore Hooker.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Hooker, Joan Fillmore.</t>
        </is>
      </c>
      <c r="L525" t="inlineStr">
        <is>
          <t>Ann Arbor, Mich. : UMI Research Press, c1983.</t>
        </is>
      </c>
      <c r="M525" t="inlineStr">
        <is>
          <t>1983</t>
        </is>
      </c>
      <c r="O525" t="inlineStr">
        <is>
          <t>eng</t>
        </is>
      </c>
      <c r="P525" t="inlineStr">
        <is>
          <t>miu</t>
        </is>
      </c>
      <c r="Q525" t="inlineStr">
        <is>
          <t>Studies in modern literature ; no. 26</t>
        </is>
      </c>
      <c r="R525" t="inlineStr">
        <is>
          <t xml:space="preserve">PS </t>
        </is>
      </c>
      <c r="S525" t="n">
        <v>11</v>
      </c>
      <c r="T525" t="n">
        <v>11</v>
      </c>
      <c r="U525" t="inlineStr">
        <is>
          <t>2005-03-30</t>
        </is>
      </c>
      <c r="V525" t="inlineStr">
        <is>
          <t>2005-03-30</t>
        </is>
      </c>
      <c r="W525" t="inlineStr">
        <is>
          <t>1990-08-02</t>
        </is>
      </c>
      <c r="X525" t="inlineStr">
        <is>
          <t>1990-08-02</t>
        </is>
      </c>
      <c r="Y525" t="n">
        <v>164</v>
      </c>
      <c r="Z525" t="n">
        <v>116</v>
      </c>
      <c r="AA525" t="n">
        <v>124</v>
      </c>
      <c r="AB525" t="n">
        <v>1</v>
      </c>
      <c r="AC525" t="n">
        <v>1</v>
      </c>
      <c r="AD525" t="n">
        <v>7</v>
      </c>
      <c r="AE525" t="n">
        <v>7</v>
      </c>
      <c r="AF525" t="n">
        <v>1</v>
      </c>
      <c r="AG525" t="n">
        <v>1</v>
      </c>
      <c r="AH525" t="n">
        <v>4</v>
      </c>
      <c r="AI525" t="n">
        <v>4</v>
      </c>
      <c r="AJ525" t="n">
        <v>5</v>
      </c>
      <c r="AK525" t="n">
        <v>5</v>
      </c>
      <c r="AL525" t="n">
        <v>0</v>
      </c>
      <c r="AM525" t="n">
        <v>0</v>
      </c>
      <c r="AN525" t="n">
        <v>0</v>
      </c>
      <c r="AO525" t="n">
        <v>0</v>
      </c>
      <c r="AP525" t="inlineStr">
        <is>
          <t>No</t>
        </is>
      </c>
      <c r="AQ525" t="inlineStr">
        <is>
          <t>Yes</t>
        </is>
      </c>
      <c r="AR525">
        <f>HYPERLINK("http://catalog.hathitrust.org/Record/000242137","HathiTrust Record")</f>
        <v/>
      </c>
      <c r="AS525">
        <f>HYPERLINK("https://creighton-primo.hosted.exlibrisgroup.com/primo-explore/search?tab=default_tab&amp;search_scope=EVERYTHING&amp;vid=01CRU&amp;lang=en_US&amp;offset=0&amp;query=any,contains,991000253509702656","Catalog Record")</f>
        <v/>
      </c>
      <c r="AT525">
        <f>HYPERLINK("http://www.worldcat.org/oclc/9761754","WorldCat Record")</f>
        <v/>
      </c>
      <c r="AU525" t="inlineStr">
        <is>
          <t>130435:eng</t>
        </is>
      </c>
      <c r="AV525" t="inlineStr">
        <is>
          <t>9761754</t>
        </is>
      </c>
      <c r="AW525" t="inlineStr">
        <is>
          <t>991000253509702656</t>
        </is>
      </c>
      <c r="AX525" t="inlineStr">
        <is>
          <t>991000253509702656</t>
        </is>
      </c>
      <c r="AY525" t="inlineStr">
        <is>
          <t>2260027150002656</t>
        </is>
      </c>
      <c r="AZ525" t="inlineStr">
        <is>
          <t>BOOK</t>
        </is>
      </c>
      <c r="BB525" t="inlineStr">
        <is>
          <t>9780835714563</t>
        </is>
      </c>
      <c r="BC525" t="inlineStr">
        <is>
          <t>32285000262419</t>
        </is>
      </c>
      <c r="BD525" t="inlineStr">
        <is>
          <t>893224867</t>
        </is>
      </c>
    </row>
    <row r="526">
      <c r="A526" t="inlineStr">
        <is>
          <t>No</t>
        </is>
      </c>
      <c r="B526" t="inlineStr">
        <is>
          <t>PS3509.L43 Z684</t>
        </is>
      </c>
      <c r="C526" t="inlineStr">
        <is>
          <t>0                      PS 3509000L  43                 Z  684</t>
        </is>
      </c>
      <c r="D526" t="inlineStr">
        <is>
          <t>Notes on some figures behind T.S. Eliot.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Howarth, Herbert, 1900-</t>
        </is>
      </c>
      <c r="L526" t="inlineStr">
        <is>
          <t>Boston : Houghton Mifflin, 1964.</t>
        </is>
      </c>
      <c r="M526" t="inlineStr">
        <is>
          <t>1964</t>
        </is>
      </c>
      <c r="O526" t="inlineStr">
        <is>
          <t>eng</t>
        </is>
      </c>
      <c r="P526" t="inlineStr">
        <is>
          <t>mau</t>
        </is>
      </c>
      <c r="R526" t="inlineStr">
        <is>
          <t xml:space="preserve">PS </t>
        </is>
      </c>
      <c r="S526" t="n">
        <v>11</v>
      </c>
      <c r="T526" t="n">
        <v>11</v>
      </c>
      <c r="U526" t="inlineStr">
        <is>
          <t>2004-11-22</t>
        </is>
      </c>
      <c r="V526" t="inlineStr">
        <is>
          <t>2004-11-22</t>
        </is>
      </c>
      <c r="W526" t="inlineStr">
        <is>
          <t>1990-08-09</t>
        </is>
      </c>
      <c r="X526" t="inlineStr">
        <is>
          <t>1990-08-09</t>
        </is>
      </c>
      <c r="Y526" t="n">
        <v>874</v>
      </c>
      <c r="Z526" t="n">
        <v>807</v>
      </c>
      <c r="AA526" t="n">
        <v>851</v>
      </c>
      <c r="AB526" t="n">
        <v>3</v>
      </c>
      <c r="AC526" t="n">
        <v>4</v>
      </c>
      <c r="AD526" t="n">
        <v>32</v>
      </c>
      <c r="AE526" t="n">
        <v>37</v>
      </c>
      <c r="AF526" t="n">
        <v>14</v>
      </c>
      <c r="AG526" t="n">
        <v>15</v>
      </c>
      <c r="AH526" t="n">
        <v>6</v>
      </c>
      <c r="AI526" t="n">
        <v>8</v>
      </c>
      <c r="AJ526" t="n">
        <v>18</v>
      </c>
      <c r="AK526" t="n">
        <v>21</v>
      </c>
      <c r="AL526" t="n">
        <v>2</v>
      </c>
      <c r="AM526" t="n">
        <v>3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HYPERLINK("http://catalog.hathitrust.org/Record/000028894","HathiTrust Record")</f>
        <v/>
      </c>
      <c r="AS526">
        <f>HYPERLINK("https://creighton-primo.hosted.exlibrisgroup.com/primo-explore/search?tab=default_tab&amp;search_scope=EVERYTHING&amp;vid=01CRU&amp;lang=en_US&amp;offset=0&amp;query=any,contains,991002200119702656","Catalog Record")</f>
        <v/>
      </c>
      <c r="AT526">
        <f>HYPERLINK("http://www.worldcat.org/oclc/284065","WorldCat Record")</f>
        <v/>
      </c>
      <c r="AU526" t="inlineStr">
        <is>
          <t>1347856:eng</t>
        </is>
      </c>
      <c r="AV526" t="inlineStr">
        <is>
          <t>284065</t>
        </is>
      </c>
      <c r="AW526" t="inlineStr">
        <is>
          <t>991002200119702656</t>
        </is>
      </c>
      <c r="AX526" t="inlineStr">
        <is>
          <t>991002200119702656</t>
        </is>
      </c>
      <c r="AY526" t="inlineStr">
        <is>
          <t>2266058600002656</t>
        </is>
      </c>
      <c r="AZ526" t="inlineStr">
        <is>
          <t>BOOK</t>
        </is>
      </c>
      <c r="BC526" t="inlineStr">
        <is>
          <t>32285000255009</t>
        </is>
      </c>
      <c r="BD526" t="inlineStr">
        <is>
          <t>893408806</t>
        </is>
      </c>
    </row>
    <row r="527">
      <c r="A527" t="inlineStr">
        <is>
          <t>No</t>
        </is>
      </c>
      <c r="B527" t="inlineStr">
        <is>
          <t>PS3509.L43 Z685 1960a</t>
        </is>
      </c>
      <c r="C527" t="inlineStr">
        <is>
          <t>0                      PS 3509000L  43                 Z  685         1960a</t>
        </is>
      </c>
      <c r="D527" t="inlineStr">
        <is>
          <t>The plays of T. S. Eliot.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Jones, David E., 1924-1988.</t>
        </is>
      </c>
      <c r="L527" t="inlineStr">
        <is>
          <t>Toronto : University of Toronto Press, 1960.</t>
        </is>
      </c>
      <c r="M527" t="inlineStr">
        <is>
          <t>1960</t>
        </is>
      </c>
      <c r="O527" t="inlineStr">
        <is>
          <t>eng</t>
        </is>
      </c>
      <c r="P527" t="inlineStr">
        <is>
          <t>xxc</t>
        </is>
      </c>
      <c r="R527" t="inlineStr">
        <is>
          <t xml:space="preserve">PS </t>
        </is>
      </c>
      <c r="S527" t="n">
        <v>5</v>
      </c>
      <c r="T527" t="n">
        <v>5</v>
      </c>
      <c r="U527" t="inlineStr">
        <is>
          <t>2005-03-23</t>
        </is>
      </c>
      <c r="V527" t="inlineStr">
        <is>
          <t>2005-03-23</t>
        </is>
      </c>
      <c r="W527" t="inlineStr">
        <is>
          <t>1990-08-09</t>
        </is>
      </c>
      <c r="X527" t="inlineStr">
        <is>
          <t>1990-08-09</t>
        </is>
      </c>
      <c r="Y527" t="n">
        <v>475</v>
      </c>
      <c r="Z527" t="n">
        <v>435</v>
      </c>
      <c r="AA527" t="n">
        <v>460</v>
      </c>
      <c r="AB527" t="n">
        <v>3</v>
      </c>
      <c r="AC527" t="n">
        <v>3</v>
      </c>
      <c r="AD527" t="n">
        <v>14</v>
      </c>
      <c r="AE527" t="n">
        <v>14</v>
      </c>
      <c r="AF527" t="n">
        <v>8</v>
      </c>
      <c r="AG527" t="n">
        <v>8</v>
      </c>
      <c r="AH527" t="n">
        <v>3</v>
      </c>
      <c r="AI527" t="n">
        <v>3</v>
      </c>
      <c r="AJ527" t="n">
        <v>2</v>
      </c>
      <c r="AK527" t="n">
        <v>2</v>
      </c>
      <c r="AL527" t="n">
        <v>2</v>
      </c>
      <c r="AM527" t="n">
        <v>2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HYPERLINK("http://catalog.hathitrust.org/Record/001020951","HathiTrust Record")</f>
        <v/>
      </c>
      <c r="AS527">
        <f>HYPERLINK("https://creighton-primo.hosted.exlibrisgroup.com/primo-explore/search?tab=default_tab&amp;search_scope=EVERYTHING&amp;vid=01CRU&amp;lang=en_US&amp;offset=0&amp;query=any,contains,991004554149702656","Catalog Record")</f>
        <v/>
      </c>
      <c r="AT527">
        <f>HYPERLINK("http://www.worldcat.org/oclc/3960286","WorldCat Record")</f>
        <v/>
      </c>
      <c r="AU527" t="inlineStr">
        <is>
          <t>104197311:eng</t>
        </is>
      </c>
      <c r="AV527" t="inlineStr">
        <is>
          <t>3960286</t>
        </is>
      </c>
      <c r="AW527" t="inlineStr">
        <is>
          <t>991004554149702656</t>
        </is>
      </c>
      <c r="AX527" t="inlineStr">
        <is>
          <t>991004554149702656</t>
        </is>
      </c>
      <c r="AY527" t="inlineStr">
        <is>
          <t>2266059320002656</t>
        </is>
      </c>
      <c r="AZ527" t="inlineStr">
        <is>
          <t>BOOK</t>
        </is>
      </c>
      <c r="BC527" t="inlineStr">
        <is>
          <t>32285000254994</t>
        </is>
      </c>
      <c r="BD527" t="inlineStr">
        <is>
          <t>893229496</t>
        </is>
      </c>
    </row>
    <row r="528">
      <c r="A528" t="inlineStr">
        <is>
          <t>No</t>
        </is>
      </c>
      <c r="B528" t="inlineStr">
        <is>
          <t>PS3509.L43 Z686 1965</t>
        </is>
      </c>
      <c r="C528" t="inlineStr">
        <is>
          <t>0                      PS 3509000L  43                 Z  686         1965</t>
        </is>
      </c>
      <c r="D528" t="inlineStr">
        <is>
          <t>Approach to the purpose : a study of the poetry of T.S. Eliot.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Jones, Genesius.</t>
        </is>
      </c>
      <c r="L528" t="inlineStr">
        <is>
          <t>New York : Barnes &amp; Noble, [1965, c1964]</t>
        </is>
      </c>
      <c r="M528" t="inlineStr">
        <is>
          <t>1965</t>
        </is>
      </c>
      <c r="O528" t="inlineStr">
        <is>
          <t>eng</t>
        </is>
      </c>
      <c r="P528" t="inlineStr">
        <is>
          <t>nyu</t>
        </is>
      </c>
      <c r="R528" t="inlineStr">
        <is>
          <t xml:space="preserve">PS </t>
        </is>
      </c>
      <c r="S528" t="n">
        <v>14</v>
      </c>
      <c r="T528" t="n">
        <v>14</v>
      </c>
      <c r="U528" t="inlineStr">
        <is>
          <t>2004-03-31</t>
        </is>
      </c>
      <c r="V528" t="inlineStr">
        <is>
          <t>2004-03-31</t>
        </is>
      </c>
      <c r="W528" t="inlineStr">
        <is>
          <t>1990-11-07</t>
        </is>
      </c>
      <c r="X528" t="inlineStr">
        <is>
          <t>1990-11-07</t>
        </is>
      </c>
      <c r="Y528" t="n">
        <v>381</v>
      </c>
      <c r="Z528" t="n">
        <v>369</v>
      </c>
      <c r="AA528" t="n">
        <v>600</v>
      </c>
      <c r="AB528" t="n">
        <v>1</v>
      </c>
      <c r="AC528" t="n">
        <v>4</v>
      </c>
      <c r="AD528" t="n">
        <v>12</v>
      </c>
      <c r="AE528" t="n">
        <v>27</v>
      </c>
      <c r="AF528" t="n">
        <v>7</v>
      </c>
      <c r="AG528" t="n">
        <v>10</v>
      </c>
      <c r="AH528" t="n">
        <v>2</v>
      </c>
      <c r="AI528" t="n">
        <v>6</v>
      </c>
      <c r="AJ528" t="n">
        <v>6</v>
      </c>
      <c r="AK528" t="n">
        <v>17</v>
      </c>
      <c r="AL528" t="n">
        <v>0</v>
      </c>
      <c r="AM528" t="n">
        <v>3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HYPERLINK("https://creighton-primo.hosted.exlibrisgroup.com/primo-explore/search?tab=default_tab&amp;search_scope=EVERYTHING&amp;vid=01CRU&amp;lang=en_US&amp;offset=0&amp;query=any,contains,991002199979702656","Catalog Record")</f>
        <v/>
      </c>
      <c r="AT528">
        <f>HYPERLINK("http://www.worldcat.org/oclc/284037","WorldCat Record")</f>
        <v/>
      </c>
      <c r="AU528" t="inlineStr">
        <is>
          <t>445552:eng</t>
        </is>
      </c>
      <c r="AV528" t="inlineStr">
        <is>
          <t>284037</t>
        </is>
      </c>
      <c r="AW528" t="inlineStr">
        <is>
          <t>991002199979702656</t>
        </is>
      </c>
      <c r="AX528" t="inlineStr">
        <is>
          <t>991002199979702656</t>
        </is>
      </c>
      <c r="AY528" t="inlineStr">
        <is>
          <t>2266031770002656</t>
        </is>
      </c>
      <c r="AZ528" t="inlineStr">
        <is>
          <t>BOOK</t>
        </is>
      </c>
      <c r="BC528" t="inlineStr">
        <is>
          <t>32285000377290</t>
        </is>
      </c>
      <c r="BD528" t="inlineStr">
        <is>
          <t>893903755</t>
        </is>
      </c>
    </row>
    <row r="529">
      <c r="A529" t="inlineStr">
        <is>
          <t>No</t>
        </is>
      </c>
      <c r="B529" t="inlineStr">
        <is>
          <t>PS3509.L43 Z6861</t>
        </is>
      </c>
      <c r="C529" t="inlineStr">
        <is>
          <t>0                      PS 3509000L  43                 Z  6861</t>
        </is>
      </c>
      <c r="D529" t="inlineStr">
        <is>
          <t>Jungian psychology in literary analysis : a demonstration using T. S. Eliot's poetry / Joyce Meeks Jones.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Jones, Joyce Meeks.</t>
        </is>
      </c>
      <c r="L529" t="inlineStr">
        <is>
          <t>Washington, D.C. : University Press of America, c1979.</t>
        </is>
      </c>
      <c r="M529" t="inlineStr">
        <is>
          <t>1979</t>
        </is>
      </c>
      <c r="O529" t="inlineStr">
        <is>
          <t>eng</t>
        </is>
      </c>
      <c r="P529" t="inlineStr">
        <is>
          <t>dcu</t>
        </is>
      </c>
      <c r="R529" t="inlineStr">
        <is>
          <t xml:space="preserve">PS </t>
        </is>
      </c>
      <c r="S529" t="n">
        <v>2</v>
      </c>
      <c r="T529" t="n">
        <v>2</v>
      </c>
      <c r="U529" t="inlineStr">
        <is>
          <t>1993-04-01</t>
        </is>
      </c>
      <c r="V529" t="inlineStr">
        <is>
          <t>1993-04-01</t>
        </is>
      </c>
      <c r="W529" t="inlineStr">
        <is>
          <t>1990-11-07</t>
        </is>
      </c>
      <c r="X529" t="inlineStr">
        <is>
          <t>1990-11-07</t>
        </is>
      </c>
      <c r="Y529" t="n">
        <v>207</v>
      </c>
      <c r="Z529" t="n">
        <v>191</v>
      </c>
      <c r="AA529" t="n">
        <v>192</v>
      </c>
      <c r="AB529" t="n">
        <v>2</v>
      </c>
      <c r="AC529" t="n">
        <v>2</v>
      </c>
      <c r="AD529" t="n">
        <v>7</v>
      </c>
      <c r="AE529" t="n">
        <v>7</v>
      </c>
      <c r="AF529" t="n">
        <v>2</v>
      </c>
      <c r="AG529" t="n">
        <v>2</v>
      </c>
      <c r="AH529" t="n">
        <v>2</v>
      </c>
      <c r="AI529" t="n">
        <v>2</v>
      </c>
      <c r="AJ529" t="n">
        <v>4</v>
      </c>
      <c r="AK529" t="n">
        <v>4</v>
      </c>
      <c r="AL529" t="n">
        <v>1</v>
      </c>
      <c r="AM529" t="n">
        <v>1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HYPERLINK("http://catalog.hathitrust.org/Record/007592464","HathiTrust Record")</f>
        <v/>
      </c>
      <c r="AS529">
        <f>HYPERLINK("https://creighton-primo.hosted.exlibrisgroup.com/primo-explore/search?tab=default_tab&amp;search_scope=EVERYTHING&amp;vid=01CRU&amp;lang=en_US&amp;offset=0&amp;query=any,contains,991004977149702656","Catalog Record")</f>
        <v/>
      </c>
      <c r="AT529">
        <f>HYPERLINK("http://www.worldcat.org/oclc/6401640","WorldCat Record")</f>
        <v/>
      </c>
      <c r="AU529" t="inlineStr">
        <is>
          <t>500802936:eng</t>
        </is>
      </c>
      <c r="AV529" t="inlineStr">
        <is>
          <t>6401640</t>
        </is>
      </c>
      <c r="AW529" t="inlineStr">
        <is>
          <t>991004977149702656</t>
        </is>
      </c>
      <c r="AX529" t="inlineStr">
        <is>
          <t>991004977149702656</t>
        </is>
      </c>
      <c r="AY529" t="inlineStr">
        <is>
          <t>2264796710002656</t>
        </is>
      </c>
      <c r="AZ529" t="inlineStr">
        <is>
          <t>BOOK</t>
        </is>
      </c>
      <c r="BB529" t="inlineStr">
        <is>
          <t>9780819108104</t>
        </is>
      </c>
      <c r="BC529" t="inlineStr">
        <is>
          <t>32285000377308</t>
        </is>
      </c>
      <c r="BD529" t="inlineStr">
        <is>
          <t>893513862</t>
        </is>
      </c>
    </row>
    <row r="530">
      <c r="A530" t="inlineStr">
        <is>
          <t>No</t>
        </is>
      </c>
      <c r="B530" t="inlineStr">
        <is>
          <t>PS3509.L43 Z6913</t>
        </is>
      </c>
      <c r="C530" t="inlineStr">
        <is>
          <t>0                      PS 3509000L  43                 Z  6913</t>
        </is>
      </c>
      <c r="D530" t="inlineStr">
        <is>
          <t>T. S. Eliot : a collection of critical essays.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Kenner, Hugh editor.</t>
        </is>
      </c>
      <c r="L530" t="inlineStr">
        <is>
          <t>Englewood Cliffs, N.J. : Prentice-Hall, [1962]</t>
        </is>
      </c>
      <c r="M530" t="inlineStr">
        <is>
          <t>1962</t>
        </is>
      </c>
      <c r="O530" t="inlineStr">
        <is>
          <t>eng</t>
        </is>
      </c>
      <c r="P530" t="inlineStr">
        <is>
          <t>nju</t>
        </is>
      </c>
      <c r="Q530" t="inlineStr">
        <is>
          <t>A Spectrum book: Twentieth century views, S-TC-2</t>
        </is>
      </c>
      <c r="R530" t="inlineStr">
        <is>
          <t xml:space="preserve">PS </t>
        </is>
      </c>
      <c r="S530" t="n">
        <v>10</v>
      </c>
      <c r="T530" t="n">
        <v>10</v>
      </c>
      <c r="U530" t="inlineStr">
        <is>
          <t>2004-04-12</t>
        </is>
      </c>
      <c r="V530" t="inlineStr">
        <is>
          <t>2004-04-12</t>
        </is>
      </c>
      <c r="W530" t="inlineStr">
        <is>
          <t>1990-09-18</t>
        </is>
      </c>
      <c r="X530" t="inlineStr">
        <is>
          <t>1990-09-18</t>
        </is>
      </c>
      <c r="Y530" t="n">
        <v>2299</v>
      </c>
      <c r="Z530" t="n">
        <v>2010</v>
      </c>
      <c r="AA530" t="n">
        <v>2148</v>
      </c>
      <c r="AB530" t="n">
        <v>17</v>
      </c>
      <c r="AC530" t="n">
        <v>17</v>
      </c>
      <c r="AD530" t="n">
        <v>57</v>
      </c>
      <c r="AE530" t="n">
        <v>59</v>
      </c>
      <c r="AF530" t="n">
        <v>23</v>
      </c>
      <c r="AG530" t="n">
        <v>24</v>
      </c>
      <c r="AH530" t="n">
        <v>9</v>
      </c>
      <c r="AI530" t="n">
        <v>9</v>
      </c>
      <c r="AJ530" t="n">
        <v>25</v>
      </c>
      <c r="AK530" t="n">
        <v>26</v>
      </c>
      <c r="AL530" t="n">
        <v>12</v>
      </c>
      <c r="AM530" t="n">
        <v>12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HYPERLINK("https://creighton-primo.hosted.exlibrisgroup.com/primo-explore/search?tab=default_tab&amp;search_scope=EVERYTHING&amp;vid=01CRU&amp;lang=en_US&amp;offset=0&amp;query=any,contains,991003052599702656","Catalog Record")</f>
        <v/>
      </c>
      <c r="AT530">
        <f>HYPERLINK("http://www.worldcat.org/oclc/612047","WorldCat Record")</f>
        <v/>
      </c>
      <c r="AU530" t="inlineStr">
        <is>
          <t>5164511213:eng</t>
        </is>
      </c>
      <c r="AV530" t="inlineStr">
        <is>
          <t>612047</t>
        </is>
      </c>
      <c r="AW530" t="inlineStr">
        <is>
          <t>991003052599702656</t>
        </is>
      </c>
      <c r="AX530" t="inlineStr">
        <is>
          <t>991003052599702656</t>
        </is>
      </c>
      <c r="AY530" t="inlineStr">
        <is>
          <t>2266454590002656</t>
        </is>
      </c>
      <c r="AZ530" t="inlineStr">
        <is>
          <t>BOOK</t>
        </is>
      </c>
      <c r="BC530" t="inlineStr">
        <is>
          <t>32285000304195</t>
        </is>
      </c>
      <c r="BD530" t="inlineStr">
        <is>
          <t>893711004</t>
        </is>
      </c>
    </row>
    <row r="531">
      <c r="A531" t="inlineStr">
        <is>
          <t>No</t>
        </is>
      </c>
      <c r="B531" t="inlineStr">
        <is>
          <t>PS3509.L43 Z69153 1972</t>
        </is>
      </c>
      <c r="C531" t="inlineStr">
        <is>
          <t>0                      PS 3509000L  43                 Z  69153       1972</t>
        </is>
      </c>
      <c r="D531" t="inlineStr">
        <is>
          <t>T. S. Eliot's social criticism.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Kojecký, Roger.</t>
        </is>
      </c>
      <c r="L531" t="inlineStr">
        <is>
          <t>New York : Farrar, Straus and Giroux, [1972, c1971]</t>
        </is>
      </c>
      <c r="M531" t="inlineStr">
        <is>
          <t>1972</t>
        </is>
      </c>
      <c r="N531" t="inlineStr">
        <is>
          <t>[1st American ed.]</t>
        </is>
      </c>
      <c r="O531" t="inlineStr">
        <is>
          <t>eng</t>
        </is>
      </c>
      <c r="P531" t="inlineStr">
        <is>
          <t>nyu</t>
        </is>
      </c>
      <c r="R531" t="inlineStr">
        <is>
          <t xml:space="preserve">PS </t>
        </is>
      </c>
      <c r="S531" t="n">
        <v>14</v>
      </c>
      <c r="T531" t="n">
        <v>14</v>
      </c>
      <c r="U531" t="inlineStr">
        <is>
          <t>2006-03-30</t>
        </is>
      </c>
      <c r="V531" t="inlineStr">
        <is>
          <t>2006-03-30</t>
        </is>
      </c>
      <c r="W531" t="inlineStr">
        <is>
          <t>1990-03-28</t>
        </is>
      </c>
      <c r="X531" t="inlineStr">
        <is>
          <t>1990-03-28</t>
        </is>
      </c>
      <c r="Y531" t="n">
        <v>850</v>
      </c>
      <c r="Z531" t="n">
        <v>786</v>
      </c>
      <c r="AA531" t="n">
        <v>952</v>
      </c>
      <c r="AB531" t="n">
        <v>7</v>
      </c>
      <c r="AC531" t="n">
        <v>8</v>
      </c>
      <c r="AD531" t="n">
        <v>33</v>
      </c>
      <c r="AE531" t="n">
        <v>39</v>
      </c>
      <c r="AF531" t="n">
        <v>11</v>
      </c>
      <c r="AG531" t="n">
        <v>14</v>
      </c>
      <c r="AH531" t="n">
        <v>7</v>
      </c>
      <c r="AI531" t="n">
        <v>8</v>
      </c>
      <c r="AJ531" t="n">
        <v>18</v>
      </c>
      <c r="AK531" t="n">
        <v>21</v>
      </c>
      <c r="AL531" t="n">
        <v>6</v>
      </c>
      <c r="AM531" t="n">
        <v>7</v>
      </c>
      <c r="AN531" t="n">
        <v>0</v>
      </c>
      <c r="AO531" t="n">
        <v>0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HYPERLINK("https://creighton-primo.hosted.exlibrisgroup.com/primo-explore/search?tab=default_tab&amp;search_scope=EVERYTHING&amp;vid=01CRU&amp;lang=en_US&amp;offset=0&amp;query=any,contains,991002294839702656","Catalog Record")</f>
        <v/>
      </c>
      <c r="AT531">
        <f>HYPERLINK("http://www.worldcat.org/oclc/314819","WorldCat Record")</f>
        <v/>
      </c>
      <c r="AU531" t="inlineStr">
        <is>
          <t>1382418:eng</t>
        </is>
      </c>
      <c r="AV531" t="inlineStr">
        <is>
          <t>314819</t>
        </is>
      </c>
      <c r="AW531" t="inlineStr">
        <is>
          <t>991002294839702656</t>
        </is>
      </c>
      <c r="AX531" t="inlineStr">
        <is>
          <t>991002294839702656</t>
        </is>
      </c>
      <c r="AY531" t="inlineStr">
        <is>
          <t>2271870380002656</t>
        </is>
      </c>
      <c r="AZ531" t="inlineStr">
        <is>
          <t>BOOK</t>
        </is>
      </c>
      <c r="BB531" t="inlineStr">
        <is>
          <t>9780374272432</t>
        </is>
      </c>
      <c r="BC531" t="inlineStr">
        <is>
          <t>32285000094051</t>
        </is>
      </c>
      <c r="BD531" t="inlineStr">
        <is>
          <t>893622118</t>
        </is>
      </c>
    </row>
    <row r="532">
      <c r="A532" t="inlineStr">
        <is>
          <t>No</t>
        </is>
      </c>
      <c r="B532" t="inlineStr">
        <is>
          <t>PS3509.L43 Z6918</t>
        </is>
      </c>
      <c r="C532" t="inlineStr">
        <is>
          <t>0                      PS 3509000L  43                 Z  6918</t>
        </is>
      </c>
      <c r="D532" t="inlineStr">
        <is>
          <t>Affectionately, T. S. Eliot; the story of a friendship, 1947-1965, by William Turner Levy and Victor Scherle.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Levy, William Turner, 1922-2008.</t>
        </is>
      </c>
      <c r="L532" t="inlineStr">
        <is>
          <t>Philadelphia, Lippincott [1968]</t>
        </is>
      </c>
      <c r="M532" t="inlineStr">
        <is>
          <t>1968</t>
        </is>
      </c>
      <c r="N532" t="inlineStr">
        <is>
          <t>[1st ed.]</t>
        </is>
      </c>
      <c r="O532" t="inlineStr">
        <is>
          <t>eng</t>
        </is>
      </c>
      <c r="P532" t="inlineStr">
        <is>
          <t>pau</t>
        </is>
      </c>
      <c r="R532" t="inlineStr">
        <is>
          <t xml:space="preserve">PS </t>
        </is>
      </c>
      <c r="S532" t="n">
        <v>3</v>
      </c>
      <c r="T532" t="n">
        <v>3</v>
      </c>
      <c r="U532" t="inlineStr">
        <is>
          <t>1994-04-21</t>
        </is>
      </c>
      <c r="V532" t="inlineStr">
        <is>
          <t>1994-04-21</t>
        </is>
      </c>
      <c r="W532" t="inlineStr">
        <is>
          <t>1990-08-02</t>
        </is>
      </c>
      <c r="X532" t="inlineStr">
        <is>
          <t>1990-08-02</t>
        </is>
      </c>
      <c r="Y532" t="n">
        <v>689</v>
      </c>
      <c r="Z532" t="n">
        <v>646</v>
      </c>
      <c r="AA532" t="n">
        <v>679</v>
      </c>
      <c r="AB532" t="n">
        <v>6</v>
      </c>
      <c r="AC532" t="n">
        <v>6</v>
      </c>
      <c r="AD532" t="n">
        <v>28</v>
      </c>
      <c r="AE532" t="n">
        <v>29</v>
      </c>
      <c r="AF532" t="n">
        <v>10</v>
      </c>
      <c r="AG532" t="n">
        <v>11</v>
      </c>
      <c r="AH532" t="n">
        <v>6</v>
      </c>
      <c r="AI532" t="n">
        <v>6</v>
      </c>
      <c r="AJ532" t="n">
        <v>17</v>
      </c>
      <c r="AK532" t="n">
        <v>18</v>
      </c>
      <c r="AL532" t="n">
        <v>3</v>
      </c>
      <c r="AM532" t="n">
        <v>3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HYPERLINK("http://catalog.hathitrust.org/Record/000540516","HathiTrust Record")</f>
        <v/>
      </c>
      <c r="AS532">
        <f>HYPERLINK("https://creighton-primo.hosted.exlibrisgroup.com/primo-explore/search?tab=default_tab&amp;search_scope=EVERYTHING&amp;vid=01CRU&amp;lang=en_US&amp;offset=0&amp;query=any,contains,991002805849702656","Catalog Record")</f>
        <v/>
      </c>
      <c r="AT532">
        <f>HYPERLINK("http://www.worldcat.org/oclc/449486","WorldCat Record")</f>
        <v/>
      </c>
      <c r="AU532" t="inlineStr">
        <is>
          <t>194861525:eng</t>
        </is>
      </c>
      <c r="AV532" t="inlineStr">
        <is>
          <t>449486</t>
        </is>
      </c>
      <c r="AW532" t="inlineStr">
        <is>
          <t>991002805849702656</t>
        </is>
      </c>
      <c r="AX532" t="inlineStr">
        <is>
          <t>991002805849702656</t>
        </is>
      </c>
      <c r="AY532" t="inlineStr">
        <is>
          <t>2265378760002656</t>
        </is>
      </c>
      <c r="AZ532" t="inlineStr">
        <is>
          <t>BOOK</t>
        </is>
      </c>
      <c r="BC532" t="inlineStr">
        <is>
          <t>32285000262435</t>
        </is>
      </c>
      <c r="BD532" t="inlineStr">
        <is>
          <t>893335743</t>
        </is>
      </c>
    </row>
    <row r="533">
      <c r="A533" t="inlineStr">
        <is>
          <t>No</t>
        </is>
      </c>
      <c r="B533" t="inlineStr">
        <is>
          <t>PS3509.L43 Z737</t>
        </is>
      </c>
      <c r="C533" t="inlineStr">
        <is>
          <t>0                      PS 3509000L  43                 Z  737</t>
        </is>
      </c>
      <c r="D533" t="inlineStr">
        <is>
          <t>Great Tom : notes towards the definition of T. S. Eliot / [by] T. S. Matthews.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Matthews, T. S. (Thomas Stanley), 1901-1991.</t>
        </is>
      </c>
      <c r="L533" t="inlineStr">
        <is>
          <t>New York : Harper &amp; Row, [1974]</t>
        </is>
      </c>
      <c r="M533" t="inlineStr">
        <is>
          <t>1974</t>
        </is>
      </c>
      <c r="N533" t="inlineStr">
        <is>
          <t>[1st ed.]</t>
        </is>
      </c>
      <c r="O533" t="inlineStr">
        <is>
          <t>eng</t>
        </is>
      </c>
      <c r="P533" t="inlineStr">
        <is>
          <t>nyu</t>
        </is>
      </c>
      <c r="R533" t="inlineStr">
        <is>
          <t xml:space="preserve">PS </t>
        </is>
      </c>
      <c r="S533" t="n">
        <v>5</v>
      </c>
      <c r="T533" t="n">
        <v>5</v>
      </c>
      <c r="U533" t="inlineStr">
        <is>
          <t>2002-11-22</t>
        </is>
      </c>
      <c r="V533" t="inlineStr">
        <is>
          <t>2002-11-22</t>
        </is>
      </c>
      <c r="W533" t="inlineStr">
        <is>
          <t>1991-10-07</t>
        </is>
      </c>
      <c r="X533" t="inlineStr">
        <is>
          <t>1991-10-07</t>
        </is>
      </c>
      <c r="Y533" t="n">
        <v>1208</v>
      </c>
      <c r="Z533" t="n">
        <v>1095</v>
      </c>
      <c r="AA533" t="n">
        <v>1134</v>
      </c>
      <c r="AB533" t="n">
        <v>8</v>
      </c>
      <c r="AC533" t="n">
        <v>8</v>
      </c>
      <c r="AD533" t="n">
        <v>42</v>
      </c>
      <c r="AE533" t="n">
        <v>42</v>
      </c>
      <c r="AF533" t="n">
        <v>15</v>
      </c>
      <c r="AG533" t="n">
        <v>15</v>
      </c>
      <c r="AH533" t="n">
        <v>10</v>
      </c>
      <c r="AI533" t="n">
        <v>10</v>
      </c>
      <c r="AJ533" t="n">
        <v>22</v>
      </c>
      <c r="AK533" t="n">
        <v>22</v>
      </c>
      <c r="AL533" t="n">
        <v>5</v>
      </c>
      <c r="AM533" t="n">
        <v>5</v>
      </c>
      <c r="AN533" t="n">
        <v>0</v>
      </c>
      <c r="AO533" t="n">
        <v>0</v>
      </c>
      <c r="AP533" t="inlineStr">
        <is>
          <t>No</t>
        </is>
      </c>
      <c r="AQ533" t="inlineStr">
        <is>
          <t>Yes</t>
        </is>
      </c>
      <c r="AR533">
        <f>HYPERLINK("http://catalog.hathitrust.org/Record/000540606","HathiTrust Record")</f>
        <v/>
      </c>
      <c r="AS533">
        <f>HYPERLINK("https://creighton-primo.hosted.exlibrisgroup.com/primo-explore/search?tab=default_tab&amp;search_scope=EVERYTHING&amp;vid=01CRU&amp;lang=en_US&amp;offset=0&amp;query=any,contains,991003188329702656","Catalog Record")</f>
        <v/>
      </c>
      <c r="AT533">
        <f>HYPERLINK("http://www.worldcat.org/oclc/714180","WorldCat Record")</f>
        <v/>
      </c>
      <c r="AU533" t="inlineStr">
        <is>
          <t>782268381:eng</t>
        </is>
      </c>
      <c r="AV533" t="inlineStr">
        <is>
          <t>714180</t>
        </is>
      </c>
      <c r="AW533" t="inlineStr">
        <is>
          <t>991003188329702656</t>
        </is>
      </c>
      <c r="AX533" t="inlineStr">
        <is>
          <t>991003188329702656</t>
        </is>
      </c>
      <c r="AY533" t="inlineStr">
        <is>
          <t>2255987950002656</t>
        </is>
      </c>
      <c r="AZ533" t="inlineStr">
        <is>
          <t>BOOK</t>
        </is>
      </c>
      <c r="BB533" t="inlineStr">
        <is>
          <t>9780060128388</t>
        </is>
      </c>
      <c r="BC533" t="inlineStr">
        <is>
          <t>32285000763556</t>
        </is>
      </c>
      <c r="BD533" t="inlineStr">
        <is>
          <t>893530920</t>
        </is>
      </c>
    </row>
    <row r="534">
      <c r="A534" t="inlineStr">
        <is>
          <t>No</t>
        </is>
      </c>
      <c r="B534" t="inlineStr">
        <is>
          <t>PS3509.L43 Z74 1947</t>
        </is>
      </c>
      <c r="C534" t="inlineStr">
        <is>
          <t>0                      PS 3509000L  43                 Z  74          1947</t>
        </is>
      </c>
      <c r="D534" t="inlineStr">
        <is>
          <t>The achievement of T. S. Eliot; an essay on the nature of poetry.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Matthiessen, F. O. (Francis Otto), 1902-1950.</t>
        </is>
      </c>
      <c r="L534" t="inlineStr">
        <is>
          <t>New York, Oxford Univ. Press, 1947.</t>
        </is>
      </c>
      <c r="M534" t="inlineStr">
        <is>
          <t>1947</t>
        </is>
      </c>
      <c r="N534" t="inlineStr">
        <is>
          <t>[2d ed., rev. and enl.]</t>
        </is>
      </c>
      <c r="O534" t="inlineStr">
        <is>
          <t>eng</t>
        </is>
      </c>
      <c r="P534" t="inlineStr">
        <is>
          <t>nyu</t>
        </is>
      </c>
      <c r="R534" t="inlineStr">
        <is>
          <t xml:space="preserve">PS </t>
        </is>
      </c>
      <c r="S534" t="n">
        <v>7</v>
      </c>
      <c r="T534" t="n">
        <v>7</v>
      </c>
      <c r="U534" t="inlineStr">
        <is>
          <t>1999-10-20</t>
        </is>
      </c>
      <c r="V534" t="inlineStr">
        <is>
          <t>1999-10-20</t>
        </is>
      </c>
      <c r="W534" t="inlineStr">
        <is>
          <t>1997-07-24</t>
        </is>
      </c>
      <c r="X534" t="inlineStr">
        <is>
          <t>1997-07-24</t>
        </is>
      </c>
      <c r="Y534" t="n">
        <v>484</v>
      </c>
      <c r="Z534" t="n">
        <v>427</v>
      </c>
      <c r="AA534" t="n">
        <v>1627</v>
      </c>
      <c r="AB534" t="n">
        <v>3</v>
      </c>
      <c r="AC534" t="n">
        <v>15</v>
      </c>
      <c r="AD534" t="n">
        <v>32</v>
      </c>
      <c r="AE534" t="n">
        <v>62</v>
      </c>
      <c r="AF534" t="n">
        <v>14</v>
      </c>
      <c r="AG534" t="n">
        <v>24</v>
      </c>
      <c r="AH534" t="n">
        <v>8</v>
      </c>
      <c r="AI534" t="n">
        <v>11</v>
      </c>
      <c r="AJ534" t="n">
        <v>18</v>
      </c>
      <c r="AK534" t="n">
        <v>28</v>
      </c>
      <c r="AL534" t="n">
        <v>2</v>
      </c>
      <c r="AM534" t="n">
        <v>13</v>
      </c>
      <c r="AN534" t="n">
        <v>0</v>
      </c>
      <c r="AO534" t="n">
        <v>0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HYPERLINK("http://catalog.hathitrust.org/Record/000540596","HathiTrust Record")</f>
        <v/>
      </c>
      <c r="AS534">
        <f>HYPERLINK("https://creighton-primo.hosted.exlibrisgroup.com/primo-explore/search?tab=default_tab&amp;search_scope=EVERYTHING&amp;vid=01CRU&amp;lang=en_US&amp;offset=0&amp;query=any,contains,991003248679702656","Catalog Record")</f>
        <v/>
      </c>
      <c r="AT534">
        <f>HYPERLINK("http://www.worldcat.org/oclc/773535","WorldCat Record")</f>
        <v/>
      </c>
      <c r="AU534" t="inlineStr">
        <is>
          <t>1409583:eng</t>
        </is>
      </c>
      <c r="AV534" t="inlineStr">
        <is>
          <t>773535</t>
        </is>
      </c>
      <c r="AW534" t="inlineStr">
        <is>
          <t>991003248679702656</t>
        </is>
      </c>
      <c r="AX534" t="inlineStr">
        <is>
          <t>991003248679702656</t>
        </is>
      </c>
      <c r="AY534" t="inlineStr">
        <is>
          <t>2265759230002656</t>
        </is>
      </c>
      <c r="AZ534" t="inlineStr">
        <is>
          <t>BOOK</t>
        </is>
      </c>
      <c r="BC534" t="inlineStr">
        <is>
          <t>32285002964731</t>
        </is>
      </c>
      <c r="BD534" t="inlineStr">
        <is>
          <t>893535397</t>
        </is>
      </c>
    </row>
    <row r="535">
      <c r="A535" t="inlineStr">
        <is>
          <t>No</t>
        </is>
      </c>
      <c r="B535" t="inlineStr">
        <is>
          <t>PS3509.L43 Z78 1952</t>
        </is>
      </c>
      <c r="C535" t="inlineStr">
        <is>
          <t>0                      PS 3509000L  43                 Z  78          1952</t>
        </is>
      </c>
      <c r="D535" t="inlineStr">
        <is>
          <t>The poetry of T.S. Eliot.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Maxwell, D. E. S. (Desmond Ernest Stewart), 1925-</t>
        </is>
      </c>
      <c r="L535" t="inlineStr">
        <is>
          <t>London, Routledge &amp; Paul [1952]</t>
        </is>
      </c>
      <c r="M535" t="inlineStr">
        <is>
          <t>1952</t>
        </is>
      </c>
      <c r="O535" t="inlineStr">
        <is>
          <t>eng</t>
        </is>
      </c>
      <c r="P535" t="inlineStr">
        <is>
          <t>enk</t>
        </is>
      </c>
      <c r="R535" t="inlineStr">
        <is>
          <t xml:space="preserve">PS </t>
        </is>
      </c>
      <c r="S535" t="n">
        <v>1</v>
      </c>
      <c r="T535" t="n">
        <v>1</v>
      </c>
      <c r="U535" t="inlineStr">
        <is>
          <t>1998-03-27</t>
        </is>
      </c>
      <c r="V535" t="inlineStr">
        <is>
          <t>1998-03-27</t>
        </is>
      </c>
      <c r="W535" t="inlineStr">
        <is>
          <t>1997-06-03</t>
        </is>
      </c>
      <c r="X535" t="inlineStr">
        <is>
          <t>1997-06-03</t>
        </is>
      </c>
      <c r="Y535" t="n">
        <v>642</v>
      </c>
      <c r="Z535" t="n">
        <v>479</v>
      </c>
      <c r="AA535" t="n">
        <v>836</v>
      </c>
      <c r="AB535" t="n">
        <v>3</v>
      </c>
      <c r="AC535" t="n">
        <v>6</v>
      </c>
      <c r="AD535" t="n">
        <v>33</v>
      </c>
      <c r="AE535" t="n">
        <v>40</v>
      </c>
      <c r="AF535" t="n">
        <v>17</v>
      </c>
      <c r="AG535" t="n">
        <v>19</v>
      </c>
      <c r="AH535" t="n">
        <v>4</v>
      </c>
      <c r="AI535" t="n">
        <v>5</v>
      </c>
      <c r="AJ535" t="n">
        <v>20</v>
      </c>
      <c r="AK535" t="n">
        <v>21</v>
      </c>
      <c r="AL535" t="n">
        <v>2</v>
      </c>
      <c r="AM535" t="n">
        <v>5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HYPERLINK("http://catalog.hathitrust.org/Record/000540580","HathiTrust Record")</f>
        <v/>
      </c>
      <c r="AS535">
        <f>HYPERLINK("https://creighton-primo.hosted.exlibrisgroup.com/primo-explore/search?tab=default_tab&amp;search_scope=EVERYTHING&amp;vid=01CRU&amp;lang=en_US&amp;offset=0&amp;query=any,contains,991003358159702656","Catalog Record")</f>
        <v/>
      </c>
      <c r="AT535">
        <f>HYPERLINK("http://www.worldcat.org/oclc/892811","WorldCat Record")</f>
        <v/>
      </c>
      <c r="AU535" t="inlineStr">
        <is>
          <t>1217219:eng</t>
        </is>
      </c>
      <c r="AV535" t="inlineStr">
        <is>
          <t>892811</t>
        </is>
      </c>
      <c r="AW535" t="inlineStr">
        <is>
          <t>991003358159702656</t>
        </is>
      </c>
      <c r="AX535" t="inlineStr">
        <is>
          <t>991003358159702656</t>
        </is>
      </c>
      <c r="AY535" t="inlineStr">
        <is>
          <t>2263900010002656</t>
        </is>
      </c>
      <c r="AZ535" t="inlineStr">
        <is>
          <t>BOOK</t>
        </is>
      </c>
      <c r="BC535" t="inlineStr">
        <is>
          <t>32285002782851</t>
        </is>
      </c>
      <c r="BD535" t="inlineStr">
        <is>
          <t>893505502</t>
        </is>
      </c>
    </row>
    <row r="536">
      <c r="A536" t="inlineStr">
        <is>
          <t>No</t>
        </is>
      </c>
      <c r="B536" t="inlineStr">
        <is>
          <t>PS3509.L43 Z787 1970</t>
        </is>
      </c>
      <c r="C536" t="inlineStr">
        <is>
          <t>0                      PS 3509000L  43                 Z  787         1970</t>
        </is>
      </c>
      <c r="D536" t="inlineStr">
        <is>
          <t>T. S. Eliot : an essay on the American magus.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Montgomery, Marion.</t>
        </is>
      </c>
      <c r="L536" t="inlineStr">
        <is>
          <t>Athens : University of Georgia Press, 1969 [i.e. 1970]</t>
        </is>
      </c>
      <c r="M536" t="inlineStr">
        <is>
          <t>1970</t>
        </is>
      </c>
      <c r="O536" t="inlineStr">
        <is>
          <t>eng</t>
        </is>
      </c>
      <c r="P536" t="inlineStr">
        <is>
          <t>gau</t>
        </is>
      </c>
      <c r="R536" t="inlineStr">
        <is>
          <t xml:space="preserve">PS </t>
        </is>
      </c>
      <c r="S536" t="n">
        <v>3</v>
      </c>
      <c r="T536" t="n">
        <v>3</v>
      </c>
      <c r="U536" t="inlineStr">
        <is>
          <t>1997-04-19</t>
        </is>
      </c>
      <c r="V536" t="inlineStr">
        <is>
          <t>1997-04-19</t>
        </is>
      </c>
      <c r="W536" t="inlineStr">
        <is>
          <t>1990-02-19</t>
        </is>
      </c>
      <c r="X536" t="inlineStr">
        <is>
          <t>1990-02-19</t>
        </is>
      </c>
      <c r="Y536" t="n">
        <v>713</v>
      </c>
      <c r="Z536" t="n">
        <v>646</v>
      </c>
      <c r="AA536" t="n">
        <v>662</v>
      </c>
      <c r="AB536" t="n">
        <v>6</v>
      </c>
      <c r="AC536" t="n">
        <v>6</v>
      </c>
      <c r="AD536" t="n">
        <v>36</v>
      </c>
      <c r="AE536" t="n">
        <v>37</v>
      </c>
      <c r="AF536" t="n">
        <v>12</v>
      </c>
      <c r="AG536" t="n">
        <v>12</v>
      </c>
      <c r="AH536" t="n">
        <v>8</v>
      </c>
      <c r="AI536" t="n">
        <v>8</v>
      </c>
      <c r="AJ536" t="n">
        <v>19</v>
      </c>
      <c r="AK536" t="n">
        <v>20</v>
      </c>
      <c r="AL536" t="n">
        <v>5</v>
      </c>
      <c r="AM536" t="n">
        <v>5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HYPERLINK("http://catalog.hathitrust.org/Record/000540589","HathiTrust Record")</f>
        <v/>
      </c>
      <c r="AS536">
        <f>HYPERLINK("https://creighton-primo.hosted.exlibrisgroup.com/primo-explore/search?tab=default_tab&amp;search_scope=EVERYTHING&amp;vid=01CRU&amp;lang=en_US&amp;offset=0&amp;query=any,contains,991000499159702656","Catalog Record")</f>
        <v/>
      </c>
      <c r="AT536">
        <f>HYPERLINK("http://www.worldcat.org/oclc/80981","WorldCat Record")</f>
        <v/>
      </c>
      <c r="AU536" t="inlineStr">
        <is>
          <t>1263011:eng</t>
        </is>
      </c>
      <c r="AV536" t="inlineStr">
        <is>
          <t>80981</t>
        </is>
      </c>
      <c r="AW536" t="inlineStr">
        <is>
          <t>991000499159702656</t>
        </is>
      </c>
      <c r="AX536" t="inlineStr">
        <is>
          <t>991000499159702656</t>
        </is>
      </c>
      <c r="AY536" t="inlineStr">
        <is>
          <t>2271671900002656</t>
        </is>
      </c>
      <c r="AZ536" t="inlineStr">
        <is>
          <t>BOOK</t>
        </is>
      </c>
      <c r="BB536" t="inlineStr">
        <is>
          <t>9780820302324</t>
        </is>
      </c>
      <c r="BC536" t="inlineStr">
        <is>
          <t>32285000042506</t>
        </is>
      </c>
      <c r="BD536" t="inlineStr">
        <is>
          <t>893496284</t>
        </is>
      </c>
    </row>
    <row r="537">
      <c r="A537" t="inlineStr">
        <is>
          <t>No</t>
        </is>
      </c>
      <c r="B537" t="inlineStr">
        <is>
          <t>PS3509.L43 Z7874</t>
        </is>
      </c>
      <c r="C537" t="inlineStr">
        <is>
          <t>0                      PS 3509000L  43                 Z  7874</t>
        </is>
      </c>
      <c r="D537" t="inlineStr">
        <is>
          <t>Thomas Stearns Eliot, poet / A. D. Moody.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Moody, Anthony David.</t>
        </is>
      </c>
      <c r="L537" t="inlineStr">
        <is>
          <t>Cambridge ; New York : Cambridge University Press, 1979.</t>
        </is>
      </c>
      <c r="M537" t="inlineStr">
        <is>
          <t>1979</t>
        </is>
      </c>
      <c r="O537" t="inlineStr">
        <is>
          <t>eng</t>
        </is>
      </c>
      <c r="P537" t="inlineStr">
        <is>
          <t>mau</t>
        </is>
      </c>
      <c r="R537" t="inlineStr">
        <is>
          <t xml:space="preserve">PS </t>
        </is>
      </c>
      <c r="S537" t="n">
        <v>20</v>
      </c>
      <c r="T537" t="n">
        <v>20</v>
      </c>
      <c r="U537" t="inlineStr">
        <is>
          <t>2005-04-07</t>
        </is>
      </c>
      <c r="V537" t="inlineStr">
        <is>
          <t>2005-04-07</t>
        </is>
      </c>
      <c r="W537" t="inlineStr">
        <is>
          <t>1990-03-29</t>
        </is>
      </c>
      <c r="X537" t="inlineStr">
        <is>
          <t>1990-03-29</t>
        </is>
      </c>
      <c r="Y537" t="n">
        <v>687</v>
      </c>
      <c r="Z537" t="n">
        <v>498</v>
      </c>
      <c r="AA537" t="n">
        <v>681</v>
      </c>
      <c r="AB537" t="n">
        <v>5</v>
      </c>
      <c r="AC537" t="n">
        <v>5</v>
      </c>
      <c r="AD537" t="n">
        <v>27</v>
      </c>
      <c r="AE537" t="n">
        <v>38</v>
      </c>
      <c r="AF537" t="n">
        <v>9</v>
      </c>
      <c r="AG537" t="n">
        <v>15</v>
      </c>
      <c r="AH537" t="n">
        <v>6</v>
      </c>
      <c r="AI537" t="n">
        <v>8</v>
      </c>
      <c r="AJ537" t="n">
        <v>16</v>
      </c>
      <c r="AK537" t="n">
        <v>21</v>
      </c>
      <c r="AL537" t="n">
        <v>4</v>
      </c>
      <c r="AM537" t="n">
        <v>4</v>
      </c>
      <c r="AN537" t="n">
        <v>0</v>
      </c>
      <c r="AO537" t="n">
        <v>0</v>
      </c>
      <c r="AP537" t="inlineStr">
        <is>
          <t>No</t>
        </is>
      </c>
      <c r="AQ537" t="inlineStr">
        <is>
          <t>No</t>
        </is>
      </c>
      <c r="AS537">
        <f>HYPERLINK("https://creighton-primo.hosted.exlibrisgroup.com/primo-explore/search?tab=default_tab&amp;search_scope=EVERYTHING&amp;vid=01CRU&amp;lang=en_US&amp;offset=0&amp;query=any,contains,991004563039702656","Catalog Record")</f>
        <v/>
      </c>
      <c r="AT537">
        <f>HYPERLINK("http://www.worldcat.org/oclc/4003763","WorldCat Record")</f>
        <v/>
      </c>
      <c r="AU537" t="inlineStr">
        <is>
          <t>13607008:eng</t>
        </is>
      </c>
      <c r="AV537" t="inlineStr">
        <is>
          <t>4003763</t>
        </is>
      </c>
      <c r="AW537" t="inlineStr">
        <is>
          <t>991004563039702656</t>
        </is>
      </c>
      <c r="AX537" t="inlineStr">
        <is>
          <t>991004563039702656</t>
        </is>
      </c>
      <c r="AY537" t="inlineStr">
        <is>
          <t>2267714280002656</t>
        </is>
      </c>
      <c r="AZ537" t="inlineStr">
        <is>
          <t>BOOK</t>
        </is>
      </c>
      <c r="BB537" t="inlineStr">
        <is>
          <t>9780521220651</t>
        </is>
      </c>
      <c r="BC537" t="inlineStr">
        <is>
          <t>32285000106392</t>
        </is>
      </c>
      <c r="BD537" t="inlineStr">
        <is>
          <t>893882617</t>
        </is>
      </c>
    </row>
    <row r="538">
      <c r="A538" t="inlineStr">
        <is>
          <t>No</t>
        </is>
      </c>
      <c r="B538" t="inlineStr">
        <is>
          <t>PS3509.L43 Z7875 1996</t>
        </is>
      </c>
      <c r="C538" t="inlineStr">
        <is>
          <t>0                      PS 3509000L  43                 Z  7875        1996</t>
        </is>
      </c>
      <c r="D538" t="inlineStr">
        <is>
          <t>Tracing T.S. Eliot's spirit : essays on his poetry and thought / A. David Moody.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Moody, Anthony David.</t>
        </is>
      </c>
      <c r="L538" t="inlineStr">
        <is>
          <t>Cambridge ; New York : Cambridge University Press, 1996.</t>
        </is>
      </c>
      <c r="M538" t="inlineStr">
        <is>
          <t>1996</t>
        </is>
      </c>
      <c r="O538" t="inlineStr">
        <is>
          <t>eng</t>
        </is>
      </c>
      <c r="P538" t="inlineStr">
        <is>
          <t>enk</t>
        </is>
      </c>
      <c r="R538" t="inlineStr">
        <is>
          <t xml:space="preserve">PS </t>
        </is>
      </c>
      <c r="S538" t="n">
        <v>9</v>
      </c>
      <c r="T538" t="n">
        <v>9</v>
      </c>
      <c r="U538" t="inlineStr">
        <is>
          <t>2001-12-04</t>
        </is>
      </c>
      <c r="V538" t="inlineStr">
        <is>
          <t>2001-12-04</t>
        </is>
      </c>
      <c r="W538" t="inlineStr">
        <is>
          <t>1997-03-21</t>
        </is>
      </c>
      <c r="X538" t="inlineStr">
        <is>
          <t>1997-03-21</t>
        </is>
      </c>
      <c r="Y538" t="n">
        <v>368</v>
      </c>
      <c r="Z538" t="n">
        <v>267</v>
      </c>
      <c r="AA538" t="n">
        <v>280</v>
      </c>
      <c r="AB538" t="n">
        <v>3</v>
      </c>
      <c r="AC538" t="n">
        <v>3</v>
      </c>
      <c r="AD538" t="n">
        <v>19</v>
      </c>
      <c r="AE538" t="n">
        <v>19</v>
      </c>
      <c r="AF538" t="n">
        <v>5</v>
      </c>
      <c r="AG538" t="n">
        <v>5</v>
      </c>
      <c r="AH538" t="n">
        <v>5</v>
      </c>
      <c r="AI538" t="n">
        <v>5</v>
      </c>
      <c r="AJ538" t="n">
        <v>12</v>
      </c>
      <c r="AK538" t="n">
        <v>12</v>
      </c>
      <c r="AL538" t="n">
        <v>2</v>
      </c>
      <c r="AM538" t="n">
        <v>2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HYPERLINK("https://creighton-primo.hosted.exlibrisgroup.com/primo-explore/search?tab=default_tab&amp;search_scope=EVERYTHING&amp;vid=01CRU&amp;lang=en_US&amp;offset=0&amp;query=any,contains,991002572839702656","Catalog Record")</f>
        <v/>
      </c>
      <c r="AT538">
        <f>HYPERLINK("http://www.worldcat.org/oclc/33440063","WorldCat Record")</f>
        <v/>
      </c>
      <c r="AU538" t="inlineStr">
        <is>
          <t>806942714:eng</t>
        </is>
      </c>
      <c r="AV538" t="inlineStr">
        <is>
          <t>33440063</t>
        </is>
      </c>
      <c r="AW538" t="inlineStr">
        <is>
          <t>991002572839702656</t>
        </is>
      </c>
      <c r="AX538" t="inlineStr">
        <is>
          <t>991002572839702656</t>
        </is>
      </c>
      <c r="AY538" t="inlineStr">
        <is>
          <t>2265757860002656</t>
        </is>
      </c>
      <c r="AZ538" t="inlineStr">
        <is>
          <t>BOOK</t>
        </is>
      </c>
      <c r="BB538" t="inlineStr">
        <is>
          <t>9780521480604</t>
        </is>
      </c>
      <c r="BC538" t="inlineStr">
        <is>
          <t>32285002475506</t>
        </is>
      </c>
      <c r="BD538" t="inlineStr">
        <is>
          <t>893779968</t>
        </is>
      </c>
    </row>
    <row r="539">
      <c r="A539" t="inlineStr">
        <is>
          <t>No</t>
        </is>
      </c>
      <c r="B539" t="inlineStr">
        <is>
          <t>PS3509.L43 Z812 1971</t>
        </is>
      </c>
      <c r="C539" t="inlineStr">
        <is>
          <t>0                      PS 3509000L  43                 Z  812         1971</t>
        </is>
      </c>
      <c r="D539" t="inlineStr">
        <is>
          <t>T. S. Eliot : poems in the making.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Patterson, Gertrude.</t>
        </is>
      </c>
      <c r="L539" t="inlineStr">
        <is>
          <t>[Manchester, Eng.] : Manchester University Press ; New York: Barnes &amp; Noble, [1971]</t>
        </is>
      </c>
      <c r="M539" t="inlineStr">
        <is>
          <t>1971</t>
        </is>
      </c>
      <c r="O539" t="inlineStr">
        <is>
          <t>eng</t>
        </is>
      </c>
      <c r="P539" t="inlineStr">
        <is>
          <t>enk</t>
        </is>
      </c>
      <c r="R539" t="inlineStr">
        <is>
          <t xml:space="preserve">PS </t>
        </is>
      </c>
      <c r="S539" t="n">
        <v>6</v>
      </c>
      <c r="T539" t="n">
        <v>6</v>
      </c>
      <c r="U539" t="inlineStr">
        <is>
          <t>1997-11-18</t>
        </is>
      </c>
      <c r="V539" t="inlineStr">
        <is>
          <t>1997-11-18</t>
        </is>
      </c>
      <c r="W539" t="inlineStr">
        <is>
          <t>1992-05-18</t>
        </is>
      </c>
      <c r="X539" t="inlineStr">
        <is>
          <t>1992-05-18</t>
        </is>
      </c>
      <c r="Y539" t="n">
        <v>750</v>
      </c>
      <c r="Z539" t="n">
        <v>567</v>
      </c>
      <c r="AA539" t="n">
        <v>589</v>
      </c>
      <c r="AB539" t="n">
        <v>6</v>
      </c>
      <c r="AC539" t="n">
        <v>6</v>
      </c>
      <c r="AD539" t="n">
        <v>33</v>
      </c>
      <c r="AE539" t="n">
        <v>33</v>
      </c>
      <c r="AF539" t="n">
        <v>9</v>
      </c>
      <c r="AG539" t="n">
        <v>9</v>
      </c>
      <c r="AH539" t="n">
        <v>8</v>
      </c>
      <c r="AI539" t="n">
        <v>8</v>
      </c>
      <c r="AJ539" t="n">
        <v>18</v>
      </c>
      <c r="AK539" t="n">
        <v>18</v>
      </c>
      <c r="AL539" t="n">
        <v>5</v>
      </c>
      <c r="AM539" t="n">
        <v>5</v>
      </c>
      <c r="AN539" t="n">
        <v>0</v>
      </c>
      <c r="AO539" t="n">
        <v>0</v>
      </c>
      <c r="AP539" t="inlineStr">
        <is>
          <t>No</t>
        </is>
      </c>
      <c r="AQ539" t="inlineStr">
        <is>
          <t>Yes</t>
        </is>
      </c>
      <c r="AR539">
        <f>HYPERLINK("http://catalog.hathitrust.org/Record/000557252","HathiTrust Record")</f>
        <v/>
      </c>
      <c r="AS539">
        <f>HYPERLINK("https://creighton-primo.hosted.exlibrisgroup.com/primo-explore/search?tab=default_tab&amp;search_scope=EVERYTHING&amp;vid=01CRU&amp;lang=en_US&amp;offset=0&amp;query=any,contains,991000762009702656","Catalog Record")</f>
        <v/>
      </c>
      <c r="AT539">
        <f>HYPERLINK("http://www.worldcat.org/oclc/130846","WorldCat Record")</f>
        <v/>
      </c>
      <c r="AU539" t="inlineStr">
        <is>
          <t>1266652:eng</t>
        </is>
      </c>
      <c r="AV539" t="inlineStr">
        <is>
          <t>130846</t>
        </is>
      </c>
      <c r="AW539" t="inlineStr">
        <is>
          <t>991000762009702656</t>
        </is>
      </c>
      <c r="AX539" t="inlineStr">
        <is>
          <t>991000762009702656</t>
        </is>
      </c>
      <c r="AY539" t="inlineStr">
        <is>
          <t>2255085560002656</t>
        </is>
      </c>
      <c r="AZ539" t="inlineStr">
        <is>
          <t>BOOK</t>
        </is>
      </c>
      <c r="BB539" t="inlineStr">
        <is>
          <t>9780389040866</t>
        </is>
      </c>
      <c r="BC539" t="inlineStr">
        <is>
          <t>32285001111110</t>
        </is>
      </c>
      <c r="BD539" t="inlineStr">
        <is>
          <t>893708703</t>
        </is>
      </c>
    </row>
    <row r="540">
      <c r="A540" t="inlineStr">
        <is>
          <t>No</t>
        </is>
      </c>
      <c r="B540" t="inlineStr">
        <is>
          <t>PS3509.L43 Z8125</t>
        </is>
      </c>
      <c r="C540" t="inlineStr">
        <is>
          <t>0                      PS 3509000L  43                 Z  8125</t>
        </is>
      </c>
      <c r="D540" t="inlineStr">
        <is>
          <t>A whole of feeling : a study of the place of emotion and feeling in the poetic theory of T. S. Eliot.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Panicker, Geevarghese.</t>
        </is>
      </c>
      <c r="L540" t="inlineStr">
        <is>
          <t>Washington, DC : Catholic University of America Press, 1959.</t>
        </is>
      </c>
      <c r="M540" t="inlineStr">
        <is>
          <t>1959</t>
        </is>
      </c>
      <c r="O540" t="inlineStr">
        <is>
          <t>eng</t>
        </is>
      </c>
      <c r="P540" t="inlineStr">
        <is>
          <t>dcu</t>
        </is>
      </c>
      <c r="R540" t="inlineStr">
        <is>
          <t xml:space="preserve">PS </t>
        </is>
      </c>
      <c r="S540" t="n">
        <v>4</v>
      </c>
      <c r="T540" t="n">
        <v>4</v>
      </c>
      <c r="U540" t="inlineStr">
        <is>
          <t>1996-11-20</t>
        </is>
      </c>
      <c r="V540" t="inlineStr">
        <is>
          <t>1996-11-20</t>
        </is>
      </c>
      <c r="W540" t="inlineStr">
        <is>
          <t>1990-02-13</t>
        </is>
      </c>
      <c r="X540" t="inlineStr">
        <is>
          <t>1990-02-13</t>
        </is>
      </c>
      <c r="Y540" t="n">
        <v>61</v>
      </c>
      <c r="Z540" t="n">
        <v>54</v>
      </c>
      <c r="AA540" t="n">
        <v>55</v>
      </c>
      <c r="AB540" t="n">
        <v>1</v>
      </c>
      <c r="AC540" t="n">
        <v>1</v>
      </c>
      <c r="AD540" t="n">
        <v>2</v>
      </c>
      <c r="AE540" t="n">
        <v>2</v>
      </c>
      <c r="AF540" t="n">
        <v>2</v>
      </c>
      <c r="AG540" t="n">
        <v>2</v>
      </c>
      <c r="AH540" t="n">
        <v>0</v>
      </c>
      <c r="AI540" t="n">
        <v>0</v>
      </c>
      <c r="AJ540" t="n">
        <v>1</v>
      </c>
      <c r="AK540" t="n">
        <v>1</v>
      </c>
      <c r="AL540" t="n">
        <v>0</v>
      </c>
      <c r="AM540" t="n">
        <v>0</v>
      </c>
      <c r="AN540" t="n">
        <v>0</v>
      </c>
      <c r="AO540" t="n">
        <v>0</v>
      </c>
      <c r="AP540" t="inlineStr">
        <is>
          <t>No</t>
        </is>
      </c>
      <c r="AQ540" t="inlineStr">
        <is>
          <t>No</t>
        </is>
      </c>
      <c r="AS540">
        <f>HYPERLINK("https://creighton-primo.hosted.exlibrisgroup.com/primo-explore/search?tab=default_tab&amp;search_scope=EVERYTHING&amp;vid=01CRU&amp;lang=en_US&amp;offset=0&amp;query=any,contains,991004707499702656","Catalog Record")</f>
        <v/>
      </c>
      <c r="AT540">
        <f>HYPERLINK("http://www.worldcat.org/oclc/4728060","WorldCat Record")</f>
        <v/>
      </c>
      <c r="AU540" t="inlineStr">
        <is>
          <t>478528645:eng</t>
        </is>
      </c>
      <c r="AV540" t="inlineStr">
        <is>
          <t>4728060</t>
        </is>
      </c>
      <c r="AW540" t="inlineStr">
        <is>
          <t>991004707499702656</t>
        </is>
      </c>
      <c r="AX540" t="inlineStr">
        <is>
          <t>991004707499702656</t>
        </is>
      </c>
      <c r="AY540" t="inlineStr">
        <is>
          <t>2254738800002656</t>
        </is>
      </c>
      <c r="AZ540" t="inlineStr">
        <is>
          <t>BOOK</t>
        </is>
      </c>
      <c r="BC540" t="inlineStr">
        <is>
          <t>32285000052802</t>
        </is>
      </c>
      <c r="BD540" t="inlineStr">
        <is>
          <t>893353503</t>
        </is>
      </c>
    </row>
    <row r="541">
      <c r="A541" t="inlineStr">
        <is>
          <t>No</t>
        </is>
      </c>
      <c r="B541" t="inlineStr">
        <is>
          <t>PS3509.L43 Z82</t>
        </is>
      </c>
      <c r="C541" t="inlineStr">
        <is>
          <t>0                      PS 3509000L  43                 Z  82</t>
        </is>
      </c>
      <c r="D541" t="inlineStr">
        <is>
          <t>T. S. Eliot / by M. C. Bradbrook.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Bradbrook, M. C. (Muriel Clara), 1909-1993.</t>
        </is>
      </c>
      <c r="L541" t="inlineStr">
        <is>
          <t>London ; New York : Published for the British Council and the National Book League by Longmans, [1958]</t>
        </is>
      </c>
      <c r="M541" t="inlineStr">
        <is>
          <t>1958</t>
        </is>
      </c>
      <c r="N541" t="inlineStr">
        <is>
          <t>[Rev. ed.]</t>
        </is>
      </c>
      <c r="O541" t="inlineStr">
        <is>
          <t>eng</t>
        </is>
      </c>
      <c r="P541" t="inlineStr">
        <is>
          <t>enk</t>
        </is>
      </c>
      <c r="Q541" t="inlineStr">
        <is>
          <t>Bibliographical series of supplements to British book news, no. 8</t>
        </is>
      </c>
      <c r="R541" t="inlineStr">
        <is>
          <t xml:space="preserve">PS </t>
        </is>
      </c>
      <c r="S541" t="n">
        <v>5</v>
      </c>
      <c r="T541" t="n">
        <v>5</v>
      </c>
      <c r="U541" t="inlineStr">
        <is>
          <t>1997-04-27</t>
        </is>
      </c>
      <c r="V541" t="inlineStr">
        <is>
          <t>1997-04-27</t>
        </is>
      </c>
      <c r="W541" t="inlineStr">
        <is>
          <t>1990-02-19</t>
        </is>
      </c>
      <c r="X541" t="inlineStr">
        <is>
          <t>1990-02-19</t>
        </is>
      </c>
      <c r="Y541" t="n">
        <v>51</v>
      </c>
      <c r="Z541" t="n">
        <v>35</v>
      </c>
      <c r="AA541" t="n">
        <v>795</v>
      </c>
      <c r="AB541" t="n">
        <v>1</v>
      </c>
      <c r="AC541" t="n">
        <v>8</v>
      </c>
      <c r="AD541" t="n">
        <v>5</v>
      </c>
      <c r="AE541" t="n">
        <v>42</v>
      </c>
      <c r="AF541" t="n">
        <v>3</v>
      </c>
      <c r="AG541" t="n">
        <v>18</v>
      </c>
      <c r="AH541" t="n">
        <v>2</v>
      </c>
      <c r="AI541" t="n">
        <v>8</v>
      </c>
      <c r="AJ541" t="n">
        <v>1</v>
      </c>
      <c r="AK541" t="n">
        <v>21</v>
      </c>
      <c r="AL541" t="n">
        <v>0</v>
      </c>
      <c r="AM541" t="n">
        <v>7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HYPERLINK("https://creighton-primo.hosted.exlibrisgroup.com/primo-explore/search?tab=default_tab&amp;search_scope=EVERYTHING&amp;vid=01CRU&amp;lang=en_US&amp;offset=0&amp;query=any,contains,991003918809702656","Catalog Record")</f>
        <v/>
      </c>
      <c r="AT541">
        <f>HYPERLINK("http://www.worldcat.org/oclc/1865352","WorldCat Record")</f>
        <v/>
      </c>
      <c r="AU541" t="inlineStr">
        <is>
          <t>178462894:eng</t>
        </is>
      </c>
      <c r="AV541" t="inlineStr">
        <is>
          <t>1865352</t>
        </is>
      </c>
      <c r="AW541" t="inlineStr">
        <is>
          <t>991003918809702656</t>
        </is>
      </c>
      <c r="AX541" t="inlineStr">
        <is>
          <t>991003918809702656</t>
        </is>
      </c>
      <c r="AY541" t="inlineStr">
        <is>
          <t>2261867210002656</t>
        </is>
      </c>
      <c r="AZ541" t="inlineStr">
        <is>
          <t>BOOK</t>
        </is>
      </c>
      <c r="BC541" t="inlineStr">
        <is>
          <t>32285000042514</t>
        </is>
      </c>
      <c r="BD541" t="inlineStr">
        <is>
          <t>893535711</t>
        </is>
      </c>
    </row>
    <row r="542">
      <c r="A542" t="inlineStr">
        <is>
          <t>No</t>
        </is>
      </c>
      <c r="B542" t="inlineStr">
        <is>
          <t>PS3509.L43 Z823 1948</t>
        </is>
      </c>
      <c r="C542" t="inlineStr">
        <is>
          <t>0                      PS 3509000L  43                 Z  823         1948</t>
        </is>
      </c>
      <c r="D542" t="inlineStr">
        <is>
          <t>T. S. Eliot; a study of his writings by several hands.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K542" t="inlineStr">
        <is>
          <t>Rajan, Balachandra editor.</t>
        </is>
      </c>
      <c r="L542" t="inlineStr">
        <is>
          <t>New York, Funk &amp; Wagnalls Co. [1948]</t>
        </is>
      </c>
      <c r="M542" t="inlineStr">
        <is>
          <t>1948</t>
        </is>
      </c>
      <c r="O542" t="inlineStr">
        <is>
          <t>eng</t>
        </is>
      </c>
      <c r="P542" t="inlineStr">
        <is>
          <t>nyu</t>
        </is>
      </c>
      <c r="R542" t="inlineStr">
        <is>
          <t xml:space="preserve">PS </t>
        </is>
      </c>
      <c r="S542" t="n">
        <v>23</v>
      </c>
      <c r="T542" t="n">
        <v>23</v>
      </c>
      <c r="U542" t="inlineStr">
        <is>
          <t>1999-11-28</t>
        </is>
      </c>
      <c r="V542" t="inlineStr">
        <is>
          <t>1999-11-28</t>
        </is>
      </c>
      <c r="W542" t="inlineStr">
        <is>
          <t>1992-04-15</t>
        </is>
      </c>
      <c r="X542" t="inlineStr">
        <is>
          <t>1992-04-15</t>
        </is>
      </c>
      <c r="Y542" t="n">
        <v>148</v>
      </c>
      <c r="Z542" t="n">
        <v>144</v>
      </c>
      <c r="AA542" t="n">
        <v>366</v>
      </c>
      <c r="AB542" t="n">
        <v>2</v>
      </c>
      <c r="AC542" t="n">
        <v>2</v>
      </c>
      <c r="AD542" t="n">
        <v>8</v>
      </c>
      <c r="AE542" t="n">
        <v>15</v>
      </c>
      <c r="AF542" t="n">
        <v>1</v>
      </c>
      <c r="AG542" t="n">
        <v>5</v>
      </c>
      <c r="AH542" t="n">
        <v>3</v>
      </c>
      <c r="AI542" t="n">
        <v>4</v>
      </c>
      <c r="AJ542" t="n">
        <v>6</v>
      </c>
      <c r="AK542" t="n">
        <v>8</v>
      </c>
      <c r="AL542" t="n">
        <v>1</v>
      </c>
      <c r="AM542" t="n">
        <v>1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R542">
        <f>HYPERLINK("http://catalog.hathitrust.org/Record/102090555","HathiTrust Record")</f>
        <v/>
      </c>
      <c r="AS542">
        <f>HYPERLINK("https://creighton-primo.hosted.exlibrisgroup.com/primo-explore/search?tab=default_tab&amp;search_scope=EVERYTHING&amp;vid=01CRU&amp;lang=en_US&amp;offset=0&amp;query=any,contains,991003879079702656","Catalog Record")</f>
        <v/>
      </c>
      <c r="AT542">
        <f>HYPERLINK("http://www.worldcat.org/oclc/20041214","WorldCat Record")</f>
        <v/>
      </c>
      <c r="AU542" t="inlineStr">
        <is>
          <t>3901365758:eng</t>
        </is>
      </c>
      <c r="AV542" t="inlineStr">
        <is>
          <t>20041214</t>
        </is>
      </c>
      <c r="AW542" t="inlineStr">
        <is>
          <t>991003879079702656</t>
        </is>
      </c>
      <c r="AX542" t="inlineStr">
        <is>
          <t>991003879079702656</t>
        </is>
      </c>
      <c r="AY542" t="inlineStr">
        <is>
          <t>2264968570002656</t>
        </is>
      </c>
      <c r="AZ542" t="inlineStr">
        <is>
          <t>BOOK</t>
        </is>
      </c>
      <c r="BC542" t="inlineStr">
        <is>
          <t>32285001061356</t>
        </is>
      </c>
      <c r="BD542" t="inlineStr">
        <is>
          <t>893900484</t>
        </is>
      </c>
    </row>
    <row r="543">
      <c r="A543" t="inlineStr">
        <is>
          <t>No</t>
        </is>
      </c>
      <c r="B543" t="inlineStr">
        <is>
          <t>PS3509.L43 Z8624 1972</t>
        </is>
      </c>
      <c r="C543" t="inlineStr">
        <is>
          <t>0                      PS 3509000L  43                 Z  8624        1972</t>
        </is>
      </c>
      <c r="D543" t="inlineStr">
        <is>
          <t>T. S. Eliot the dramatist.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Sarkar, Subhas, 1934-</t>
        </is>
      </c>
      <c r="L543" t="inlineStr">
        <is>
          <t>Calcutta : Minerva Associates, [1972]</t>
        </is>
      </c>
      <c r="M543" t="inlineStr">
        <is>
          <t>1972</t>
        </is>
      </c>
      <c r="O543" t="inlineStr">
        <is>
          <t>eng</t>
        </is>
      </c>
      <c r="P543" t="inlineStr">
        <is>
          <t xml:space="preserve">ii </t>
        </is>
      </c>
      <c r="R543" t="inlineStr">
        <is>
          <t xml:space="preserve">PS </t>
        </is>
      </c>
      <c r="S543" t="n">
        <v>3</v>
      </c>
      <c r="T543" t="n">
        <v>3</v>
      </c>
      <c r="U543" t="inlineStr">
        <is>
          <t>1995-11-06</t>
        </is>
      </c>
      <c r="V543" t="inlineStr">
        <is>
          <t>1995-11-06</t>
        </is>
      </c>
      <c r="W543" t="inlineStr">
        <is>
          <t>1990-08-09</t>
        </is>
      </c>
      <c r="X543" t="inlineStr">
        <is>
          <t>1990-08-09</t>
        </is>
      </c>
      <c r="Y543" t="n">
        <v>121</v>
      </c>
      <c r="Z543" t="n">
        <v>98</v>
      </c>
      <c r="AA543" t="n">
        <v>107</v>
      </c>
      <c r="AB543" t="n">
        <v>2</v>
      </c>
      <c r="AC543" t="n">
        <v>2</v>
      </c>
      <c r="AD543" t="n">
        <v>5</v>
      </c>
      <c r="AE543" t="n">
        <v>5</v>
      </c>
      <c r="AF543" t="n">
        <v>0</v>
      </c>
      <c r="AG543" t="n">
        <v>0</v>
      </c>
      <c r="AH543" t="n">
        <v>3</v>
      </c>
      <c r="AI543" t="n">
        <v>3</v>
      </c>
      <c r="AJ543" t="n">
        <v>2</v>
      </c>
      <c r="AK543" t="n">
        <v>2</v>
      </c>
      <c r="AL543" t="n">
        <v>1</v>
      </c>
      <c r="AM543" t="n">
        <v>1</v>
      </c>
      <c r="AN543" t="n">
        <v>0</v>
      </c>
      <c r="AO543" t="n">
        <v>0</v>
      </c>
      <c r="AP543" t="inlineStr">
        <is>
          <t>No</t>
        </is>
      </c>
      <c r="AQ543" t="inlineStr">
        <is>
          <t>Yes</t>
        </is>
      </c>
      <c r="AR543">
        <f>HYPERLINK("http://catalog.hathitrust.org/Record/001028482","HathiTrust Record")</f>
        <v/>
      </c>
      <c r="AS543">
        <f>HYPERLINK("https://creighton-primo.hosted.exlibrisgroup.com/primo-explore/search?tab=default_tab&amp;search_scope=EVERYTHING&amp;vid=01CRU&amp;lang=en_US&amp;offset=0&amp;query=any,contains,991003215909702656","Catalog Record")</f>
        <v/>
      </c>
      <c r="AT543">
        <f>HYPERLINK("http://www.worldcat.org/oclc/741817","WorldCat Record")</f>
        <v/>
      </c>
      <c r="AU543" t="inlineStr">
        <is>
          <t>193931955:eng</t>
        </is>
      </c>
      <c r="AV543" t="inlineStr">
        <is>
          <t>741817</t>
        </is>
      </c>
      <c r="AW543" t="inlineStr">
        <is>
          <t>991003215909702656</t>
        </is>
      </c>
      <c r="AX543" t="inlineStr">
        <is>
          <t>991003215909702656</t>
        </is>
      </c>
      <c r="AY543" t="inlineStr">
        <is>
          <t>2270173520002656</t>
        </is>
      </c>
      <c r="AZ543" t="inlineStr">
        <is>
          <t>BOOK</t>
        </is>
      </c>
      <c r="BC543" t="inlineStr">
        <is>
          <t>32285000254960</t>
        </is>
      </c>
      <c r="BD543" t="inlineStr">
        <is>
          <t>893336248</t>
        </is>
      </c>
    </row>
    <row r="544">
      <c r="A544" t="inlineStr">
        <is>
          <t>No</t>
        </is>
      </c>
      <c r="B544" t="inlineStr">
        <is>
          <t>PS3509.L43 Z8635</t>
        </is>
      </c>
      <c r="C544" t="inlineStr">
        <is>
          <t>0                      PS 3509000L  43                 Z  8635</t>
        </is>
      </c>
      <c r="D544" t="inlineStr">
        <is>
          <t>T. S. Eliot : the pattern in the carpet / Elisabeth Schneider.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Schneider, Elisabeth Wintersteen, 1897-1985.</t>
        </is>
      </c>
      <c r="L544" t="inlineStr">
        <is>
          <t>Berkeley : University of California Press, c1975.</t>
        </is>
      </c>
      <c r="M544" t="inlineStr">
        <is>
          <t>1975</t>
        </is>
      </c>
      <c r="O544" t="inlineStr">
        <is>
          <t>eng</t>
        </is>
      </c>
      <c r="P544" t="inlineStr">
        <is>
          <t>cau</t>
        </is>
      </c>
      <c r="R544" t="inlineStr">
        <is>
          <t xml:space="preserve">PS </t>
        </is>
      </c>
      <c r="S544" t="n">
        <v>14</v>
      </c>
      <c r="T544" t="n">
        <v>14</v>
      </c>
      <c r="U544" t="inlineStr">
        <is>
          <t>2000-04-16</t>
        </is>
      </c>
      <c r="V544" t="inlineStr">
        <is>
          <t>2000-04-16</t>
        </is>
      </c>
      <c r="W544" t="inlineStr">
        <is>
          <t>1990-07-31</t>
        </is>
      </c>
      <c r="X544" t="inlineStr">
        <is>
          <t>1990-07-31</t>
        </is>
      </c>
      <c r="Y544" t="n">
        <v>1023</v>
      </c>
      <c r="Z544" t="n">
        <v>839</v>
      </c>
      <c r="AA544" t="n">
        <v>858</v>
      </c>
      <c r="AB544" t="n">
        <v>5</v>
      </c>
      <c r="AC544" t="n">
        <v>5</v>
      </c>
      <c r="AD544" t="n">
        <v>42</v>
      </c>
      <c r="AE544" t="n">
        <v>42</v>
      </c>
      <c r="AF544" t="n">
        <v>17</v>
      </c>
      <c r="AG544" t="n">
        <v>17</v>
      </c>
      <c r="AH544" t="n">
        <v>10</v>
      </c>
      <c r="AI544" t="n">
        <v>10</v>
      </c>
      <c r="AJ544" t="n">
        <v>22</v>
      </c>
      <c r="AK544" t="n">
        <v>22</v>
      </c>
      <c r="AL544" t="n">
        <v>4</v>
      </c>
      <c r="AM544" t="n">
        <v>4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HYPERLINK("https://creighton-primo.hosted.exlibrisgroup.com/primo-explore/search?tab=default_tab&amp;search_scope=EVERYTHING&amp;vid=01CRU&amp;lang=en_US&amp;offset=0&amp;query=any,contains,991004209259702656","Catalog Record")</f>
        <v/>
      </c>
      <c r="AT544">
        <f>HYPERLINK("http://www.worldcat.org/oclc/1896081","WorldCat Record")</f>
        <v/>
      </c>
      <c r="AU544" t="inlineStr">
        <is>
          <t>652729297:eng</t>
        </is>
      </c>
      <c r="AV544" t="inlineStr">
        <is>
          <t>1896081</t>
        </is>
      </c>
      <c r="AW544" t="inlineStr">
        <is>
          <t>991004209259702656</t>
        </is>
      </c>
      <c r="AX544" t="inlineStr">
        <is>
          <t>991004209259702656</t>
        </is>
      </c>
      <c r="AY544" t="inlineStr">
        <is>
          <t>2263629210002656</t>
        </is>
      </c>
      <c r="AZ544" t="inlineStr">
        <is>
          <t>BOOK</t>
        </is>
      </c>
      <c r="BB544" t="inlineStr">
        <is>
          <t>9780520026483</t>
        </is>
      </c>
      <c r="BC544" t="inlineStr">
        <is>
          <t>32285000229913</t>
        </is>
      </c>
      <c r="BD544" t="inlineStr">
        <is>
          <t>893263152</t>
        </is>
      </c>
    </row>
    <row r="545">
      <c r="A545" t="inlineStr">
        <is>
          <t>No</t>
        </is>
      </c>
      <c r="B545" t="inlineStr">
        <is>
          <t>PS3509.L43 Z8649 1988</t>
        </is>
      </c>
      <c r="C545" t="inlineStr">
        <is>
          <t>0                      PS 3509000L  43                 Z  8649        1988</t>
        </is>
      </c>
      <c r="D545" t="inlineStr">
        <is>
          <t>T.S. Eliot and the philosophy of criticism / Richard Shusterman.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Shusterman, Richard.</t>
        </is>
      </c>
      <c r="L545" t="inlineStr">
        <is>
          <t>New York : Columbia University Press, 1988.</t>
        </is>
      </c>
      <c r="M545" t="inlineStr">
        <is>
          <t>1988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PS </t>
        </is>
      </c>
      <c r="S545" t="n">
        <v>11</v>
      </c>
      <c r="T545" t="n">
        <v>11</v>
      </c>
      <c r="U545" t="inlineStr">
        <is>
          <t>2003-04-01</t>
        </is>
      </c>
      <c r="V545" t="inlineStr">
        <is>
          <t>2003-04-01</t>
        </is>
      </c>
      <c r="W545" t="inlineStr">
        <is>
          <t>1990-05-25</t>
        </is>
      </c>
      <c r="X545" t="inlineStr">
        <is>
          <t>1990-05-25</t>
        </is>
      </c>
      <c r="Y545" t="n">
        <v>425</v>
      </c>
      <c r="Z545" t="n">
        <v>347</v>
      </c>
      <c r="AA545" t="n">
        <v>378</v>
      </c>
      <c r="AB545" t="n">
        <v>3</v>
      </c>
      <c r="AC545" t="n">
        <v>3</v>
      </c>
      <c r="AD545" t="n">
        <v>23</v>
      </c>
      <c r="AE545" t="n">
        <v>23</v>
      </c>
      <c r="AF545" t="n">
        <v>7</v>
      </c>
      <c r="AG545" t="n">
        <v>7</v>
      </c>
      <c r="AH545" t="n">
        <v>6</v>
      </c>
      <c r="AI545" t="n">
        <v>6</v>
      </c>
      <c r="AJ545" t="n">
        <v>15</v>
      </c>
      <c r="AK545" t="n">
        <v>15</v>
      </c>
      <c r="AL545" t="n">
        <v>2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HYPERLINK("http://catalog.hathitrust.org/Record/000913364","HathiTrust Record")</f>
        <v/>
      </c>
      <c r="AS545">
        <f>HYPERLINK("https://creighton-primo.hosted.exlibrisgroup.com/primo-explore/search?tab=default_tab&amp;search_scope=EVERYTHING&amp;vid=01CRU&amp;lang=en_US&amp;offset=0&amp;query=any,contains,991001179509702656","Catalog Record")</f>
        <v/>
      </c>
      <c r="AT545">
        <f>HYPERLINK("http://www.worldcat.org/oclc/17106428","WorldCat Record")</f>
        <v/>
      </c>
      <c r="AU545" t="inlineStr">
        <is>
          <t>13194843:eng</t>
        </is>
      </c>
      <c r="AV545" t="inlineStr">
        <is>
          <t>17106428</t>
        </is>
      </c>
      <c r="AW545" t="inlineStr">
        <is>
          <t>991001179509702656</t>
        </is>
      </c>
      <c r="AX545" t="inlineStr">
        <is>
          <t>991001179509702656</t>
        </is>
      </c>
      <c r="AY545" t="inlineStr">
        <is>
          <t>2270226790002656</t>
        </is>
      </c>
      <c r="AZ545" t="inlineStr">
        <is>
          <t>BOOK</t>
        </is>
      </c>
      <c r="BB545" t="inlineStr">
        <is>
          <t>9780231067430</t>
        </is>
      </c>
      <c r="BC545" t="inlineStr">
        <is>
          <t>32285000155878</t>
        </is>
      </c>
      <c r="BD545" t="inlineStr">
        <is>
          <t>893696542</t>
        </is>
      </c>
    </row>
    <row r="546">
      <c r="A546" t="inlineStr">
        <is>
          <t>No</t>
        </is>
      </c>
      <c r="B546" t="inlineStr">
        <is>
          <t>PS3509.L43 Z87254 1988</t>
        </is>
      </c>
      <c r="C546" t="inlineStr">
        <is>
          <t>0                      PS 3509000L  43                 Z  87254       1988</t>
        </is>
      </c>
      <c r="D546" t="inlineStr">
        <is>
          <t>T.S. Eliot : essays from the Southern review / edited by James Olney.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Oxford [England] : Clarendon Press ; New York : Oxford University Press, 1988.</t>
        </is>
      </c>
      <c r="M546" t="inlineStr">
        <is>
          <t>1988</t>
        </is>
      </c>
      <c r="O546" t="inlineStr">
        <is>
          <t>eng</t>
        </is>
      </c>
      <c r="P546" t="inlineStr">
        <is>
          <t>enk</t>
        </is>
      </c>
      <c r="R546" t="inlineStr">
        <is>
          <t xml:space="preserve">PS </t>
        </is>
      </c>
      <c r="S546" t="n">
        <v>7</v>
      </c>
      <c r="T546" t="n">
        <v>7</v>
      </c>
      <c r="U546" t="inlineStr">
        <is>
          <t>1996-11-18</t>
        </is>
      </c>
      <c r="V546" t="inlineStr">
        <is>
          <t>1996-11-18</t>
        </is>
      </c>
      <c r="W546" t="inlineStr">
        <is>
          <t>1990-08-02</t>
        </is>
      </c>
      <c r="X546" t="inlineStr">
        <is>
          <t>1990-08-02</t>
        </is>
      </c>
      <c r="Y546" t="n">
        <v>303</v>
      </c>
      <c r="Z546" t="n">
        <v>217</v>
      </c>
      <c r="AA546" t="n">
        <v>219</v>
      </c>
      <c r="AB546" t="n">
        <v>2</v>
      </c>
      <c r="AC546" t="n">
        <v>2</v>
      </c>
      <c r="AD546" t="n">
        <v>13</v>
      </c>
      <c r="AE546" t="n">
        <v>13</v>
      </c>
      <c r="AF546" t="n">
        <v>2</v>
      </c>
      <c r="AG546" t="n">
        <v>2</v>
      </c>
      <c r="AH546" t="n">
        <v>4</v>
      </c>
      <c r="AI546" t="n">
        <v>4</v>
      </c>
      <c r="AJ546" t="n">
        <v>10</v>
      </c>
      <c r="AK546" t="n">
        <v>10</v>
      </c>
      <c r="AL546" t="n">
        <v>1</v>
      </c>
      <c r="AM546" t="n">
        <v>1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HYPERLINK("http://catalog.hathitrust.org/Record/001097973","HathiTrust Record")</f>
        <v/>
      </c>
      <c r="AS546">
        <f>HYPERLINK("https://creighton-primo.hosted.exlibrisgroup.com/primo-explore/search?tab=default_tab&amp;search_scope=EVERYTHING&amp;vid=01CRU&amp;lang=en_US&amp;offset=0&amp;query=any,contains,991001275409702656","Catalog Record")</f>
        <v/>
      </c>
      <c r="AT546">
        <f>HYPERLINK("http://www.worldcat.org/oclc/17873536","WorldCat Record")</f>
        <v/>
      </c>
      <c r="AU546" t="inlineStr">
        <is>
          <t>808327935:eng</t>
        </is>
      </c>
      <c r="AV546" t="inlineStr">
        <is>
          <t>17873536</t>
        </is>
      </c>
      <c r="AW546" t="inlineStr">
        <is>
          <t>991001275409702656</t>
        </is>
      </c>
      <c r="AX546" t="inlineStr">
        <is>
          <t>991001275409702656</t>
        </is>
      </c>
      <c r="AY546" t="inlineStr">
        <is>
          <t>2269526930002656</t>
        </is>
      </c>
      <c r="AZ546" t="inlineStr">
        <is>
          <t>BOOK</t>
        </is>
      </c>
      <c r="BB546" t="inlineStr">
        <is>
          <t>9780198185758</t>
        </is>
      </c>
      <c r="BC546" t="inlineStr">
        <is>
          <t>32285000262476</t>
        </is>
      </c>
      <c r="BD546" t="inlineStr">
        <is>
          <t>893340308</t>
        </is>
      </c>
    </row>
    <row r="547">
      <c r="A547" t="inlineStr">
        <is>
          <t>No</t>
        </is>
      </c>
      <c r="B547" t="inlineStr">
        <is>
          <t>PS3509.L43 Z874</t>
        </is>
      </c>
      <c r="C547" t="inlineStr">
        <is>
          <t>0                      PS 3509000L  43                 Z  874</t>
        </is>
      </c>
      <c r="D547" t="inlineStr">
        <is>
          <t>T. S. Eliot : the man and his work / a critical evaluation by twenty-six distinguished writers.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Tate, Allen, 1899-1979 editor.</t>
        </is>
      </c>
      <c r="L547" t="inlineStr">
        <is>
          <t>New York : Delacorte Press, [1966]</t>
        </is>
      </c>
      <c r="M547" t="inlineStr">
        <is>
          <t>1966</t>
        </is>
      </c>
      <c r="O547" t="inlineStr">
        <is>
          <t>eng</t>
        </is>
      </c>
      <c r="P547" t="inlineStr">
        <is>
          <t>nyu</t>
        </is>
      </c>
      <c r="R547" t="inlineStr">
        <is>
          <t xml:space="preserve">PS </t>
        </is>
      </c>
      <c r="S547" t="n">
        <v>14</v>
      </c>
      <c r="T547" t="n">
        <v>14</v>
      </c>
      <c r="U547" t="inlineStr">
        <is>
          <t>2005-03-23</t>
        </is>
      </c>
      <c r="V547" t="inlineStr">
        <is>
          <t>2005-03-23</t>
        </is>
      </c>
      <c r="W547" t="inlineStr">
        <is>
          <t>1992-10-20</t>
        </is>
      </c>
      <c r="X547" t="inlineStr">
        <is>
          <t>1992-10-20</t>
        </is>
      </c>
      <c r="Y547" t="n">
        <v>1340</v>
      </c>
      <c r="Z547" t="n">
        <v>1258</v>
      </c>
      <c r="AA547" t="n">
        <v>1420</v>
      </c>
      <c r="AB547" t="n">
        <v>11</v>
      </c>
      <c r="AC547" t="n">
        <v>12</v>
      </c>
      <c r="AD547" t="n">
        <v>50</v>
      </c>
      <c r="AE547" t="n">
        <v>55</v>
      </c>
      <c r="AF547" t="n">
        <v>18</v>
      </c>
      <c r="AG547" t="n">
        <v>20</v>
      </c>
      <c r="AH547" t="n">
        <v>9</v>
      </c>
      <c r="AI547" t="n">
        <v>10</v>
      </c>
      <c r="AJ547" t="n">
        <v>21</v>
      </c>
      <c r="AK547" t="n">
        <v>24</v>
      </c>
      <c r="AL547" t="n">
        <v>10</v>
      </c>
      <c r="AM547" t="n">
        <v>11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HYPERLINK("http://catalog.hathitrust.org/Record/000557511","HathiTrust Record")</f>
        <v/>
      </c>
      <c r="AS547">
        <f>HYPERLINK("https://creighton-primo.hosted.exlibrisgroup.com/primo-explore/search?tab=default_tab&amp;search_scope=EVERYTHING&amp;vid=01CRU&amp;lang=en_US&amp;offset=0&amp;query=any,contains,991003564679702656","Catalog Record")</f>
        <v/>
      </c>
      <c r="AT547">
        <f>HYPERLINK("http://www.worldcat.org/oclc/1137275","WorldCat Record")</f>
        <v/>
      </c>
      <c r="AU547" t="inlineStr">
        <is>
          <t>365328454:eng</t>
        </is>
      </c>
      <c r="AV547" t="inlineStr">
        <is>
          <t>1137275</t>
        </is>
      </c>
      <c r="AW547" t="inlineStr">
        <is>
          <t>991003564679702656</t>
        </is>
      </c>
      <c r="AX547" t="inlineStr">
        <is>
          <t>991003564679702656</t>
        </is>
      </c>
      <c r="AY547" t="inlineStr">
        <is>
          <t>2268383390002656</t>
        </is>
      </c>
      <c r="AZ547" t="inlineStr">
        <is>
          <t>BOOK</t>
        </is>
      </c>
      <c r="BC547" t="inlineStr">
        <is>
          <t>32285001351955</t>
        </is>
      </c>
      <c r="BD547" t="inlineStr">
        <is>
          <t>893810045</t>
        </is>
      </c>
    </row>
    <row r="548">
      <c r="A548" t="inlineStr">
        <is>
          <t>No</t>
        </is>
      </c>
      <c r="B548" t="inlineStr">
        <is>
          <t>PS3509.L43 Z879 1983</t>
        </is>
      </c>
      <c r="C548" t="inlineStr">
        <is>
          <t>0                      PS 3509000L  43                 Z  879         1983</t>
        </is>
      </c>
      <c r="D548" t="inlineStr">
        <is>
          <t>The presence of the past : T.S. Eliot's Victorian inheritance / by David Ned Tobin.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Tobin, David N.</t>
        </is>
      </c>
      <c r="L548" t="inlineStr">
        <is>
          <t>Ann Arbor, Mich. : UMI Research Press, c1983.</t>
        </is>
      </c>
      <c r="M548" t="inlineStr">
        <is>
          <t>1983</t>
        </is>
      </c>
      <c r="O548" t="inlineStr">
        <is>
          <t>eng</t>
        </is>
      </c>
      <c r="P548" t="inlineStr">
        <is>
          <t>miu</t>
        </is>
      </c>
      <c r="Q548" t="inlineStr">
        <is>
          <t>Studies in modern literature ; no. 8</t>
        </is>
      </c>
      <c r="R548" t="inlineStr">
        <is>
          <t xml:space="preserve">PS </t>
        </is>
      </c>
      <c r="S548" t="n">
        <v>3</v>
      </c>
      <c r="T548" t="n">
        <v>3</v>
      </c>
      <c r="U548" t="inlineStr">
        <is>
          <t>1997-04-23</t>
        </is>
      </c>
      <c r="V548" t="inlineStr">
        <is>
          <t>1997-04-23</t>
        </is>
      </c>
      <c r="W548" t="inlineStr">
        <is>
          <t>1990-11-07</t>
        </is>
      </c>
      <c r="X548" t="inlineStr">
        <is>
          <t>1990-11-07</t>
        </is>
      </c>
      <c r="Y548" t="n">
        <v>350</v>
      </c>
      <c r="Z548" t="n">
        <v>255</v>
      </c>
      <c r="AA548" t="n">
        <v>263</v>
      </c>
      <c r="AB548" t="n">
        <v>3</v>
      </c>
      <c r="AC548" t="n">
        <v>3</v>
      </c>
      <c r="AD548" t="n">
        <v>15</v>
      </c>
      <c r="AE548" t="n">
        <v>15</v>
      </c>
      <c r="AF548" t="n">
        <v>6</v>
      </c>
      <c r="AG548" t="n">
        <v>6</v>
      </c>
      <c r="AH548" t="n">
        <v>4</v>
      </c>
      <c r="AI548" t="n">
        <v>4</v>
      </c>
      <c r="AJ548" t="n">
        <v>6</v>
      </c>
      <c r="AK548" t="n">
        <v>6</v>
      </c>
      <c r="AL548" t="n">
        <v>2</v>
      </c>
      <c r="AM548" t="n">
        <v>2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HYPERLINK("http://catalog.hathitrust.org/Record/000159072","HathiTrust Record")</f>
        <v/>
      </c>
      <c r="AS548">
        <f>HYPERLINK("https://creighton-primo.hosted.exlibrisgroup.com/primo-explore/search?tab=default_tab&amp;search_scope=EVERYTHING&amp;vid=01CRU&amp;lang=en_US&amp;offset=0&amp;query=any,contains,991000179989702656","Catalog Record")</f>
        <v/>
      </c>
      <c r="AT548">
        <f>HYPERLINK("http://www.worldcat.org/oclc/9371279","WorldCat Record")</f>
        <v/>
      </c>
      <c r="AU548" t="inlineStr">
        <is>
          <t>18083686:eng</t>
        </is>
      </c>
      <c r="AV548" t="inlineStr">
        <is>
          <t>9371279</t>
        </is>
      </c>
      <c r="AW548" t="inlineStr">
        <is>
          <t>991000179989702656</t>
        </is>
      </c>
      <c r="AX548" t="inlineStr">
        <is>
          <t>991000179989702656</t>
        </is>
      </c>
      <c r="AY548" t="inlineStr">
        <is>
          <t>2267062070002656</t>
        </is>
      </c>
      <c r="AZ548" t="inlineStr">
        <is>
          <t>BOOK</t>
        </is>
      </c>
      <c r="BB548" t="inlineStr">
        <is>
          <t>9780835714136</t>
        </is>
      </c>
      <c r="BC548" t="inlineStr">
        <is>
          <t>32285000377324</t>
        </is>
      </c>
      <c r="BD548" t="inlineStr">
        <is>
          <t>893419264</t>
        </is>
      </c>
    </row>
    <row r="549">
      <c r="A549" t="inlineStr">
        <is>
          <t>No</t>
        </is>
      </c>
      <c r="B549" t="inlineStr">
        <is>
          <t>PS3509.L43 Z882 1961</t>
        </is>
      </c>
      <c r="C549" t="inlineStr">
        <is>
          <t>0                      PS 3509000L  43                 Z  882         1961</t>
        </is>
      </c>
      <c r="D549" t="inlineStr">
        <is>
          <t>T. S. Eliot.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Unger, Leonard.</t>
        </is>
      </c>
      <c r="L549" t="inlineStr">
        <is>
          <t>Minneapolis : University of Minnesota Press, [1961]</t>
        </is>
      </c>
      <c r="M549" t="inlineStr">
        <is>
          <t>1961</t>
        </is>
      </c>
      <c r="O549" t="inlineStr">
        <is>
          <t>eng</t>
        </is>
      </c>
      <c r="P549" t="inlineStr">
        <is>
          <t>mnu</t>
        </is>
      </c>
      <c r="Q549" t="inlineStr">
        <is>
          <t>University of Minnesota pamphlets on American writers ; no. 8</t>
        </is>
      </c>
      <c r="R549" t="inlineStr">
        <is>
          <t xml:space="preserve">PS </t>
        </is>
      </c>
      <c r="S549" t="n">
        <v>6</v>
      </c>
      <c r="T549" t="n">
        <v>6</v>
      </c>
      <c r="U549" t="inlineStr">
        <is>
          <t>1999-03-28</t>
        </is>
      </c>
      <c r="V549" t="inlineStr">
        <is>
          <t>1999-03-28</t>
        </is>
      </c>
      <c r="W549" t="inlineStr">
        <is>
          <t>1992-03-10</t>
        </is>
      </c>
      <c r="X549" t="inlineStr">
        <is>
          <t>1992-03-10</t>
        </is>
      </c>
      <c r="Y549" t="n">
        <v>1326</v>
      </c>
      <c r="Z549" t="n">
        <v>1179</v>
      </c>
      <c r="AA549" t="n">
        <v>1554</v>
      </c>
      <c r="AB549" t="n">
        <v>8</v>
      </c>
      <c r="AC549" t="n">
        <v>11</v>
      </c>
      <c r="AD549" t="n">
        <v>36</v>
      </c>
      <c r="AE549" t="n">
        <v>51</v>
      </c>
      <c r="AF549" t="n">
        <v>17</v>
      </c>
      <c r="AG549" t="n">
        <v>23</v>
      </c>
      <c r="AH549" t="n">
        <v>5</v>
      </c>
      <c r="AI549" t="n">
        <v>8</v>
      </c>
      <c r="AJ549" t="n">
        <v>19</v>
      </c>
      <c r="AK549" t="n">
        <v>23</v>
      </c>
      <c r="AL549" t="n">
        <v>5</v>
      </c>
      <c r="AM549" t="n">
        <v>8</v>
      </c>
      <c r="AN549" t="n">
        <v>0</v>
      </c>
      <c r="AO549" t="n">
        <v>1</v>
      </c>
      <c r="AP549" t="inlineStr">
        <is>
          <t>No</t>
        </is>
      </c>
      <c r="AQ549" t="inlineStr">
        <is>
          <t>No</t>
        </is>
      </c>
      <c r="AR549">
        <f>HYPERLINK("http://catalog.hathitrust.org/Record/000557500","HathiTrust Record")</f>
        <v/>
      </c>
      <c r="AS549">
        <f>HYPERLINK("https://creighton-primo.hosted.exlibrisgroup.com/primo-explore/search?tab=default_tab&amp;search_scope=EVERYTHING&amp;vid=01CRU&amp;lang=en_US&amp;offset=0&amp;query=any,contains,991003176049702656","Catalog Record")</f>
        <v/>
      </c>
      <c r="AT549">
        <f>HYPERLINK("http://www.worldcat.org/oclc/710813","WorldCat Record")</f>
        <v/>
      </c>
      <c r="AU549" t="inlineStr">
        <is>
          <t>5454031954:eng</t>
        </is>
      </c>
      <c r="AV549" t="inlineStr">
        <is>
          <t>710813</t>
        </is>
      </c>
      <c r="AW549" t="inlineStr">
        <is>
          <t>991003176049702656</t>
        </is>
      </c>
      <c r="AX549" t="inlineStr">
        <is>
          <t>991003176049702656</t>
        </is>
      </c>
      <c r="AY549" t="inlineStr">
        <is>
          <t>2262451070002656</t>
        </is>
      </c>
      <c r="AZ549" t="inlineStr">
        <is>
          <t>BOOK</t>
        </is>
      </c>
      <c r="BC549" t="inlineStr">
        <is>
          <t>32285000994003</t>
        </is>
      </c>
      <c r="BD549" t="inlineStr">
        <is>
          <t>893592255</t>
        </is>
      </c>
    </row>
    <row r="550">
      <c r="A550" t="inlineStr">
        <is>
          <t>No</t>
        </is>
      </c>
      <c r="B550" t="inlineStr">
        <is>
          <t>PS3509.L43 Z884</t>
        </is>
      </c>
      <c r="C550" t="inlineStr">
        <is>
          <t>0                      PS 3509000L  43                 Z  884</t>
        </is>
      </c>
      <c r="D550" t="inlineStr">
        <is>
          <t>T. S. Eliot : moments and patterns.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Unger, Leonard.</t>
        </is>
      </c>
      <c r="L550" t="inlineStr">
        <is>
          <t>Minneapolis : University of Minnesota Press, [1966]</t>
        </is>
      </c>
      <c r="M550" t="inlineStr">
        <is>
          <t>1966</t>
        </is>
      </c>
      <c r="O550" t="inlineStr">
        <is>
          <t>eng</t>
        </is>
      </c>
      <c r="P550" t="inlineStr">
        <is>
          <t>mnu</t>
        </is>
      </c>
      <c r="R550" t="inlineStr">
        <is>
          <t xml:space="preserve">PS </t>
        </is>
      </c>
      <c r="S550" t="n">
        <v>11</v>
      </c>
      <c r="T550" t="n">
        <v>11</v>
      </c>
      <c r="U550" t="inlineStr">
        <is>
          <t>2004-11-22</t>
        </is>
      </c>
      <c r="V550" t="inlineStr">
        <is>
          <t>2004-11-22</t>
        </is>
      </c>
      <c r="W550" t="inlineStr">
        <is>
          <t>1990-09-18</t>
        </is>
      </c>
      <c r="X550" t="inlineStr">
        <is>
          <t>1990-09-18</t>
        </is>
      </c>
      <c r="Y550" t="n">
        <v>1208</v>
      </c>
      <c r="Z550" t="n">
        <v>1037</v>
      </c>
      <c r="AA550" t="n">
        <v>1051</v>
      </c>
      <c r="AB550" t="n">
        <v>8</v>
      </c>
      <c r="AC550" t="n">
        <v>8</v>
      </c>
      <c r="AD550" t="n">
        <v>42</v>
      </c>
      <c r="AE550" t="n">
        <v>42</v>
      </c>
      <c r="AF550" t="n">
        <v>16</v>
      </c>
      <c r="AG550" t="n">
        <v>16</v>
      </c>
      <c r="AH550" t="n">
        <v>8</v>
      </c>
      <c r="AI550" t="n">
        <v>8</v>
      </c>
      <c r="AJ550" t="n">
        <v>23</v>
      </c>
      <c r="AK550" t="n">
        <v>23</v>
      </c>
      <c r="AL550" t="n">
        <v>6</v>
      </c>
      <c r="AM550" t="n">
        <v>6</v>
      </c>
      <c r="AN550" t="n">
        <v>0</v>
      </c>
      <c r="AO550" t="n">
        <v>0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HYPERLINK("https://creighton-primo.hosted.exlibrisgroup.com/primo-explore/search?tab=default_tab&amp;search_scope=EVERYTHING&amp;vid=01CRU&amp;lang=en_US&amp;offset=0&amp;query=any,contains,991003183189702656","Catalog Record")</f>
        <v/>
      </c>
      <c r="AT550">
        <f>HYPERLINK("http://www.worldcat.org/oclc/712220","WorldCat Record")</f>
        <v/>
      </c>
      <c r="AU550" t="inlineStr">
        <is>
          <t>3856203280:eng</t>
        </is>
      </c>
      <c r="AV550" t="inlineStr">
        <is>
          <t>712220</t>
        </is>
      </c>
      <c r="AW550" t="inlineStr">
        <is>
          <t>991003183189702656</t>
        </is>
      </c>
      <c r="AX550" t="inlineStr">
        <is>
          <t>991003183189702656</t>
        </is>
      </c>
      <c r="AY550" t="inlineStr">
        <is>
          <t>2256683220002656</t>
        </is>
      </c>
      <c r="AZ550" t="inlineStr">
        <is>
          <t>BOOK</t>
        </is>
      </c>
      <c r="BC550" t="inlineStr">
        <is>
          <t>32285000304187</t>
        </is>
      </c>
      <c r="BD550" t="inlineStr">
        <is>
          <t>893799455</t>
        </is>
      </c>
    </row>
    <row r="551">
      <c r="A551" t="inlineStr">
        <is>
          <t>No</t>
        </is>
      </c>
      <c r="B551" t="inlineStr">
        <is>
          <t>PS3509.L43 Z95</t>
        </is>
      </c>
      <c r="C551" t="inlineStr">
        <is>
          <t>0                      PS 3509000L  43                 Z  95</t>
        </is>
      </c>
      <c r="D551" t="inlineStr">
        <is>
          <t>The poet in the poem : the personae of Eliot, Yeats, and Pound.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Wright, George T. (George Thaddeus)</t>
        </is>
      </c>
      <c r="L551" t="inlineStr">
        <is>
          <t>Berkeley : University of California Press, 1960.</t>
        </is>
      </c>
      <c r="M551" t="inlineStr">
        <is>
          <t>1960</t>
        </is>
      </c>
      <c r="O551" t="inlineStr">
        <is>
          <t>eng</t>
        </is>
      </c>
      <c r="P551" t="inlineStr">
        <is>
          <t>cau</t>
        </is>
      </c>
      <c r="Q551" t="inlineStr">
        <is>
          <t>Perspectives in criticism ; 4</t>
        </is>
      </c>
      <c r="R551" t="inlineStr">
        <is>
          <t xml:space="preserve">PS </t>
        </is>
      </c>
      <c r="S551" t="n">
        <v>1</v>
      </c>
      <c r="T551" t="n">
        <v>1</v>
      </c>
      <c r="U551" t="inlineStr">
        <is>
          <t>2001-04-17</t>
        </is>
      </c>
      <c r="V551" t="inlineStr">
        <is>
          <t>2001-04-17</t>
        </is>
      </c>
      <c r="W551" t="inlineStr">
        <is>
          <t>1992-03-16</t>
        </is>
      </c>
      <c r="X551" t="inlineStr">
        <is>
          <t>1992-03-16</t>
        </is>
      </c>
      <c r="Y551" t="n">
        <v>666</v>
      </c>
      <c r="Z551" t="n">
        <v>574</v>
      </c>
      <c r="AA551" t="n">
        <v>832</v>
      </c>
      <c r="AB551" t="n">
        <v>6</v>
      </c>
      <c r="AC551" t="n">
        <v>9</v>
      </c>
      <c r="AD551" t="n">
        <v>31</v>
      </c>
      <c r="AE551" t="n">
        <v>48</v>
      </c>
      <c r="AF551" t="n">
        <v>12</v>
      </c>
      <c r="AG551" t="n">
        <v>18</v>
      </c>
      <c r="AH551" t="n">
        <v>5</v>
      </c>
      <c r="AI551" t="n">
        <v>9</v>
      </c>
      <c r="AJ551" t="n">
        <v>17</v>
      </c>
      <c r="AK551" t="n">
        <v>24</v>
      </c>
      <c r="AL551" t="n">
        <v>5</v>
      </c>
      <c r="AM551" t="n">
        <v>8</v>
      </c>
      <c r="AN551" t="n">
        <v>0</v>
      </c>
      <c r="AO551" t="n">
        <v>0</v>
      </c>
      <c r="AP551" t="inlineStr">
        <is>
          <t>Yes</t>
        </is>
      </c>
      <c r="AQ551" t="inlineStr">
        <is>
          <t>No</t>
        </is>
      </c>
      <c r="AR551">
        <f>HYPERLINK("http://catalog.hathitrust.org/Record/001028484","HathiTrust Record")</f>
        <v/>
      </c>
      <c r="AS551">
        <f>HYPERLINK("https://creighton-primo.hosted.exlibrisgroup.com/primo-explore/search?tab=default_tab&amp;search_scope=EVERYTHING&amp;vid=01CRU&amp;lang=en_US&amp;offset=0&amp;query=any,contains,991003772629702656","Catalog Record")</f>
        <v/>
      </c>
      <c r="AT551">
        <f>HYPERLINK("http://www.worldcat.org/oclc/1474512","WorldCat Record")</f>
        <v/>
      </c>
      <c r="AU551" t="inlineStr">
        <is>
          <t>536234:eng</t>
        </is>
      </c>
      <c r="AV551" t="inlineStr">
        <is>
          <t>1474512</t>
        </is>
      </c>
      <c r="AW551" t="inlineStr">
        <is>
          <t>991003772629702656</t>
        </is>
      </c>
      <c r="AX551" t="inlineStr">
        <is>
          <t>991003772629702656</t>
        </is>
      </c>
      <c r="AY551" t="inlineStr">
        <is>
          <t>2254836400002656</t>
        </is>
      </c>
      <c r="AZ551" t="inlineStr">
        <is>
          <t>BOOK</t>
        </is>
      </c>
      <c r="BC551" t="inlineStr">
        <is>
          <t>32285001020584</t>
        </is>
      </c>
      <c r="BD551" t="inlineStr">
        <is>
          <t>893693135</t>
        </is>
      </c>
    </row>
    <row r="552">
      <c r="A552" t="inlineStr">
        <is>
          <t>No</t>
        </is>
      </c>
      <c r="B552" t="inlineStr">
        <is>
          <t>PS3509.L48 P5</t>
        </is>
      </c>
      <c r="C552" t="inlineStr">
        <is>
          <t>0                      PS 3509000L  48                 P  5</t>
        </is>
      </c>
      <c r="D552" t="inlineStr">
        <is>
          <t>Pigboats, by Commander Edward Ellsberg ...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Ellsberg, Edward, 1891-1983.</t>
        </is>
      </c>
      <c r="L552" t="inlineStr">
        <is>
          <t>New York, Dodd, Mead &amp; company 1931.</t>
        </is>
      </c>
      <c r="M552" t="inlineStr">
        <is>
          <t>1931</t>
        </is>
      </c>
      <c r="O552" t="inlineStr">
        <is>
          <t>eng</t>
        </is>
      </c>
      <c r="P552" t="inlineStr">
        <is>
          <t>___</t>
        </is>
      </c>
      <c r="R552" t="inlineStr">
        <is>
          <t xml:space="preserve">PS </t>
        </is>
      </c>
      <c r="S552" t="n">
        <v>2</v>
      </c>
      <c r="T552" t="n">
        <v>2</v>
      </c>
      <c r="U552" t="inlineStr">
        <is>
          <t>1995-11-26</t>
        </is>
      </c>
      <c r="V552" t="inlineStr">
        <is>
          <t>1995-11-26</t>
        </is>
      </c>
      <c r="W552" t="inlineStr">
        <is>
          <t>1990-11-07</t>
        </is>
      </c>
      <c r="X552" t="inlineStr">
        <is>
          <t>1990-11-07</t>
        </is>
      </c>
      <c r="Y552" t="n">
        <v>86</v>
      </c>
      <c r="Z552" t="n">
        <v>81</v>
      </c>
      <c r="AA552" t="n">
        <v>93</v>
      </c>
      <c r="AB552" t="n">
        <v>1</v>
      </c>
      <c r="AC552" t="n">
        <v>1</v>
      </c>
      <c r="AD552" t="n">
        <v>1</v>
      </c>
      <c r="AE552" t="n">
        <v>1</v>
      </c>
      <c r="AF552" t="n">
        <v>0</v>
      </c>
      <c r="AG552" t="n">
        <v>0</v>
      </c>
      <c r="AH552" t="n">
        <v>1</v>
      </c>
      <c r="AI552" t="n">
        <v>1</v>
      </c>
      <c r="AJ552" t="n">
        <v>1</v>
      </c>
      <c r="AK552" t="n">
        <v>1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No</t>
        </is>
      </c>
      <c r="AS552">
        <f>HYPERLINK("https://creighton-primo.hosted.exlibrisgroup.com/primo-explore/search?tab=default_tab&amp;search_scope=EVERYTHING&amp;vid=01CRU&amp;lang=en_US&amp;offset=0&amp;query=any,contains,991003678119702656","Catalog Record")</f>
        <v/>
      </c>
      <c r="AT552">
        <f>HYPERLINK("http://www.worldcat.org/oclc/1301294","WorldCat Record")</f>
        <v/>
      </c>
      <c r="AU552" t="inlineStr">
        <is>
          <t>149081434:eng</t>
        </is>
      </c>
      <c r="AV552" t="inlineStr">
        <is>
          <t>1301294</t>
        </is>
      </c>
      <c r="AW552" t="inlineStr">
        <is>
          <t>991003678119702656</t>
        </is>
      </c>
      <c r="AX552" t="inlineStr">
        <is>
          <t>991003678119702656</t>
        </is>
      </c>
      <c r="AY552" t="inlineStr">
        <is>
          <t>2268766760002656</t>
        </is>
      </c>
      <c r="AZ552" t="inlineStr">
        <is>
          <t>BOOK</t>
        </is>
      </c>
      <c r="BC552" t="inlineStr">
        <is>
          <t>32285000377357</t>
        </is>
      </c>
      <c r="BD552" t="inlineStr">
        <is>
          <t>893422827</t>
        </is>
      </c>
    </row>
    <row r="553">
      <c r="A553" t="inlineStr">
        <is>
          <t>No</t>
        </is>
      </c>
      <c r="B553" t="inlineStr">
        <is>
          <t>PS3509.S537 Z475 1990</t>
        </is>
      </c>
      <c r="C553" t="inlineStr">
        <is>
          <t>0                      PS 3509000S  537                Z  475         1990</t>
        </is>
      </c>
      <c r="D553" t="inlineStr">
        <is>
          <t>Strong drink, strong language / John Espey.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Espey, John J. (John Jenkins), 1913-2000.</t>
        </is>
      </c>
      <c r="L553" t="inlineStr">
        <is>
          <t>Santa Barbara : J. Daniel, Publishers, 1990.</t>
        </is>
      </c>
      <c r="M553" t="inlineStr">
        <is>
          <t>1990</t>
        </is>
      </c>
      <c r="O553" t="inlineStr">
        <is>
          <t>eng</t>
        </is>
      </c>
      <c r="P553" t="inlineStr">
        <is>
          <t>cau</t>
        </is>
      </c>
      <c r="R553" t="inlineStr">
        <is>
          <t xml:space="preserve">PS </t>
        </is>
      </c>
      <c r="S553" t="n">
        <v>2</v>
      </c>
      <c r="T553" t="n">
        <v>2</v>
      </c>
      <c r="U553" t="inlineStr">
        <is>
          <t>1994-04-11</t>
        </is>
      </c>
      <c r="V553" t="inlineStr">
        <is>
          <t>1994-04-11</t>
        </is>
      </c>
      <c r="W553" t="inlineStr">
        <is>
          <t>1991-06-11</t>
        </is>
      </c>
      <c r="X553" t="inlineStr">
        <is>
          <t>1991-06-11</t>
        </is>
      </c>
      <c r="Y553" t="n">
        <v>187</v>
      </c>
      <c r="Z553" t="n">
        <v>176</v>
      </c>
      <c r="AA553" t="n">
        <v>195</v>
      </c>
      <c r="AB553" t="n">
        <v>5</v>
      </c>
      <c r="AC553" t="n">
        <v>5</v>
      </c>
      <c r="AD553" t="n">
        <v>9</v>
      </c>
      <c r="AE553" t="n">
        <v>10</v>
      </c>
      <c r="AF553" t="n">
        <v>2</v>
      </c>
      <c r="AG553" t="n">
        <v>3</v>
      </c>
      <c r="AH553" t="n">
        <v>3</v>
      </c>
      <c r="AI553" t="n">
        <v>3</v>
      </c>
      <c r="AJ553" t="n">
        <v>4</v>
      </c>
      <c r="AK553" t="n">
        <v>4</v>
      </c>
      <c r="AL553" t="n">
        <v>3</v>
      </c>
      <c r="AM553" t="n">
        <v>3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HYPERLINK("http://catalog.hathitrust.org/Record/002238053","HathiTrust Record")</f>
        <v/>
      </c>
      <c r="AS553">
        <f>HYPERLINK("https://creighton-primo.hosted.exlibrisgroup.com/primo-explore/search?tab=default_tab&amp;search_scope=EVERYTHING&amp;vid=01CRU&amp;lang=en_US&amp;offset=0&amp;query=any,contains,991001642229702656","Catalog Record")</f>
        <v/>
      </c>
      <c r="AT553">
        <f>HYPERLINK("http://www.worldcat.org/oclc/21035660","WorldCat Record")</f>
        <v/>
      </c>
      <c r="AU553" t="inlineStr">
        <is>
          <t>22609628:eng</t>
        </is>
      </c>
      <c r="AV553" t="inlineStr">
        <is>
          <t>21035660</t>
        </is>
      </c>
      <c r="AW553" t="inlineStr">
        <is>
          <t>991001642229702656</t>
        </is>
      </c>
      <c r="AX553" t="inlineStr">
        <is>
          <t>991001642229702656</t>
        </is>
      </c>
      <c r="AY553" t="inlineStr">
        <is>
          <t>2255542340002656</t>
        </is>
      </c>
      <c r="AZ553" t="inlineStr">
        <is>
          <t>BOOK</t>
        </is>
      </c>
      <c r="BB553" t="inlineStr">
        <is>
          <t>9780936784809</t>
        </is>
      </c>
      <c r="BC553" t="inlineStr">
        <is>
          <t>32285000594928</t>
        </is>
      </c>
      <c r="BD553" t="inlineStr">
        <is>
          <t>893232115</t>
        </is>
      </c>
    </row>
    <row r="554">
      <c r="A554" t="inlineStr">
        <is>
          <t>No</t>
        </is>
      </c>
      <c r="B554" t="inlineStr">
        <is>
          <t>PS351 .B48 1968</t>
        </is>
      </c>
      <c r="C554" t="inlineStr">
        <is>
          <t>0                      PS 0351000B  48          1968</t>
        </is>
      </c>
      <c r="D554" t="inlineStr">
        <is>
          <t>Confrontation and commitment : a study of contemporary American drama 1959-66 / [by] C. W. E. Bigsby.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Bigsby, C. W. E.</t>
        </is>
      </c>
      <c r="L554" t="inlineStr">
        <is>
          <t>[Columbia] : University of Missouri Press, [1968]</t>
        </is>
      </c>
      <c r="M554" t="inlineStr">
        <is>
          <t>1968</t>
        </is>
      </c>
      <c r="O554" t="inlineStr">
        <is>
          <t>eng</t>
        </is>
      </c>
      <c r="P554" t="inlineStr">
        <is>
          <t>mou</t>
        </is>
      </c>
      <c r="R554" t="inlineStr">
        <is>
          <t xml:space="preserve">PS </t>
        </is>
      </c>
      <c r="S554" t="n">
        <v>2</v>
      </c>
      <c r="T554" t="n">
        <v>2</v>
      </c>
      <c r="U554" t="inlineStr">
        <is>
          <t>1993-07-06</t>
        </is>
      </c>
      <c r="V554" t="inlineStr">
        <is>
          <t>1993-07-06</t>
        </is>
      </c>
      <c r="W554" t="inlineStr">
        <is>
          <t>1992-08-19</t>
        </is>
      </c>
      <c r="X554" t="inlineStr">
        <is>
          <t>1992-08-19</t>
        </is>
      </c>
      <c r="Y554" t="n">
        <v>907</v>
      </c>
      <c r="Z554" t="n">
        <v>839</v>
      </c>
      <c r="AA554" t="n">
        <v>916</v>
      </c>
      <c r="AB554" t="n">
        <v>9</v>
      </c>
      <c r="AC554" t="n">
        <v>9</v>
      </c>
      <c r="AD554" t="n">
        <v>41</v>
      </c>
      <c r="AE554" t="n">
        <v>44</v>
      </c>
      <c r="AF554" t="n">
        <v>18</v>
      </c>
      <c r="AG554" t="n">
        <v>19</v>
      </c>
      <c r="AH554" t="n">
        <v>5</v>
      </c>
      <c r="AI554" t="n">
        <v>6</v>
      </c>
      <c r="AJ554" t="n">
        <v>17</v>
      </c>
      <c r="AK554" t="n">
        <v>19</v>
      </c>
      <c r="AL554" t="n">
        <v>8</v>
      </c>
      <c r="AM554" t="n">
        <v>8</v>
      </c>
      <c r="AN554" t="n">
        <v>0</v>
      </c>
      <c r="AO554" t="n">
        <v>0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HYPERLINK("http://catalog.hathitrust.org/Record/001026593","HathiTrust Record")</f>
        <v/>
      </c>
      <c r="AS554">
        <f>HYPERLINK("https://creighton-primo.hosted.exlibrisgroup.com/primo-explore/search?tab=default_tab&amp;search_scope=EVERYTHING&amp;vid=01CRU&amp;lang=en_US&amp;offset=0&amp;query=any,contains,991002131869702656","Catalog Record")</f>
        <v/>
      </c>
      <c r="AT554">
        <f>HYPERLINK("http://www.worldcat.org/oclc/270012","WorldCat Record")</f>
        <v/>
      </c>
      <c r="AU554" t="inlineStr">
        <is>
          <t>1396467:eng</t>
        </is>
      </c>
      <c r="AV554" t="inlineStr">
        <is>
          <t>270012</t>
        </is>
      </c>
      <c r="AW554" t="inlineStr">
        <is>
          <t>991002131869702656</t>
        </is>
      </c>
      <c r="AX554" t="inlineStr">
        <is>
          <t>991002131869702656</t>
        </is>
      </c>
      <c r="AY554" t="inlineStr">
        <is>
          <t>2263896370002656</t>
        </is>
      </c>
      <c r="AZ554" t="inlineStr">
        <is>
          <t>BOOK</t>
        </is>
      </c>
      <c r="BC554" t="inlineStr">
        <is>
          <t>32285001246494</t>
        </is>
      </c>
      <c r="BD554" t="inlineStr">
        <is>
          <t>893621947</t>
        </is>
      </c>
    </row>
    <row r="555">
      <c r="A555" t="inlineStr">
        <is>
          <t>No</t>
        </is>
      </c>
      <c r="B555" t="inlineStr">
        <is>
          <t>PS351 .B7 1962</t>
        </is>
      </c>
      <c r="C555" t="inlineStr">
        <is>
          <t>0                      PS 0351000B  7           1962</t>
        </is>
      </c>
      <c r="D555" t="inlineStr">
        <is>
          <t>American drama : contemporary allegory from Eugene O'Neill to Tennessee Williams / by Louis Broussard.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Broussard, Louis.</t>
        </is>
      </c>
      <c r="L555" t="inlineStr">
        <is>
          <t>Norman : University of Oklahoma Press, [1962]</t>
        </is>
      </c>
      <c r="M555" t="inlineStr">
        <is>
          <t>1962</t>
        </is>
      </c>
      <c r="N555" t="inlineStr">
        <is>
          <t>[1st ed.]</t>
        </is>
      </c>
      <c r="O555" t="inlineStr">
        <is>
          <t>eng</t>
        </is>
      </c>
      <c r="P555" t="inlineStr">
        <is>
          <t>oku</t>
        </is>
      </c>
      <c r="R555" t="inlineStr">
        <is>
          <t xml:space="preserve">PS </t>
        </is>
      </c>
      <c r="S555" t="n">
        <v>8</v>
      </c>
      <c r="T555" t="n">
        <v>8</v>
      </c>
      <c r="U555" t="inlineStr">
        <is>
          <t>1996-03-25</t>
        </is>
      </c>
      <c r="V555" t="inlineStr">
        <is>
          <t>1996-03-25</t>
        </is>
      </c>
      <c r="W555" t="inlineStr">
        <is>
          <t>1991-12-04</t>
        </is>
      </c>
      <c r="X555" t="inlineStr">
        <is>
          <t>1991-12-04</t>
        </is>
      </c>
      <c r="Y555" t="n">
        <v>1023</v>
      </c>
      <c r="Z555" t="n">
        <v>918</v>
      </c>
      <c r="AA555" t="n">
        <v>953</v>
      </c>
      <c r="AB555" t="n">
        <v>7</v>
      </c>
      <c r="AC555" t="n">
        <v>7</v>
      </c>
      <c r="AD555" t="n">
        <v>37</v>
      </c>
      <c r="AE555" t="n">
        <v>38</v>
      </c>
      <c r="AF555" t="n">
        <v>14</v>
      </c>
      <c r="AG555" t="n">
        <v>14</v>
      </c>
      <c r="AH555" t="n">
        <v>6</v>
      </c>
      <c r="AI555" t="n">
        <v>7</v>
      </c>
      <c r="AJ555" t="n">
        <v>18</v>
      </c>
      <c r="AK555" t="n">
        <v>19</v>
      </c>
      <c r="AL555" t="n">
        <v>6</v>
      </c>
      <c r="AM555" t="n">
        <v>6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HYPERLINK("http://catalog.hathitrust.org/Record/001026594","HathiTrust Record")</f>
        <v/>
      </c>
      <c r="AS555">
        <f>HYPERLINK("https://creighton-primo.hosted.exlibrisgroup.com/primo-explore/search?tab=default_tab&amp;search_scope=EVERYTHING&amp;vid=01CRU&amp;lang=en_US&amp;offset=0&amp;query=any,contains,991003428469702656","Catalog Record")</f>
        <v/>
      </c>
      <c r="AT555">
        <f>HYPERLINK("http://www.worldcat.org/oclc/965048","WorldCat Record")</f>
        <v/>
      </c>
      <c r="AU555" t="inlineStr">
        <is>
          <t>1918996:eng</t>
        </is>
      </c>
      <c r="AV555" t="inlineStr">
        <is>
          <t>965048</t>
        </is>
      </c>
      <c r="AW555" t="inlineStr">
        <is>
          <t>991003428469702656</t>
        </is>
      </c>
      <c r="AX555" t="inlineStr">
        <is>
          <t>991003428469702656</t>
        </is>
      </c>
      <c r="AY555" t="inlineStr">
        <is>
          <t>2258365070002656</t>
        </is>
      </c>
      <c r="AZ555" t="inlineStr">
        <is>
          <t>BOOK</t>
        </is>
      </c>
      <c r="BC555" t="inlineStr">
        <is>
          <t>32285000847581</t>
        </is>
      </c>
      <c r="BD555" t="inlineStr">
        <is>
          <t>893428776</t>
        </is>
      </c>
    </row>
    <row r="556">
      <c r="A556" t="inlineStr">
        <is>
          <t>No</t>
        </is>
      </c>
      <c r="B556" t="inlineStr">
        <is>
          <t>PS351 .C64</t>
        </is>
      </c>
      <c r="C556" t="inlineStr">
        <is>
          <t>0                      PS 0351000C  64</t>
        </is>
      </c>
      <c r="D556" t="inlineStr">
        <is>
          <t>New American dramatists, 1960-1980 / Ruby Cohn.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Cohn, Ruby.</t>
        </is>
      </c>
      <c r="L556" t="inlineStr">
        <is>
          <t>London : Macmillan Press, 1982.</t>
        </is>
      </c>
      <c r="M556" t="inlineStr">
        <is>
          <t>1982</t>
        </is>
      </c>
      <c r="O556" t="inlineStr">
        <is>
          <t>eng</t>
        </is>
      </c>
      <c r="P556" t="inlineStr">
        <is>
          <t>enk</t>
        </is>
      </c>
      <c r="Q556" t="inlineStr">
        <is>
          <t>Macmillan modern dramatists</t>
        </is>
      </c>
      <c r="R556" t="inlineStr">
        <is>
          <t xml:space="preserve">PS </t>
        </is>
      </c>
      <c r="S556" t="n">
        <v>3</v>
      </c>
      <c r="T556" t="n">
        <v>3</v>
      </c>
      <c r="U556" t="inlineStr">
        <is>
          <t>1995-01-26</t>
        </is>
      </c>
      <c r="V556" t="inlineStr">
        <is>
          <t>1995-01-26</t>
        </is>
      </c>
      <c r="W556" t="inlineStr">
        <is>
          <t>1992-08-26</t>
        </is>
      </c>
      <c r="X556" t="inlineStr">
        <is>
          <t>1992-08-26</t>
        </is>
      </c>
      <c r="Y556" t="n">
        <v>143</v>
      </c>
      <c r="Z556" t="n">
        <v>11</v>
      </c>
      <c r="AA556" t="n">
        <v>395</v>
      </c>
      <c r="AB556" t="n">
        <v>1</v>
      </c>
      <c r="AC556" t="n">
        <v>1</v>
      </c>
      <c r="AD556" t="n">
        <v>0</v>
      </c>
      <c r="AE556" t="n">
        <v>13</v>
      </c>
      <c r="AF556" t="n">
        <v>0</v>
      </c>
      <c r="AG556" t="n">
        <v>6</v>
      </c>
      <c r="AH556" t="n">
        <v>0</v>
      </c>
      <c r="AI556" t="n">
        <v>5</v>
      </c>
      <c r="AJ556" t="n">
        <v>0</v>
      </c>
      <c r="AK556" t="n">
        <v>7</v>
      </c>
      <c r="AL556" t="n">
        <v>0</v>
      </c>
      <c r="AM556" t="n">
        <v>0</v>
      </c>
      <c r="AN556" t="n">
        <v>0</v>
      </c>
      <c r="AO556" t="n">
        <v>0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HYPERLINK("https://creighton-primo.hosted.exlibrisgroup.com/primo-explore/search?tab=default_tab&amp;search_scope=EVERYTHING&amp;vid=01CRU&amp;lang=en_US&amp;offset=0&amp;query=any,contains,991000049389702656","Catalog Record")</f>
        <v/>
      </c>
      <c r="AT556">
        <f>HYPERLINK("http://www.worldcat.org/oclc/8678942","WorldCat Record")</f>
        <v/>
      </c>
      <c r="AU556" t="inlineStr">
        <is>
          <t>460987:eng</t>
        </is>
      </c>
      <c r="AV556" t="inlineStr">
        <is>
          <t>8678942</t>
        </is>
      </c>
      <c r="AW556" t="inlineStr">
        <is>
          <t>991000049389702656</t>
        </is>
      </c>
      <c r="AX556" t="inlineStr">
        <is>
          <t>991000049389702656</t>
        </is>
      </c>
      <c r="AY556" t="inlineStr">
        <is>
          <t>2256800750002656</t>
        </is>
      </c>
      <c r="AZ556" t="inlineStr">
        <is>
          <t>BOOK</t>
        </is>
      </c>
      <c r="BB556" t="inlineStr">
        <is>
          <t>9780333289143</t>
        </is>
      </c>
      <c r="BC556" t="inlineStr">
        <is>
          <t>32285001273118</t>
        </is>
      </c>
      <c r="BD556" t="inlineStr">
        <is>
          <t>893425358</t>
        </is>
      </c>
    </row>
    <row r="557">
      <c r="A557" t="inlineStr">
        <is>
          <t>No</t>
        </is>
      </c>
      <c r="B557" t="inlineStr">
        <is>
          <t>PS351 .D8 1984</t>
        </is>
      </c>
      <c r="C557" t="inlineStr">
        <is>
          <t>0                      PS 0351000D  8           1984</t>
        </is>
      </c>
      <c r="D557" t="inlineStr">
        <is>
          <t>American dramatists, 1918-1945 / Bernard F. Dukore.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Dukore, Bernard F., 1931-</t>
        </is>
      </c>
      <c r="L557" t="inlineStr">
        <is>
          <t>New York : Grove Press, 1984.</t>
        </is>
      </c>
      <c r="M557" t="inlineStr">
        <is>
          <t>1984</t>
        </is>
      </c>
      <c r="N557" t="inlineStr">
        <is>
          <t>1st Grove Press Hardcover ed.</t>
        </is>
      </c>
      <c r="O557" t="inlineStr">
        <is>
          <t>eng</t>
        </is>
      </c>
      <c r="P557" t="inlineStr">
        <is>
          <t>nyu</t>
        </is>
      </c>
      <c r="Q557" t="inlineStr">
        <is>
          <t>Grove Press modern dramatists</t>
        </is>
      </c>
      <c r="R557" t="inlineStr">
        <is>
          <t xml:space="preserve">PS </t>
        </is>
      </c>
      <c r="S557" t="n">
        <v>1</v>
      </c>
      <c r="T557" t="n">
        <v>1</v>
      </c>
      <c r="U557" t="inlineStr">
        <is>
          <t>1993-07-06</t>
        </is>
      </c>
      <c r="V557" t="inlineStr">
        <is>
          <t>1993-07-06</t>
        </is>
      </c>
      <c r="W557" t="inlineStr">
        <is>
          <t>1992-08-19</t>
        </is>
      </c>
      <c r="X557" t="inlineStr">
        <is>
          <t>1992-08-19</t>
        </is>
      </c>
      <c r="Y557" t="n">
        <v>257</v>
      </c>
      <c r="Z557" t="n">
        <v>231</v>
      </c>
      <c r="AA557" t="n">
        <v>262</v>
      </c>
      <c r="AB557" t="n">
        <v>3</v>
      </c>
      <c r="AC557" t="n">
        <v>3</v>
      </c>
      <c r="AD557" t="n">
        <v>10</v>
      </c>
      <c r="AE557" t="n">
        <v>13</v>
      </c>
      <c r="AF557" t="n">
        <v>3</v>
      </c>
      <c r="AG557" t="n">
        <v>5</v>
      </c>
      <c r="AH557" t="n">
        <v>2</v>
      </c>
      <c r="AI557" t="n">
        <v>2</v>
      </c>
      <c r="AJ557" t="n">
        <v>6</v>
      </c>
      <c r="AK557" t="n">
        <v>9</v>
      </c>
      <c r="AL557" t="n">
        <v>2</v>
      </c>
      <c r="AM557" t="n">
        <v>2</v>
      </c>
      <c r="AN557" t="n">
        <v>0</v>
      </c>
      <c r="AO557" t="n">
        <v>0</v>
      </c>
      <c r="AP557" t="inlineStr">
        <is>
          <t>No</t>
        </is>
      </c>
      <c r="AQ557" t="inlineStr">
        <is>
          <t>No</t>
        </is>
      </c>
      <c r="AS557">
        <f>HYPERLINK("https://creighton-primo.hosted.exlibrisgroup.com/primo-explore/search?tab=default_tab&amp;search_scope=EVERYTHING&amp;vid=01CRU&amp;lang=en_US&amp;offset=0&amp;query=any,contains,991000484419702656","Catalog Record")</f>
        <v/>
      </c>
      <c r="AT557">
        <f>HYPERLINK("http://www.worldcat.org/oclc/11068033","WorldCat Record")</f>
        <v/>
      </c>
      <c r="AU557" t="inlineStr">
        <is>
          <t>3838876:eng</t>
        </is>
      </c>
      <c r="AV557" t="inlineStr">
        <is>
          <t>11068033</t>
        </is>
      </c>
      <c r="AW557" t="inlineStr">
        <is>
          <t>991000484419702656</t>
        </is>
      </c>
      <c r="AX557" t="inlineStr">
        <is>
          <t>991000484419702656</t>
        </is>
      </c>
      <c r="AY557" t="inlineStr">
        <is>
          <t>2261685150002656</t>
        </is>
      </c>
      <c r="AZ557" t="inlineStr">
        <is>
          <t>BOOK</t>
        </is>
      </c>
      <c r="BB557" t="inlineStr">
        <is>
          <t>9780394623405</t>
        </is>
      </c>
      <c r="BC557" t="inlineStr">
        <is>
          <t>32285001246452</t>
        </is>
      </c>
      <c r="BD557" t="inlineStr">
        <is>
          <t>893865386</t>
        </is>
      </c>
    </row>
    <row r="558">
      <c r="A558" t="inlineStr">
        <is>
          <t>No</t>
        </is>
      </c>
      <c r="B558" t="inlineStr">
        <is>
          <t>PS351 .E8 1981</t>
        </is>
      </c>
      <c r="C558" t="inlineStr">
        <is>
          <t>0                      PS 0351000E  8           1981</t>
        </is>
      </c>
      <c r="D558" t="inlineStr">
        <is>
          <t>Essays on contemporary American drama / edited by Hedwig Bock and Albert Wertheim.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L558" t="inlineStr">
        <is>
          <t>Munich : M. Hueber, c1981.</t>
        </is>
      </c>
      <c r="M558" t="inlineStr">
        <is>
          <t>1981</t>
        </is>
      </c>
      <c r="O558" t="inlineStr">
        <is>
          <t>eng</t>
        </is>
      </c>
      <c r="P558" t="inlineStr">
        <is>
          <t xml:space="preserve">gw </t>
        </is>
      </c>
      <c r="R558" t="inlineStr">
        <is>
          <t xml:space="preserve">PS </t>
        </is>
      </c>
      <c r="S558" t="n">
        <v>5</v>
      </c>
      <c r="T558" t="n">
        <v>5</v>
      </c>
      <c r="U558" t="inlineStr">
        <is>
          <t>1994-03-13</t>
        </is>
      </c>
      <c r="V558" t="inlineStr">
        <is>
          <t>1994-03-13</t>
        </is>
      </c>
      <c r="W558" t="inlineStr">
        <is>
          <t>1991-12-13</t>
        </is>
      </c>
      <c r="X558" t="inlineStr">
        <is>
          <t>1991-12-13</t>
        </is>
      </c>
      <c r="Y558" t="n">
        <v>289</v>
      </c>
      <c r="Z558" t="n">
        <v>232</v>
      </c>
      <c r="AA558" t="n">
        <v>239</v>
      </c>
      <c r="AB558" t="n">
        <v>3</v>
      </c>
      <c r="AC558" t="n">
        <v>3</v>
      </c>
      <c r="AD558" t="n">
        <v>17</v>
      </c>
      <c r="AE558" t="n">
        <v>17</v>
      </c>
      <c r="AF558" t="n">
        <v>6</v>
      </c>
      <c r="AG558" t="n">
        <v>6</v>
      </c>
      <c r="AH558" t="n">
        <v>4</v>
      </c>
      <c r="AI558" t="n">
        <v>4</v>
      </c>
      <c r="AJ558" t="n">
        <v>10</v>
      </c>
      <c r="AK558" t="n">
        <v>10</v>
      </c>
      <c r="AL558" t="n">
        <v>2</v>
      </c>
      <c r="AM558" t="n">
        <v>2</v>
      </c>
      <c r="AN558" t="n">
        <v>0</v>
      </c>
      <c r="AO558" t="n">
        <v>0</v>
      </c>
      <c r="AP558" t="inlineStr">
        <is>
          <t>No</t>
        </is>
      </c>
      <c r="AQ558" t="inlineStr">
        <is>
          <t>Yes</t>
        </is>
      </c>
      <c r="AR558">
        <f>HYPERLINK("http://catalog.hathitrust.org/Record/000144523","HathiTrust Record")</f>
        <v/>
      </c>
      <c r="AS558">
        <f>HYPERLINK("https://creighton-primo.hosted.exlibrisgroup.com/primo-explore/search?tab=default_tab&amp;search_scope=EVERYTHING&amp;vid=01CRU&amp;lang=en_US&amp;offset=0&amp;query=any,contains,991000048339702656","Catalog Record")</f>
        <v/>
      </c>
      <c r="AT558">
        <f>HYPERLINK("http://www.worldcat.org/oclc/8670625","WorldCat Record")</f>
        <v/>
      </c>
      <c r="AU558" t="inlineStr">
        <is>
          <t>427589666:eng</t>
        </is>
      </c>
      <c r="AV558" t="inlineStr">
        <is>
          <t>8670625</t>
        </is>
      </c>
      <c r="AW558" t="inlineStr">
        <is>
          <t>991000048339702656</t>
        </is>
      </c>
      <c r="AX558" t="inlineStr">
        <is>
          <t>991000048339702656</t>
        </is>
      </c>
      <c r="AY558" t="inlineStr">
        <is>
          <t>2267371860002656</t>
        </is>
      </c>
      <c r="AZ558" t="inlineStr">
        <is>
          <t>BOOK</t>
        </is>
      </c>
      <c r="BB558" t="inlineStr">
        <is>
          <t>9783190022328</t>
        </is>
      </c>
      <c r="BC558" t="inlineStr">
        <is>
          <t>32285000901388</t>
        </is>
      </c>
      <c r="BD558" t="inlineStr">
        <is>
          <t>893508460</t>
        </is>
      </c>
    </row>
    <row r="559">
      <c r="A559" t="inlineStr">
        <is>
          <t>No</t>
        </is>
      </c>
      <c r="B559" t="inlineStr">
        <is>
          <t>PS351 .L4</t>
        </is>
      </c>
      <c r="C559" t="inlineStr">
        <is>
          <t>0                      PS 0351000L  4</t>
        </is>
      </c>
      <c r="D559" t="inlineStr">
        <is>
          <t>American plays and playwrights of the contemporary theatre.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Lewis, Allan.</t>
        </is>
      </c>
      <c r="L559" t="inlineStr">
        <is>
          <t>New York : Crown Publishers, [1965]</t>
        </is>
      </c>
      <c r="M559" t="inlineStr">
        <is>
          <t>1965</t>
        </is>
      </c>
      <c r="O559" t="inlineStr">
        <is>
          <t>eng</t>
        </is>
      </c>
      <c r="P559" t="inlineStr">
        <is>
          <t>nyu</t>
        </is>
      </c>
      <c r="R559" t="inlineStr">
        <is>
          <t xml:space="preserve">PS </t>
        </is>
      </c>
      <c r="S559" t="n">
        <v>5</v>
      </c>
      <c r="T559" t="n">
        <v>5</v>
      </c>
      <c r="U559" t="inlineStr">
        <is>
          <t>1994-03-13</t>
        </is>
      </c>
      <c r="V559" t="inlineStr">
        <is>
          <t>1994-03-13</t>
        </is>
      </c>
      <c r="W559" t="inlineStr">
        <is>
          <t>1991-07-31</t>
        </is>
      </c>
      <c r="X559" t="inlineStr">
        <is>
          <t>1991-07-31</t>
        </is>
      </c>
      <c r="Y559" t="n">
        <v>1163</v>
      </c>
      <c r="Z559" t="n">
        <v>1097</v>
      </c>
      <c r="AA559" t="n">
        <v>1179</v>
      </c>
      <c r="AB559" t="n">
        <v>5</v>
      </c>
      <c r="AC559" t="n">
        <v>5</v>
      </c>
      <c r="AD559" t="n">
        <v>30</v>
      </c>
      <c r="AE559" t="n">
        <v>31</v>
      </c>
      <c r="AF559" t="n">
        <v>16</v>
      </c>
      <c r="AG559" t="n">
        <v>17</v>
      </c>
      <c r="AH559" t="n">
        <v>4</v>
      </c>
      <c r="AI559" t="n">
        <v>4</v>
      </c>
      <c r="AJ559" t="n">
        <v>14</v>
      </c>
      <c r="AK559" t="n">
        <v>14</v>
      </c>
      <c r="AL559" t="n">
        <v>4</v>
      </c>
      <c r="AM559" t="n">
        <v>4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HYPERLINK("http://catalog.hathitrust.org/Record/001026601","HathiTrust Record")</f>
        <v/>
      </c>
      <c r="AS559">
        <f>HYPERLINK("https://creighton-primo.hosted.exlibrisgroup.com/primo-explore/search?tab=default_tab&amp;search_scope=EVERYTHING&amp;vid=01CRU&amp;lang=en_US&amp;offset=0&amp;query=any,contains,991001027689702656","Catalog Record")</f>
        <v/>
      </c>
      <c r="AT559">
        <f>HYPERLINK("http://www.worldcat.org/oclc/174898","WorldCat Record")</f>
        <v/>
      </c>
      <c r="AU559" t="inlineStr">
        <is>
          <t>4020065845:eng</t>
        </is>
      </c>
      <c r="AV559" t="inlineStr">
        <is>
          <t>174898</t>
        </is>
      </c>
      <c r="AW559" t="inlineStr">
        <is>
          <t>991001027689702656</t>
        </is>
      </c>
      <c r="AX559" t="inlineStr">
        <is>
          <t>991001027689702656</t>
        </is>
      </c>
      <c r="AY559" t="inlineStr">
        <is>
          <t>2266655100002656</t>
        </is>
      </c>
      <c r="AZ559" t="inlineStr">
        <is>
          <t>BOOK</t>
        </is>
      </c>
      <c r="BC559" t="inlineStr">
        <is>
          <t>32285000679901</t>
        </is>
      </c>
      <c r="BD559" t="inlineStr">
        <is>
          <t>893891245</t>
        </is>
      </c>
    </row>
    <row r="560">
      <c r="A560" t="inlineStr">
        <is>
          <t>No</t>
        </is>
      </c>
      <c r="B560" t="inlineStr">
        <is>
          <t>PS351 .M35</t>
        </is>
      </c>
      <c r="C560" t="inlineStr">
        <is>
          <t>0                      PS 0351000M  35</t>
        </is>
      </c>
      <c r="D560" t="inlineStr">
        <is>
          <t>American playwrights, a critical survey / Bonnie Marranca and Gautam Dasgupta.</t>
        </is>
      </c>
      <c r="E560" t="inlineStr">
        <is>
          <t>V.1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Marranca, Bonnie.</t>
        </is>
      </c>
      <c r="L560" t="inlineStr">
        <is>
          <t>New York : Drama Book Specialists, c1981-</t>
        </is>
      </c>
      <c r="M560" t="inlineStr">
        <is>
          <t>1980</t>
        </is>
      </c>
      <c r="O560" t="inlineStr">
        <is>
          <t>eng</t>
        </is>
      </c>
      <c r="P560" t="inlineStr">
        <is>
          <t>nyu</t>
        </is>
      </c>
      <c r="R560" t="inlineStr">
        <is>
          <t xml:space="preserve">PS </t>
        </is>
      </c>
      <c r="S560" t="n">
        <v>1</v>
      </c>
      <c r="T560" t="n">
        <v>1</v>
      </c>
      <c r="U560" t="inlineStr">
        <is>
          <t>1992-10-27</t>
        </is>
      </c>
      <c r="V560" t="inlineStr">
        <is>
          <t>1992-10-27</t>
        </is>
      </c>
      <c r="W560" t="inlineStr">
        <is>
          <t>1992-08-24</t>
        </is>
      </c>
      <c r="X560" t="inlineStr">
        <is>
          <t>1992-08-24</t>
        </is>
      </c>
      <c r="Y560" t="n">
        <v>752</v>
      </c>
      <c r="Z560" t="n">
        <v>690</v>
      </c>
      <c r="AA560" t="n">
        <v>718</v>
      </c>
      <c r="AB560" t="n">
        <v>9</v>
      </c>
      <c r="AC560" t="n">
        <v>9</v>
      </c>
      <c r="AD560" t="n">
        <v>36</v>
      </c>
      <c r="AE560" t="n">
        <v>37</v>
      </c>
      <c r="AF560" t="n">
        <v>15</v>
      </c>
      <c r="AG560" t="n">
        <v>15</v>
      </c>
      <c r="AH560" t="n">
        <v>6</v>
      </c>
      <c r="AI560" t="n">
        <v>7</v>
      </c>
      <c r="AJ560" t="n">
        <v>13</v>
      </c>
      <c r="AK560" t="n">
        <v>14</v>
      </c>
      <c r="AL560" t="n">
        <v>8</v>
      </c>
      <c r="AM560" t="n">
        <v>8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HYPERLINK("http://catalog.hathitrust.org/Record/000099266","HathiTrust Record")</f>
        <v/>
      </c>
      <c r="AS560">
        <f>HYPERLINK("https://creighton-primo.hosted.exlibrisgroup.com/primo-explore/search?tab=default_tab&amp;search_scope=EVERYTHING&amp;vid=01CRU&amp;lang=en_US&amp;offset=0&amp;query=any,contains,991004999539702656","Catalog Record")</f>
        <v/>
      </c>
      <c r="AT560">
        <f>HYPERLINK("http://www.worldcat.org/oclc/6533344","WorldCat Record")</f>
        <v/>
      </c>
      <c r="AU560" t="inlineStr">
        <is>
          <t>3858022206:eng</t>
        </is>
      </c>
      <c r="AV560" t="inlineStr">
        <is>
          <t>6533344</t>
        </is>
      </c>
      <c r="AW560" t="inlineStr">
        <is>
          <t>991004999539702656</t>
        </is>
      </c>
      <c r="AX560" t="inlineStr">
        <is>
          <t>991004999539702656</t>
        </is>
      </c>
      <c r="AY560" t="inlineStr">
        <is>
          <t>2263977660002656</t>
        </is>
      </c>
      <c r="AZ560" t="inlineStr">
        <is>
          <t>BOOK</t>
        </is>
      </c>
      <c r="BB560" t="inlineStr">
        <is>
          <t>9780896760479</t>
        </is>
      </c>
      <c r="BC560" t="inlineStr">
        <is>
          <t>32285001271203</t>
        </is>
      </c>
      <c r="BD560" t="inlineStr">
        <is>
          <t>893870360</t>
        </is>
      </c>
    </row>
    <row r="561">
      <c r="A561" t="inlineStr">
        <is>
          <t>No</t>
        </is>
      </c>
      <c r="B561" t="inlineStr">
        <is>
          <t>PS351 .P6</t>
        </is>
      </c>
      <c r="C561" t="inlineStr">
        <is>
          <t>0                      PS 0351000P  6</t>
        </is>
      </c>
      <c r="D561" t="inlineStr">
        <is>
          <t>Myth and modern American drama / by Thomas E. Porter.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Porter, Thomas E.</t>
        </is>
      </c>
      <c r="L561" t="inlineStr">
        <is>
          <t>Detroit : Wayne State University Press, 1969.</t>
        </is>
      </c>
      <c r="M561" t="inlineStr">
        <is>
          <t>1969</t>
        </is>
      </c>
      <c r="O561" t="inlineStr">
        <is>
          <t>eng</t>
        </is>
      </c>
      <c r="P561" t="inlineStr">
        <is>
          <t>miu</t>
        </is>
      </c>
      <c r="R561" t="inlineStr">
        <is>
          <t xml:space="preserve">PS </t>
        </is>
      </c>
      <c r="S561" t="n">
        <v>1</v>
      </c>
      <c r="T561" t="n">
        <v>1</v>
      </c>
      <c r="U561" t="inlineStr">
        <is>
          <t>1993-08-05</t>
        </is>
      </c>
      <c r="V561" t="inlineStr">
        <is>
          <t>1993-08-05</t>
        </is>
      </c>
      <c r="W561" t="inlineStr">
        <is>
          <t>1991-12-09</t>
        </is>
      </c>
      <c r="X561" t="inlineStr">
        <is>
          <t>1991-12-09</t>
        </is>
      </c>
      <c r="Y561" t="n">
        <v>1190</v>
      </c>
      <c r="Z561" t="n">
        <v>1034</v>
      </c>
      <c r="AA561" t="n">
        <v>1061</v>
      </c>
      <c r="AB561" t="n">
        <v>9</v>
      </c>
      <c r="AC561" t="n">
        <v>9</v>
      </c>
      <c r="AD561" t="n">
        <v>45</v>
      </c>
      <c r="AE561" t="n">
        <v>46</v>
      </c>
      <c r="AF561" t="n">
        <v>18</v>
      </c>
      <c r="AG561" t="n">
        <v>18</v>
      </c>
      <c r="AH561" t="n">
        <v>8</v>
      </c>
      <c r="AI561" t="n">
        <v>8</v>
      </c>
      <c r="AJ561" t="n">
        <v>20</v>
      </c>
      <c r="AK561" t="n">
        <v>21</v>
      </c>
      <c r="AL561" t="n">
        <v>8</v>
      </c>
      <c r="AM561" t="n">
        <v>8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HYPERLINK("http://catalog.hathitrust.org/Record/001026603","HathiTrust Record")</f>
        <v/>
      </c>
      <c r="AS561">
        <f>HYPERLINK("https://creighton-primo.hosted.exlibrisgroup.com/primo-explore/search?tab=default_tab&amp;search_scope=EVERYTHING&amp;vid=01CRU&amp;lang=en_US&amp;offset=0&amp;query=any,contains,991005432549702656","Catalog Record")</f>
        <v/>
      </c>
      <c r="AT561">
        <f>HYPERLINK("http://www.worldcat.org/oclc/1173","WorldCat Record")</f>
        <v/>
      </c>
      <c r="AU561" t="inlineStr">
        <is>
          <t>476017:eng</t>
        </is>
      </c>
      <c r="AV561" t="inlineStr">
        <is>
          <t>1173</t>
        </is>
      </c>
      <c r="AW561" t="inlineStr">
        <is>
          <t>991005432549702656</t>
        </is>
      </c>
      <c r="AX561" t="inlineStr">
        <is>
          <t>991005432549702656</t>
        </is>
      </c>
      <c r="AY561" t="inlineStr">
        <is>
          <t>2271518100002656</t>
        </is>
      </c>
      <c r="AZ561" t="inlineStr">
        <is>
          <t>BOOK</t>
        </is>
      </c>
      <c r="BC561" t="inlineStr">
        <is>
          <t>32285000847599</t>
        </is>
      </c>
      <c r="BD561" t="inlineStr">
        <is>
          <t>893871188</t>
        </is>
      </c>
    </row>
    <row r="562">
      <c r="A562" t="inlineStr">
        <is>
          <t>No</t>
        </is>
      </c>
      <c r="B562" t="inlineStr">
        <is>
          <t>PS351 .S5 1970</t>
        </is>
      </c>
      <c r="C562" t="inlineStr">
        <is>
          <t>0                      PS 0351000S  5           1970</t>
        </is>
      </c>
      <c r="D562" t="inlineStr">
        <is>
          <t>Freud on Broadway : a history of psychoanalysis and the American drama / [by] W. David Sievers.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Sievers, W. David (Wieder David), 1919-1966.</t>
        </is>
      </c>
      <c r="L562" t="inlineStr">
        <is>
          <t>New York : Cooper Square Publishers, 1970 [c1955]</t>
        </is>
      </c>
      <c r="M562" t="inlineStr">
        <is>
          <t>1970</t>
        </is>
      </c>
      <c r="O562" t="inlineStr">
        <is>
          <t>eng</t>
        </is>
      </c>
      <c r="P562" t="inlineStr">
        <is>
          <t>nyu</t>
        </is>
      </c>
      <c r="R562" t="inlineStr">
        <is>
          <t xml:space="preserve">PS </t>
        </is>
      </c>
      <c r="S562" t="n">
        <v>1</v>
      </c>
      <c r="T562" t="n">
        <v>1</v>
      </c>
      <c r="U562" t="inlineStr">
        <is>
          <t>2000-11-15</t>
        </is>
      </c>
      <c r="V562" t="inlineStr">
        <is>
          <t>2000-11-15</t>
        </is>
      </c>
      <c r="W562" t="inlineStr">
        <is>
          <t>1993-05-06</t>
        </is>
      </c>
      <c r="X562" t="inlineStr">
        <is>
          <t>1993-05-06</t>
        </is>
      </c>
      <c r="Y562" t="n">
        <v>314</v>
      </c>
      <c r="Z562" t="n">
        <v>281</v>
      </c>
      <c r="AA562" t="n">
        <v>693</v>
      </c>
      <c r="AB562" t="n">
        <v>3</v>
      </c>
      <c r="AC562" t="n">
        <v>5</v>
      </c>
      <c r="AD562" t="n">
        <v>11</v>
      </c>
      <c r="AE562" t="n">
        <v>28</v>
      </c>
      <c r="AF562" t="n">
        <v>6</v>
      </c>
      <c r="AG562" t="n">
        <v>11</v>
      </c>
      <c r="AH562" t="n">
        <v>3</v>
      </c>
      <c r="AI562" t="n">
        <v>8</v>
      </c>
      <c r="AJ562" t="n">
        <v>2</v>
      </c>
      <c r="AK562" t="n">
        <v>12</v>
      </c>
      <c r="AL562" t="n">
        <v>2</v>
      </c>
      <c r="AM562" t="n">
        <v>4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HYPERLINK("http://catalog.hathitrust.org/Record/004429138","HathiTrust Record")</f>
        <v/>
      </c>
      <c r="AS562">
        <f>HYPERLINK("https://creighton-primo.hosted.exlibrisgroup.com/primo-explore/search?tab=default_tab&amp;search_scope=EVERYTHING&amp;vid=01CRU&amp;lang=en_US&amp;offset=0&amp;query=any,contains,991000780199702656","Catalog Record")</f>
        <v/>
      </c>
      <c r="AT562">
        <f>HYPERLINK("http://www.worldcat.org/oclc/134572","WorldCat Record")</f>
        <v/>
      </c>
      <c r="AU562" t="inlineStr">
        <is>
          <t>477217:eng</t>
        </is>
      </c>
      <c r="AV562" t="inlineStr">
        <is>
          <t>134572</t>
        </is>
      </c>
      <c r="AW562" t="inlineStr">
        <is>
          <t>991000780199702656</t>
        </is>
      </c>
      <c r="AX562" t="inlineStr">
        <is>
          <t>991000780199702656</t>
        </is>
      </c>
      <c r="AY562" t="inlineStr">
        <is>
          <t>2260734220002656</t>
        </is>
      </c>
      <c r="AZ562" t="inlineStr">
        <is>
          <t>BOOK</t>
        </is>
      </c>
      <c r="BB562" t="inlineStr">
        <is>
          <t>9780815403661</t>
        </is>
      </c>
      <c r="BC562" t="inlineStr">
        <is>
          <t>32285001651172</t>
        </is>
      </c>
      <c r="BD562" t="inlineStr">
        <is>
          <t>893720794</t>
        </is>
      </c>
    </row>
    <row r="563">
      <c r="A563" t="inlineStr">
        <is>
          <t>No</t>
        </is>
      </c>
      <c r="B563" t="inlineStr">
        <is>
          <t>PS351 .S52</t>
        </is>
      </c>
      <c r="C563" t="inlineStr">
        <is>
          <t>0                      PS 0351000S  52</t>
        </is>
      </c>
      <c r="D563" t="inlineStr">
        <is>
          <t>American alternative theater / by Theodore Shank.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Shank, Theodore.</t>
        </is>
      </c>
      <c r="L563" t="inlineStr">
        <is>
          <t>New York : Grove Press, 1982.</t>
        </is>
      </c>
      <c r="M563" t="inlineStr">
        <is>
          <t>1982</t>
        </is>
      </c>
      <c r="O563" t="inlineStr">
        <is>
          <t>eng</t>
        </is>
      </c>
      <c r="P563" t="inlineStr">
        <is>
          <t>nyu</t>
        </is>
      </c>
      <c r="Q563" t="inlineStr">
        <is>
          <t>Grove Press modern dramatists</t>
        </is>
      </c>
      <c r="R563" t="inlineStr">
        <is>
          <t xml:space="preserve">PS </t>
        </is>
      </c>
      <c r="S563" t="n">
        <v>2</v>
      </c>
      <c r="T563" t="n">
        <v>2</v>
      </c>
      <c r="U563" t="inlineStr">
        <is>
          <t>1998-06-02</t>
        </is>
      </c>
      <c r="V563" t="inlineStr">
        <is>
          <t>1998-06-02</t>
        </is>
      </c>
      <c r="W563" t="inlineStr">
        <is>
          <t>1992-08-24</t>
        </is>
      </c>
      <c r="X563" t="inlineStr">
        <is>
          <t>1992-08-24</t>
        </is>
      </c>
      <c r="Y563" t="n">
        <v>365</v>
      </c>
      <c r="Z563" t="n">
        <v>327</v>
      </c>
      <c r="AA563" t="n">
        <v>603</v>
      </c>
      <c r="AB563" t="n">
        <v>1</v>
      </c>
      <c r="AC563" t="n">
        <v>5</v>
      </c>
      <c r="AD563" t="n">
        <v>11</v>
      </c>
      <c r="AE563" t="n">
        <v>26</v>
      </c>
      <c r="AF563" t="n">
        <v>7</v>
      </c>
      <c r="AG563" t="n">
        <v>12</v>
      </c>
      <c r="AH563" t="n">
        <v>3</v>
      </c>
      <c r="AI563" t="n">
        <v>7</v>
      </c>
      <c r="AJ563" t="n">
        <v>7</v>
      </c>
      <c r="AK563" t="n">
        <v>11</v>
      </c>
      <c r="AL563" t="n">
        <v>0</v>
      </c>
      <c r="AM563" t="n">
        <v>4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HYPERLINK("https://creighton-primo.hosted.exlibrisgroup.com/primo-explore/search?tab=default_tab&amp;search_scope=EVERYTHING&amp;vid=01CRU&amp;lang=en_US&amp;offset=0&amp;query=any,contains,991005241369702656","Catalog Record")</f>
        <v/>
      </c>
      <c r="AT563">
        <f>HYPERLINK("http://www.worldcat.org/oclc/8421329","WorldCat Record")</f>
        <v/>
      </c>
      <c r="AU563" t="inlineStr">
        <is>
          <t>16658553:eng</t>
        </is>
      </c>
      <c r="AV563" t="inlineStr">
        <is>
          <t>8421329</t>
        </is>
      </c>
      <c r="AW563" t="inlineStr">
        <is>
          <t>991005241369702656</t>
        </is>
      </c>
      <c r="AX563" t="inlineStr">
        <is>
          <t>991005241369702656</t>
        </is>
      </c>
      <c r="AY563" t="inlineStr">
        <is>
          <t>2255288810002656</t>
        </is>
      </c>
      <c r="AZ563" t="inlineStr">
        <is>
          <t>BOOK</t>
        </is>
      </c>
      <c r="BB563" t="inlineStr">
        <is>
          <t>9780394179636</t>
        </is>
      </c>
      <c r="BC563" t="inlineStr">
        <is>
          <t>32285001271211</t>
        </is>
      </c>
      <c r="BD563" t="inlineStr">
        <is>
          <t>893905331</t>
        </is>
      </c>
    </row>
    <row r="564">
      <c r="A564" t="inlineStr">
        <is>
          <t>No</t>
        </is>
      </c>
      <c r="B564" t="inlineStr">
        <is>
          <t>PS351 .V3</t>
        </is>
      </c>
      <c r="C564" t="inlineStr">
        <is>
          <t>0                      PS 0351000V  3</t>
        </is>
      </c>
      <c r="D564" t="inlineStr">
        <is>
          <t>Accelerated grimace : expressionism in the American drama of the 1920s / with a pref. by Harry T. Moore.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Valgemäe, Mardi.</t>
        </is>
      </c>
      <c r="L564" t="inlineStr">
        <is>
          <t>Carbondale : Southern Illinois University Press, [1972]</t>
        </is>
      </c>
      <c r="M564" t="inlineStr">
        <is>
          <t>1972</t>
        </is>
      </c>
      <c r="O564" t="inlineStr">
        <is>
          <t>eng</t>
        </is>
      </c>
      <c r="P564" t="inlineStr">
        <is>
          <t>ilu</t>
        </is>
      </c>
      <c r="Q564" t="inlineStr">
        <is>
          <t>Crosscurrents/modern critiques</t>
        </is>
      </c>
      <c r="R564" t="inlineStr">
        <is>
          <t xml:space="preserve">PS </t>
        </is>
      </c>
      <c r="S564" t="n">
        <v>4</v>
      </c>
      <c r="T564" t="n">
        <v>4</v>
      </c>
      <c r="U564" t="inlineStr">
        <is>
          <t>1996-03-25</t>
        </is>
      </c>
      <c r="V564" t="inlineStr">
        <is>
          <t>1996-03-25</t>
        </is>
      </c>
      <c r="W564" t="inlineStr">
        <is>
          <t>1992-08-19</t>
        </is>
      </c>
      <c r="X564" t="inlineStr">
        <is>
          <t>1992-08-19</t>
        </is>
      </c>
      <c r="Y564" t="n">
        <v>732</v>
      </c>
      <c r="Z564" t="n">
        <v>619</v>
      </c>
      <c r="AA564" t="n">
        <v>622</v>
      </c>
      <c r="AB564" t="n">
        <v>6</v>
      </c>
      <c r="AC564" t="n">
        <v>6</v>
      </c>
      <c r="AD564" t="n">
        <v>34</v>
      </c>
      <c r="AE564" t="n">
        <v>34</v>
      </c>
      <c r="AF564" t="n">
        <v>13</v>
      </c>
      <c r="AG564" t="n">
        <v>13</v>
      </c>
      <c r="AH564" t="n">
        <v>7</v>
      </c>
      <c r="AI564" t="n">
        <v>7</v>
      </c>
      <c r="AJ564" t="n">
        <v>17</v>
      </c>
      <c r="AK564" t="n">
        <v>17</v>
      </c>
      <c r="AL564" t="n">
        <v>5</v>
      </c>
      <c r="AM564" t="n">
        <v>5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HYPERLINK("http://catalog.hathitrust.org/Record/001374843","HathiTrust Record")</f>
        <v/>
      </c>
      <c r="AS564">
        <f>HYPERLINK("https://creighton-primo.hosted.exlibrisgroup.com/primo-explore/search?tab=default_tab&amp;search_scope=EVERYTHING&amp;vid=01CRU&amp;lang=en_US&amp;offset=0&amp;query=any,contains,991002192999702656","Catalog Record")</f>
        <v/>
      </c>
      <c r="AT564">
        <f>HYPERLINK("http://www.worldcat.org/oclc/281878","WorldCat Record")</f>
        <v/>
      </c>
      <c r="AU564" t="inlineStr">
        <is>
          <t>1434127:eng</t>
        </is>
      </c>
      <c r="AV564" t="inlineStr">
        <is>
          <t>281878</t>
        </is>
      </c>
      <c r="AW564" t="inlineStr">
        <is>
          <t>991002192999702656</t>
        </is>
      </c>
      <c r="AX564" t="inlineStr">
        <is>
          <t>991002192999702656</t>
        </is>
      </c>
      <c r="AY564" t="inlineStr">
        <is>
          <t>2264814750002656</t>
        </is>
      </c>
      <c r="AZ564" t="inlineStr">
        <is>
          <t>BOOK</t>
        </is>
      </c>
      <c r="BB564" t="inlineStr">
        <is>
          <t>9780809305438</t>
        </is>
      </c>
      <c r="BC564" t="inlineStr">
        <is>
          <t>32285001246437</t>
        </is>
      </c>
      <c r="BD564" t="inlineStr">
        <is>
          <t>893341140</t>
        </is>
      </c>
    </row>
    <row r="565">
      <c r="A565" t="inlineStr">
        <is>
          <t>No</t>
        </is>
      </c>
      <c r="B565" t="inlineStr">
        <is>
          <t>PS351 .W4</t>
        </is>
      </c>
      <c r="C565" t="inlineStr">
        <is>
          <t>0                      PS 0351000W  4</t>
        </is>
      </c>
      <c r="D565" t="inlineStr">
        <is>
          <t>American drama since World War II.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Weales, Gerald Clifford, 1925-</t>
        </is>
      </c>
      <c r="L565" t="inlineStr">
        <is>
          <t>New York : Harcourt, Brace &amp; World, [1962]</t>
        </is>
      </c>
      <c r="M565" t="inlineStr">
        <is>
          <t>1962</t>
        </is>
      </c>
      <c r="N565" t="inlineStr">
        <is>
          <t>[1st ed.]</t>
        </is>
      </c>
      <c r="O565" t="inlineStr">
        <is>
          <t>eng</t>
        </is>
      </c>
      <c r="P565" t="inlineStr">
        <is>
          <t>nyu</t>
        </is>
      </c>
      <c r="R565" t="inlineStr">
        <is>
          <t xml:space="preserve">PS </t>
        </is>
      </c>
      <c r="S565" t="n">
        <v>5</v>
      </c>
      <c r="T565" t="n">
        <v>5</v>
      </c>
      <c r="U565" t="inlineStr">
        <is>
          <t>1994-03-13</t>
        </is>
      </c>
      <c r="V565" t="inlineStr">
        <is>
          <t>1994-03-13</t>
        </is>
      </c>
      <c r="W565" t="inlineStr">
        <is>
          <t>1992-08-19</t>
        </is>
      </c>
      <c r="X565" t="inlineStr">
        <is>
          <t>1992-08-19</t>
        </is>
      </c>
      <c r="Y565" t="n">
        <v>1324</v>
      </c>
      <c r="Z565" t="n">
        <v>1193</v>
      </c>
      <c r="AA565" t="n">
        <v>1208</v>
      </c>
      <c r="AB565" t="n">
        <v>12</v>
      </c>
      <c r="AC565" t="n">
        <v>12</v>
      </c>
      <c r="AD565" t="n">
        <v>45</v>
      </c>
      <c r="AE565" t="n">
        <v>45</v>
      </c>
      <c r="AF565" t="n">
        <v>17</v>
      </c>
      <c r="AG565" t="n">
        <v>17</v>
      </c>
      <c r="AH565" t="n">
        <v>8</v>
      </c>
      <c r="AI565" t="n">
        <v>8</v>
      </c>
      <c r="AJ565" t="n">
        <v>21</v>
      </c>
      <c r="AK565" t="n">
        <v>21</v>
      </c>
      <c r="AL565" t="n">
        <v>10</v>
      </c>
      <c r="AM565" t="n">
        <v>10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HYPERLINK("http://catalog.hathitrust.org/Record/001026604","HathiTrust Record")</f>
        <v/>
      </c>
      <c r="AS565">
        <f>HYPERLINK("https://creighton-primo.hosted.exlibrisgroup.com/primo-explore/search?tab=default_tab&amp;search_scope=EVERYTHING&amp;vid=01CRU&amp;lang=en_US&amp;offset=0&amp;query=any,contains,991002131829702656","Catalog Record")</f>
        <v/>
      </c>
      <c r="AT565">
        <f>HYPERLINK("http://www.worldcat.org/oclc/269999","WorldCat Record")</f>
        <v/>
      </c>
      <c r="AU565" t="inlineStr">
        <is>
          <t>1396427:eng</t>
        </is>
      </c>
      <c r="AV565" t="inlineStr">
        <is>
          <t>269999</t>
        </is>
      </c>
      <c r="AW565" t="inlineStr">
        <is>
          <t>991002131829702656</t>
        </is>
      </c>
      <c r="AX565" t="inlineStr">
        <is>
          <t>991002131829702656</t>
        </is>
      </c>
      <c r="AY565" t="inlineStr">
        <is>
          <t>2267551860002656</t>
        </is>
      </c>
      <c r="AZ565" t="inlineStr">
        <is>
          <t>BOOK</t>
        </is>
      </c>
      <c r="BC565" t="inlineStr">
        <is>
          <t>32285001246429</t>
        </is>
      </c>
      <c r="BD565" t="inlineStr">
        <is>
          <t>893427235</t>
        </is>
      </c>
    </row>
    <row r="566">
      <c r="A566" t="inlineStr">
        <is>
          <t>No</t>
        </is>
      </c>
      <c r="B566" t="inlineStr">
        <is>
          <t>PS351.B615 R66 1996</t>
        </is>
      </c>
      <c r="C566" t="inlineStr">
        <is>
          <t>0                      PS 0351000B  615                R  66          1996</t>
        </is>
      </c>
      <c r="D566" t="inlineStr">
        <is>
          <t>The romance reader / Pearl Abraham.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Abraham, Pearl, 1960-</t>
        </is>
      </c>
      <c r="L566" t="inlineStr">
        <is>
          <t>New York : Riverhead Books, 1996.</t>
        </is>
      </c>
      <c r="M566" t="inlineStr">
        <is>
          <t>1996</t>
        </is>
      </c>
      <c r="N566" t="inlineStr">
        <is>
          <t>Riverhead trade paperback edition</t>
        </is>
      </c>
      <c r="O566" t="inlineStr">
        <is>
          <t>eng</t>
        </is>
      </c>
      <c r="P566" t="inlineStr">
        <is>
          <t>nyu</t>
        </is>
      </c>
      <c r="R566" t="inlineStr">
        <is>
          <t xml:space="preserve">PS </t>
        </is>
      </c>
      <c r="S566" t="n">
        <v>3</v>
      </c>
      <c r="T566" t="n">
        <v>3</v>
      </c>
      <c r="U566" t="inlineStr">
        <is>
          <t>2002-12-04</t>
        </is>
      </c>
      <c r="V566" t="inlineStr">
        <is>
          <t>2002-12-04</t>
        </is>
      </c>
      <c r="W566" t="inlineStr">
        <is>
          <t>1997-02-04</t>
        </is>
      </c>
      <c r="X566" t="inlineStr">
        <is>
          <t>1997-02-04</t>
        </is>
      </c>
      <c r="Y566" t="n">
        <v>161</v>
      </c>
      <c r="Z566" t="n">
        <v>150</v>
      </c>
      <c r="AA566" t="n">
        <v>739</v>
      </c>
      <c r="AB566" t="n">
        <v>1</v>
      </c>
      <c r="AC566" t="n">
        <v>2</v>
      </c>
      <c r="AD566" t="n">
        <v>1</v>
      </c>
      <c r="AE566" t="n">
        <v>6</v>
      </c>
      <c r="AF566" t="n">
        <v>1</v>
      </c>
      <c r="AG566" t="n">
        <v>3</v>
      </c>
      <c r="AH566" t="n">
        <v>0</v>
      </c>
      <c r="AI566" t="n">
        <v>1</v>
      </c>
      <c r="AJ566" t="n">
        <v>1</v>
      </c>
      <c r="AK566" t="n">
        <v>6</v>
      </c>
      <c r="AL566" t="n">
        <v>0</v>
      </c>
      <c r="AM566" t="n">
        <v>0</v>
      </c>
      <c r="AN566" t="n">
        <v>0</v>
      </c>
      <c r="AO566" t="n">
        <v>0</v>
      </c>
      <c r="AP566" t="inlineStr">
        <is>
          <t>No</t>
        </is>
      </c>
      <c r="AQ566" t="inlineStr">
        <is>
          <t>No</t>
        </is>
      </c>
      <c r="AS566">
        <f>HYPERLINK("https://creighton-primo.hosted.exlibrisgroup.com/primo-explore/search?tab=default_tab&amp;search_scope=EVERYTHING&amp;vid=01CRU&amp;lang=en_US&amp;offset=0&amp;query=any,contains,991002731149702656","Catalog Record")</f>
        <v/>
      </c>
      <c r="AT566">
        <f>HYPERLINK("http://www.worldcat.org/oclc/35824635","WorldCat Record")</f>
        <v/>
      </c>
      <c r="AU566" t="inlineStr">
        <is>
          <t>18904871:eng</t>
        </is>
      </c>
      <c r="AV566" t="inlineStr">
        <is>
          <t>35824635</t>
        </is>
      </c>
      <c r="AW566" t="inlineStr">
        <is>
          <t>991002731149702656</t>
        </is>
      </c>
      <c r="AX566" t="inlineStr">
        <is>
          <t>991002731149702656</t>
        </is>
      </c>
      <c r="AY566" t="inlineStr">
        <is>
          <t>2259842330002656</t>
        </is>
      </c>
      <c r="AZ566" t="inlineStr">
        <is>
          <t>BOOK</t>
        </is>
      </c>
      <c r="BB566" t="inlineStr">
        <is>
          <t>9781573225489</t>
        </is>
      </c>
      <c r="BC566" t="inlineStr">
        <is>
          <t>32285002413788</t>
        </is>
      </c>
      <c r="BD566" t="inlineStr">
        <is>
          <t>893317182</t>
        </is>
      </c>
    </row>
    <row r="567">
      <c r="A567" t="inlineStr">
        <is>
          <t>No</t>
        </is>
      </c>
      <c r="B567" t="inlineStr">
        <is>
          <t>PS3511.A738 Z62</t>
        </is>
      </c>
      <c r="C567" t="inlineStr">
        <is>
          <t>0                      PS 3511000A  738                Z  62</t>
        </is>
      </c>
      <c r="D567" t="inlineStr">
        <is>
          <t>James T. Farrell / by Edgar M. Branch.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Branch, Edgar Marquess, 1913-2006.</t>
        </is>
      </c>
      <c r="L567" t="inlineStr">
        <is>
          <t>New York : Twayne Publishers, [1971]</t>
        </is>
      </c>
      <c r="M567" t="inlineStr">
        <is>
          <t>1971</t>
        </is>
      </c>
      <c r="O567" t="inlineStr">
        <is>
          <t>eng</t>
        </is>
      </c>
      <c r="P567" t="inlineStr">
        <is>
          <t>nyu</t>
        </is>
      </c>
      <c r="Q567" t="inlineStr">
        <is>
          <t>Twayne's United States authors series, 185</t>
        </is>
      </c>
      <c r="R567" t="inlineStr">
        <is>
          <t xml:space="preserve">PS </t>
        </is>
      </c>
      <c r="S567" t="n">
        <v>6</v>
      </c>
      <c r="T567" t="n">
        <v>6</v>
      </c>
      <c r="U567" t="inlineStr">
        <is>
          <t>1996-02-26</t>
        </is>
      </c>
      <c r="V567" t="inlineStr">
        <is>
          <t>1996-02-26</t>
        </is>
      </c>
      <c r="W567" t="inlineStr">
        <is>
          <t>1993-04-01</t>
        </is>
      </c>
      <c r="X567" t="inlineStr">
        <is>
          <t>1993-04-01</t>
        </is>
      </c>
      <c r="Y567" t="n">
        <v>718</v>
      </c>
      <c r="Z567" t="n">
        <v>661</v>
      </c>
      <c r="AA567" t="n">
        <v>677</v>
      </c>
      <c r="AB567" t="n">
        <v>6</v>
      </c>
      <c r="AC567" t="n">
        <v>6</v>
      </c>
      <c r="AD567" t="n">
        <v>31</v>
      </c>
      <c r="AE567" t="n">
        <v>33</v>
      </c>
      <c r="AF567" t="n">
        <v>11</v>
      </c>
      <c r="AG567" t="n">
        <v>12</v>
      </c>
      <c r="AH567" t="n">
        <v>6</v>
      </c>
      <c r="AI567" t="n">
        <v>7</v>
      </c>
      <c r="AJ567" t="n">
        <v>16</v>
      </c>
      <c r="AK567" t="n">
        <v>16</v>
      </c>
      <c r="AL567" t="n">
        <v>5</v>
      </c>
      <c r="AM567" t="n">
        <v>5</v>
      </c>
      <c r="AN567" t="n">
        <v>0</v>
      </c>
      <c r="AO567" t="n">
        <v>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HYPERLINK("http://catalog.hathitrust.org/Record/000388194","HathiTrust Record")</f>
        <v/>
      </c>
      <c r="AS567">
        <f>HYPERLINK("https://creighton-primo.hosted.exlibrisgroup.com/primo-explore/search?tab=default_tab&amp;search_scope=EVERYTHING&amp;vid=01CRU&amp;lang=en_US&amp;offset=0&amp;query=any,contains,991000841289702656","Catalog Record")</f>
        <v/>
      </c>
      <c r="AT567">
        <f>HYPERLINK("http://www.worldcat.org/oclc/148694","WorldCat Record")</f>
        <v/>
      </c>
      <c r="AU567" t="inlineStr">
        <is>
          <t>10567872668:eng</t>
        </is>
      </c>
      <c r="AV567" t="inlineStr">
        <is>
          <t>148694</t>
        </is>
      </c>
      <c r="AW567" t="inlineStr">
        <is>
          <t>991000841289702656</t>
        </is>
      </c>
      <c r="AX567" t="inlineStr">
        <is>
          <t>991000841289702656</t>
        </is>
      </c>
      <c r="AY567" t="inlineStr">
        <is>
          <t>2260229990002656</t>
        </is>
      </c>
      <c r="AZ567" t="inlineStr">
        <is>
          <t>BOOK</t>
        </is>
      </c>
      <c r="BC567" t="inlineStr">
        <is>
          <t>32285001596880</t>
        </is>
      </c>
      <c r="BD567" t="inlineStr">
        <is>
          <t>893255784</t>
        </is>
      </c>
    </row>
    <row r="568">
      <c r="A568" t="inlineStr">
        <is>
          <t>No</t>
        </is>
      </c>
      <c r="B568" t="inlineStr">
        <is>
          <t>PS3511.A86 A6765 1989</t>
        </is>
      </c>
      <c r="C568" t="inlineStr">
        <is>
          <t>0                      PS 3511000A  86                 A  6765        1989</t>
        </is>
      </c>
      <c r="D568" t="inlineStr">
        <is>
          <t>Absalom, Absalom! : a concordance to the novel / edited by Noel Polk and John D. Hart.</t>
        </is>
      </c>
      <c r="E568" t="inlineStr">
        <is>
          <t>V.1</t>
        </is>
      </c>
      <c r="F568" t="inlineStr">
        <is>
          <t>Yes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K568" t="inlineStr">
        <is>
          <t>Polk, Noel.</t>
        </is>
      </c>
      <c r="L568" t="inlineStr">
        <is>
          <t>West Point, N.Y. : Faulkner Concordance Advisory Board ; Ann Arbor, MI : UMI Research Press, 1989.</t>
        </is>
      </c>
      <c r="M568" t="inlineStr">
        <is>
          <t>1989</t>
        </is>
      </c>
      <c r="O568" t="inlineStr">
        <is>
          <t>eng</t>
        </is>
      </c>
      <c r="P568" t="inlineStr">
        <is>
          <t>nyu</t>
        </is>
      </c>
      <c r="Q568" t="inlineStr">
        <is>
          <t>The Faulkner concordances ; 11</t>
        </is>
      </c>
      <c r="R568" t="inlineStr">
        <is>
          <t xml:space="preserve">PS </t>
        </is>
      </c>
      <c r="S568" t="n">
        <v>0</v>
      </c>
      <c r="T568" t="n">
        <v>2</v>
      </c>
      <c r="V568" t="inlineStr">
        <is>
          <t>1994-04-11</t>
        </is>
      </c>
      <c r="W568" t="inlineStr">
        <is>
          <t>1990-11-07</t>
        </is>
      </c>
      <c r="X568" t="inlineStr">
        <is>
          <t>1990-11-07</t>
        </is>
      </c>
      <c r="Y568" t="n">
        <v>96</v>
      </c>
      <c r="Z568" t="n">
        <v>76</v>
      </c>
      <c r="AA568" t="n">
        <v>82</v>
      </c>
      <c r="AB568" t="n">
        <v>1</v>
      </c>
      <c r="AC568" t="n">
        <v>1</v>
      </c>
      <c r="AD568" t="n">
        <v>4</v>
      </c>
      <c r="AE568" t="n">
        <v>4</v>
      </c>
      <c r="AF568" t="n">
        <v>1</v>
      </c>
      <c r="AG568" t="n">
        <v>1</v>
      </c>
      <c r="AH568" t="n">
        <v>1</v>
      </c>
      <c r="AI568" t="n">
        <v>1</v>
      </c>
      <c r="AJ568" t="n">
        <v>3</v>
      </c>
      <c r="AK568" t="n">
        <v>3</v>
      </c>
      <c r="AL568" t="n">
        <v>0</v>
      </c>
      <c r="AM568" t="n">
        <v>0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HYPERLINK("https://creighton-primo.hosted.exlibrisgroup.com/primo-explore/search?tab=default_tab&amp;search_scope=EVERYTHING&amp;vid=01CRU&amp;lang=en_US&amp;offset=0&amp;query=any,contains,991001483429702656","Catalog Record")</f>
        <v/>
      </c>
      <c r="AT568">
        <f>HYPERLINK("http://www.worldcat.org/oclc/19629602","WorldCat Record")</f>
        <v/>
      </c>
      <c r="AU568" t="inlineStr">
        <is>
          <t>3372328038:eng</t>
        </is>
      </c>
      <c r="AV568" t="inlineStr">
        <is>
          <t>19629602</t>
        </is>
      </c>
      <c r="AW568" t="inlineStr">
        <is>
          <t>991001483429702656</t>
        </is>
      </c>
      <c r="AX568" t="inlineStr">
        <is>
          <t>991001483429702656</t>
        </is>
      </c>
      <c r="AY568" t="inlineStr">
        <is>
          <t>2262737000002656</t>
        </is>
      </c>
      <c r="AZ568" t="inlineStr">
        <is>
          <t>BOOK</t>
        </is>
      </c>
      <c r="BB568" t="inlineStr">
        <is>
          <t>9780835708654</t>
        </is>
      </c>
      <c r="BC568" t="inlineStr">
        <is>
          <t>32285000377407</t>
        </is>
      </c>
      <c r="BD568" t="inlineStr">
        <is>
          <t>893439167</t>
        </is>
      </c>
    </row>
    <row r="569">
      <c r="A569" t="inlineStr">
        <is>
          <t>No</t>
        </is>
      </c>
      <c r="B569" t="inlineStr">
        <is>
          <t>PS3511.A86 A6765 1989</t>
        </is>
      </c>
      <c r="C569" t="inlineStr">
        <is>
          <t>0                      PS 3511000A  86                 A  6765        1989</t>
        </is>
      </c>
      <c r="D569" t="inlineStr">
        <is>
          <t>Absalom, Absalom! : a concordance to the novel / edited by Noel Polk and John D. Hart.</t>
        </is>
      </c>
      <c r="E569" t="inlineStr">
        <is>
          <t>V.2</t>
        </is>
      </c>
      <c r="F569" t="inlineStr">
        <is>
          <t>Yes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Polk, Noel.</t>
        </is>
      </c>
      <c r="L569" t="inlineStr">
        <is>
          <t>West Point, N.Y. : Faulkner Concordance Advisory Board ; Ann Arbor, MI : UMI Research Press, 1989.</t>
        </is>
      </c>
      <c r="M569" t="inlineStr">
        <is>
          <t>1989</t>
        </is>
      </c>
      <c r="O569" t="inlineStr">
        <is>
          <t>eng</t>
        </is>
      </c>
      <c r="P569" t="inlineStr">
        <is>
          <t>nyu</t>
        </is>
      </c>
      <c r="Q569" t="inlineStr">
        <is>
          <t>The Faulkner concordances ; 11</t>
        </is>
      </c>
      <c r="R569" t="inlineStr">
        <is>
          <t xml:space="preserve">PS </t>
        </is>
      </c>
      <c r="S569" t="n">
        <v>2</v>
      </c>
      <c r="T569" t="n">
        <v>2</v>
      </c>
      <c r="U569" t="inlineStr">
        <is>
          <t>1994-04-11</t>
        </is>
      </c>
      <c r="V569" t="inlineStr">
        <is>
          <t>1994-04-11</t>
        </is>
      </c>
      <c r="W569" t="inlineStr">
        <is>
          <t>1990-02-19</t>
        </is>
      </c>
      <c r="X569" t="inlineStr">
        <is>
          <t>1990-11-07</t>
        </is>
      </c>
      <c r="Y569" t="n">
        <v>96</v>
      </c>
      <c r="Z569" t="n">
        <v>76</v>
      </c>
      <c r="AA569" t="n">
        <v>82</v>
      </c>
      <c r="AB569" t="n">
        <v>1</v>
      </c>
      <c r="AC569" t="n">
        <v>1</v>
      </c>
      <c r="AD569" t="n">
        <v>4</v>
      </c>
      <c r="AE569" t="n">
        <v>4</v>
      </c>
      <c r="AF569" t="n">
        <v>1</v>
      </c>
      <c r="AG569" t="n">
        <v>1</v>
      </c>
      <c r="AH569" t="n">
        <v>1</v>
      </c>
      <c r="AI569" t="n">
        <v>1</v>
      </c>
      <c r="AJ569" t="n">
        <v>3</v>
      </c>
      <c r="AK569" t="n">
        <v>3</v>
      </c>
      <c r="AL569" t="n">
        <v>0</v>
      </c>
      <c r="AM569" t="n">
        <v>0</v>
      </c>
      <c r="AN569" t="n">
        <v>0</v>
      </c>
      <c r="AO569" t="n">
        <v>0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HYPERLINK("https://creighton-primo.hosted.exlibrisgroup.com/primo-explore/search?tab=default_tab&amp;search_scope=EVERYTHING&amp;vid=01CRU&amp;lang=en_US&amp;offset=0&amp;query=any,contains,991001483429702656","Catalog Record")</f>
        <v/>
      </c>
      <c r="AT569">
        <f>HYPERLINK("http://www.worldcat.org/oclc/19629602","WorldCat Record")</f>
        <v/>
      </c>
      <c r="AU569" t="inlineStr">
        <is>
          <t>3372328038:eng</t>
        </is>
      </c>
      <c r="AV569" t="inlineStr">
        <is>
          <t>19629602</t>
        </is>
      </c>
      <c r="AW569" t="inlineStr">
        <is>
          <t>991001483429702656</t>
        </is>
      </c>
      <c r="AX569" t="inlineStr">
        <is>
          <t>991001483429702656</t>
        </is>
      </c>
      <c r="AY569" t="inlineStr">
        <is>
          <t>2262737000002656</t>
        </is>
      </c>
      <c r="AZ569" t="inlineStr">
        <is>
          <t>BOOK</t>
        </is>
      </c>
      <c r="BB569" t="inlineStr">
        <is>
          <t>9780835708654</t>
        </is>
      </c>
      <c r="BC569" t="inlineStr">
        <is>
          <t>32285000055110</t>
        </is>
      </c>
      <c r="BD569" t="inlineStr">
        <is>
          <t>893420362</t>
        </is>
      </c>
    </row>
    <row r="570">
      <c r="A570" t="inlineStr">
        <is>
          <t>No</t>
        </is>
      </c>
      <c r="B570" t="inlineStr">
        <is>
          <t>PS3511.A86 A868</t>
        </is>
      </c>
      <c r="C570" t="inlineStr">
        <is>
          <t>0                      PS 3511000A  86                 A  868</t>
        </is>
      </c>
      <c r="D570" t="inlineStr">
        <is>
          <t>A Jungian psychoanalytic interpretation of William Faulkner's As I lay dying / Dixie M. Turner.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Turner, Dixie M.</t>
        </is>
      </c>
      <c r="L570" t="inlineStr">
        <is>
          <t>Washington : University Press of America, c1981.</t>
        </is>
      </c>
      <c r="M570" t="inlineStr">
        <is>
          <t>1981</t>
        </is>
      </c>
      <c r="O570" t="inlineStr">
        <is>
          <t>eng</t>
        </is>
      </c>
      <c r="P570" t="inlineStr">
        <is>
          <t>dcu</t>
        </is>
      </c>
      <c r="R570" t="inlineStr">
        <is>
          <t xml:space="preserve">PS </t>
        </is>
      </c>
      <c r="S570" t="n">
        <v>8</v>
      </c>
      <c r="T570" t="n">
        <v>8</v>
      </c>
      <c r="U570" t="inlineStr">
        <is>
          <t>1995-11-01</t>
        </is>
      </c>
      <c r="V570" t="inlineStr">
        <is>
          <t>1995-11-01</t>
        </is>
      </c>
      <c r="W570" t="inlineStr">
        <is>
          <t>1991-01-08</t>
        </is>
      </c>
      <c r="X570" t="inlineStr">
        <is>
          <t>1991-01-08</t>
        </is>
      </c>
      <c r="Y570" t="n">
        <v>196</v>
      </c>
      <c r="Z570" t="n">
        <v>165</v>
      </c>
      <c r="AA570" t="n">
        <v>168</v>
      </c>
      <c r="AB570" t="n">
        <v>3</v>
      </c>
      <c r="AC570" t="n">
        <v>3</v>
      </c>
      <c r="AD570" t="n">
        <v>10</v>
      </c>
      <c r="AE570" t="n">
        <v>10</v>
      </c>
      <c r="AF570" t="n">
        <v>3</v>
      </c>
      <c r="AG570" t="n">
        <v>3</v>
      </c>
      <c r="AH570" t="n">
        <v>2</v>
      </c>
      <c r="AI570" t="n">
        <v>2</v>
      </c>
      <c r="AJ570" t="n">
        <v>7</v>
      </c>
      <c r="AK570" t="n">
        <v>7</v>
      </c>
      <c r="AL570" t="n">
        <v>2</v>
      </c>
      <c r="AM570" t="n">
        <v>2</v>
      </c>
      <c r="AN570" t="n">
        <v>0</v>
      </c>
      <c r="AO570" t="n">
        <v>0</v>
      </c>
      <c r="AP570" t="inlineStr">
        <is>
          <t>No</t>
        </is>
      </c>
      <c r="AQ570" t="inlineStr">
        <is>
          <t>Yes</t>
        </is>
      </c>
      <c r="AR570">
        <f>HYPERLINK("http://catalog.hathitrust.org/Record/000227139","HathiTrust Record")</f>
        <v/>
      </c>
      <c r="AS570">
        <f>HYPERLINK("https://creighton-primo.hosted.exlibrisgroup.com/primo-explore/search?tab=default_tab&amp;search_scope=EVERYTHING&amp;vid=01CRU&amp;lang=en_US&amp;offset=0&amp;query=any,contains,991005088079702656","Catalog Record")</f>
        <v/>
      </c>
      <c r="AT570">
        <f>HYPERLINK("http://www.worldcat.org/oclc/7197807","WorldCat Record")</f>
        <v/>
      </c>
      <c r="AU570" t="inlineStr">
        <is>
          <t>15825554:eng</t>
        </is>
      </c>
      <c r="AV570" t="inlineStr">
        <is>
          <t>7197807</t>
        </is>
      </c>
      <c r="AW570" t="inlineStr">
        <is>
          <t>991005088079702656</t>
        </is>
      </c>
      <c r="AX570" t="inlineStr">
        <is>
          <t>991005088079702656</t>
        </is>
      </c>
      <c r="AY570" t="inlineStr">
        <is>
          <t>2256947910002656</t>
        </is>
      </c>
      <c r="AZ570" t="inlineStr">
        <is>
          <t>BOOK</t>
        </is>
      </c>
      <c r="BB570" t="inlineStr">
        <is>
          <t>9780819114518</t>
        </is>
      </c>
      <c r="BC570" t="inlineStr">
        <is>
          <t>32285000454875</t>
        </is>
      </c>
      <c r="BD570" t="inlineStr">
        <is>
          <t>893526875</t>
        </is>
      </c>
    </row>
    <row r="571">
      <c r="A571" t="inlineStr">
        <is>
          <t>No</t>
        </is>
      </c>
      <c r="B571" t="inlineStr">
        <is>
          <t>PS3511.A86 G6375 1996</t>
        </is>
      </c>
      <c r="C571" t="inlineStr">
        <is>
          <t>0                      PS 3511000A  86                 G  6375        1996</t>
        </is>
      </c>
      <c r="D571" t="inlineStr">
        <is>
          <t>New essays on Go down, Moses / edited by Linda Wagner-Martin.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L571" t="inlineStr">
        <is>
          <t>Cambridge [England] ; New York : Cambridge University Press, 1996.</t>
        </is>
      </c>
      <c r="M571" t="inlineStr">
        <is>
          <t>1996</t>
        </is>
      </c>
      <c r="O571" t="inlineStr">
        <is>
          <t>eng</t>
        </is>
      </c>
      <c r="P571" t="inlineStr">
        <is>
          <t>enk</t>
        </is>
      </c>
      <c r="Q571" t="inlineStr">
        <is>
          <t>The American novel</t>
        </is>
      </c>
      <c r="R571" t="inlineStr">
        <is>
          <t xml:space="preserve">PS </t>
        </is>
      </c>
      <c r="S571" t="n">
        <v>1</v>
      </c>
      <c r="T571" t="n">
        <v>1</v>
      </c>
      <c r="U571" t="inlineStr">
        <is>
          <t>2005-04-18</t>
        </is>
      </c>
      <c r="V571" t="inlineStr">
        <is>
          <t>2005-04-18</t>
        </is>
      </c>
      <c r="W571" t="inlineStr">
        <is>
          <t>1996-11-11</t>
        </is>
      </c>
      <c r="X571" t="inlineStr">
        <is>
          <t>1996-11-11</t>
        </is>
      </c>
      <c r="Y571" t="n">
        <v>584</v>
      </c>
      <c r="Z571" t="n">
        <v>490</v>
      </c>
      <c r="AA571" t="n">
        <v>518</v>
      </c>
      <c r="AB571" t="n">
        <v>4</v>
      </c>
      <c r="AC571" t="n">
        <v>4</v>
      </c>
      <c r="AD571" t="n">
        <v>27</v>
      </c>
      <c r="AE571" t="n">
        <v>28</v>
      </c>
      <c r="AF571" t="n">
        <v>12</v>
      </c>
      <c r="AG571" t="n">
        <v>12</v>
      </c>
      <c r="AH571" t="n">
        <v>6</v>
      </c>
      <c r="AI571" t="n">
        <v>7</v>
      </c>
      <c r="AJ571" t="n">
        <v>13</v>
      </c>
      <c r="AK571" t="n">
        <v>13</v>
      </c>
      <c r="AL571" t="n">
        <v>3</v>
      </c>
      <c r="AM571" t="n">
        <v>3</v>
      </c>
      <c r="AN571" t="n">
        <v>0</v>
      </c>
      <c r="AO571" t="n">
        <v>0</v>
      </c>
      <c r="AP571" t="inlineStr">
        <is>
          <t>No</t>
        </is>
      </c>
      <c r="AQ571" t="inlineStr">
        <is>
          <t>No</t>
        </is>
      </c>
      <c r="AS571">
        <f>HYPERLINK("https://creighton-primo.hosted.exlibrisgroup.com/primo-explore/search?tab=default_tab&amp;search_scope=EVERYTHING&amp;vid=01CRU&amp;lang=en_US&amp;offset=0&amp;query=any,contains,991002509079702656","Catalog Record")</f>
        <v/>
      </c>
      <c r="AT571">
        <f>HYPERLINK("http://www.worldcat.org/oclc/32626232","WorldCat Record")</f>
        <v/>
      </c>
      <c r="AU571" t="inlineStr">
        <is>
          <t>896261127:eng</t>
        </is>
      </c>
      <c r="AV571" t="inlineStr">
        <is>
          <t>32626232</t>
        </is>
      </c>
      <c r="AW571" t="inlineStr">
        <is>
          <t>991002509079702656</t>
        </is>
      </c>
      <c r="AX571" t="inlineStr">
        <is>
          <t>991002509079702656</t>
        </is>
      </c>
      <c r="AY571" t="inlineStr">
        <is>
          <t>2267562750002656</t>
        </is>
      </c>
      <c r="AZ571" t="inlineStr">
        <is>
          <t>BOOK</t>
        </is>
      </c>
      <c r="BB571" t="inlineStr">
        <is>
          <t>9780521454315</t>
        </is>
      </c>
      <c r="BC571" t="inlineStr">
        <is>
          <t>32285002371150</t>
        </is>
      </c>
      <c r="BD571" t="inlineStr">
        <is>
          <t>893498204</t>
        </is>
      </c>
    </row>
    <row r="572">
      <c r="A572" t="inlineStr">
        <is>
          <t>No</t>
        </is>
      </c>
      <c r="B572" t="inlineStr">
        <is>
          <t>PS3511.A86 L576 1973</t>
        </is>
      </c>
      <c r="C572" t="inlineStr">
        <is>
          <t>0                      PS 3511000A  86                 L  576         1973</t>
        </is>
      </c>
      <c r="D572" t="inlineStr">
        <is>
          <t>Faulkner's Light in August.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Pitavy, François.</t>
        </is>
      </c>
      <c r="L572" t="inlineStr">
        <is>
          <t>Bloomington : Indiana University Press, [1973]</t>
        </is>
      </c>
      <c r="M572" t="inlineStr">
        <is>
          <t>1973</t>
        </is>
      </c>
      <c r="N572" t="inlineStr">
        <is>
          <t>Rev. and enl. ed. / translated by Gillian E. Cook with the collaboration of the author.</t>
        </is>
      </c>
      <c r="O572" t="inlineStr">
        <is>
          <t>eng</t>
        </is>
      </c>
      <c r="P572" t="inlineStr">
        <is>
          <t>inu</t>
        </is>
      </c>
      <c r="Q572" t="inlineStr">
        <is>
          <t>A Midland book, MB-166</t>
        </is>
      </c>
      <c r="R572" t="inlineStr">
        <is>
          <t xml:space="preserve">PS </t>
        </is>
      </c>
      <c r="S572" t="n">
        <v>4</v>
      </c>
      <c r="T572" t="n">
        <v>4</v>
      </c>
      <c r="U572" t="inlineStr">
        <is>
          <t>1994-12-01</t>
        </is>
      </c>
      <c r="V572" t="inlineStr">
        <is>
          <t>1994-12-01</t>
        </is>
      </c>
      <c r="W572" t="inlineStr">
        <is>
          <t>1990-09-11</t>
        </is>
      </c>
      <c r="X572" t="inlineStr">
        <is>
          <t>1990-09-11</t>
        </is>
      </c>
      <c r="Y572" t="n">
        <v>1043</v>
      </c>
      <c r="Z572" t="n">
        <v>943</v>
      </c>
      <c r="AA572" t="n">
        <v>953</v>
      </c>
      <c r="AB572" t="n">
        <v>10</v>
      </c>
      <c r="AC572" t="n">
        <v>10</v>
      </c>
      <c r="AD572" t="n">
        <v>39</v>
      </c>
      <c r="AE572" t="n">
        <v>40</v>
      </c>
      <c r="AF572" t="n">
        <v>13</v>
      </c>
      <c r="AG572" t="n">
        <v>14</v>
      </c>
      <c r="AH572" t="n">
        <v>6</v>
      </c>
      <c r="AI572" t="n">
        <v>6</v>
      </c>
      <c r="AJ572" t="n">
        <v>19</v>
      </c>
      <c r="AK572" t="n">
        <v>20</v>
      </c>
      <c r="AL572" t="n">
        <v>8</v>
      </c>
      <c r="AM572" t="n">
        <v>8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HYPERLINK("https://creighton-primo.hosted.exlibrisgroup.com/primo-explore/search?tab=default_tab&amp;search_scope=EVERYTHING&amp;vid=01CRU&amp;lang=en_US&amp;offset=0&amp;query=any,contains,991003054719702656","Catalog Record")</f>
        <v/>
      </c>
      <c r="AT572">
        <f>HYPERLINK("http://www.worldcat.org/oclc/613606","WorldCat Record")</f>
        <v/>
      </c>
      <c r="AU572" t="inlineStr">
        <is>
          <t>1654283:eng</t>
        </is>
      </c>
      <c r="AV572" t="inlineStr">
        <is>
          <t>613606</t>
        </is>
      </c>
      <c r="AW572" t="inlineStr">
        <is>
          <t>991003054719702656</t>
        </is>
      </c>
      <c r="AX572" t="inlineStr">
        <is>
          <t>991003054719702656</t>
        </is>
      </c>
      <c r="AY572" t="inlineStr">
        <is>
          <t>2268293610002656</t>
        </is>
      </c>
      <c r="AZ572" t="inlineStr">
        <is>
          <t>BOOK</t>
        </is>
      </c>
      <c r="BB572" t="inlineStr">
        <is>
          <t>9780253321534</t>
        </is>
      </c>
      <c r="BC572" t="inlineStr">
        <is>
          <t>32285000301548</t>
        </is>
      </c>
      <c r="BD572" t="inlineStr">
        <is>
          <t>893616948</t>
        </is>
      </c>
    </row>
    <row r="573">
      <c r="A573" t="inlineStr">
        <is>
          <t>No</t>
        </is>
      </c>
      <c r="B573" t="inlineStr">
        <is>
          <t>PS3511.A86 S438 1982</t>
        </is>
      </c>
      <c r="C573" t="inlineStr">
        <is>
          <t>0                      PS 3511000A  86                 S  438         1982</t>
        </is>
      </c>
      <c r="D573" t="inlineStr">
        <is>
          <t>Twentieth century interpretations of Sanctuary : a collection of critical essays / edited by J. Douglas Canfield.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Englewood Cliffs, N.J. : Prentice-Hall, c1982.</t>
        </is>
      </c>
      <c r="M573" t="inlineStr">
        <is>
          <t>1982</t>
        </is>
      </c>
      <c r="O573" t="inlineStr">
        <is>
          <t>eng</t>
        </is>
      </c>
      <c r="P573" t="inlineStr">
        <is>
          <t>nju</t>
        </is>
      </c>
      <c r="Q573" t="inlineStr">
        <is>
          <t>Twentieth century interpretations</t>
        </is>
      </c>
      <c r="R573" t="inlineStr">
        <is>
          <t xml:space="preserve">PS </t>
        </is>
      </c>
      <c r="S573" t="n">
        <v>2</v>
      </c>
      <c r="T573" t="n">
        <v>2</v>
      </c>
      <c r="U573" t="inlineStr">
        <is>
          <t>1993-05-05</t>
        </is>
      </c>
      <c r="V573" t="inlineStr">
        <is>
          <t>1993-05-05</t>
        </is>
      </c>
      <c r="W573" t="inlineStr">
        <is>
          <t>1990-11-08</t>
        </is>
      </c>
      <c r="X573" t="inlineStr">
        <is>
          <t>1990-11-08</t>
        </is>
      </c>
      <c r="Y573" t="n">
        <v>748</v>
      </c>
      <c r="Z573" t="n">
        <v>666</v>
      </c>
      <c r="AA573" t="n">
        <v>670</v>
      </c>
      <c r="AB573" t="n">
        <v>4</v>
      </c>
      <c r="AC573" t="n">
        <v>4</v>
      </c>
      <c r="AD573" t="n">
        <v>30</v>
      </c>
      <c r="AE573" t="n">
        <v>30</v>
      </c>
      <c r="AF573" t="n">
        <v>13</v>
      </c>
      <c r="AG573" t="n">
        <v>13</v>
      </c>
      <c r="AH573" t="n">
        <v>7</v>
      </c>
      <c r="AI573" t="n">
        <v>7</v>
      </c>
      <c r="AJ573" t="n">
        <v>15</v>
      </c>
      <c r="AK573" t="n">
        <v>15</v>
      </c>
      <c r="AL573" t="n">
        <v>3</v>
      </c>
      <c r="AM573" t="n">
        <v>3</v>
      </c>
      <c r="AN573" t="n">
        <v>0</v>
      </c>
      <c r="AO573" t="n">
        <v>0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HYPERLINK("http://catalog.hathitrust.org/Record/000191016","HathiTrust Record")</f>
        <v/>
      </c>
      <c r="AS573">
        <f>HYPERLINK("https://creighton-primo.hosted.exlibrisgroup.com/primo-explore/search?tab=default_tab&amp;search_scope=EVERYTHING&amp;vid=01CRU&amp;lang=en_US&amp;offset=0&amp;query=any,contains,991005242999702656","Catalog Record")</f>
        <v/>
      </c>
      <c r="AT573">
        <f>HYPERLINK("http://www.worldcat.org/oclc/8432210","WorldCat Record")</f>
        <v/>
      </c>
      <c r="AU573" t="inlineStr">
        <is>
          <t>871324132:eng</t>
        </is>
      </c>
      <c r="AV573" t="inlineStr">
        <is>
          <t>8432210</t>
        </is>
      </c>
      <c r="AW573" t="inlineStr">
        <is>
          <t>991005242999702656</t>
        </is>
      </c>
      <c r="AX573" t="inlineStr">
        <is>
          <t>991005242999702656</t>
        </is>
      </c>
      <c r="AY573" t="inlineStr">
        <is>
          <t>2260594470002656</t>
        </is>
      </c>
      <c r="AZ573" t="inlineStr">
        <is>
          <t>BOOK</t>
        </is>
      </c>
      <c r="BB573" t="inlineStr">
        <is>
          <t>9780137912100</t>
        </is>
      </c>
      <c r="BC573" t="inlineStr">
        <is>
          <t>32285000377480</t>
        </is>
      </c>
      <c r="BD573" t="inlineStr">
        <is>
          <t>893527163</t>
        </is>
      </c>
    </row>
    <row r="574">
      <c r="A574" t="inlineStr">
        <is>
          <t>No</t>
        </is>
      </c>
      <c r="B574" t="inlineStr">
        <is>
          <t>PS3511.A86 S78 1976</t>
        </is>
      </c>
      <c r="C574" t="inlineStr">
        <is>
          <t>0                      PS 3511000A  86                 S  78          1976</t>
        </is>
      </c>
      <c r="D574" t="inlineStr">
        <is>
          <t>The most splendid failure : Faulkner's The sound and the fury / André Bleikasten.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K574" t="inlineStr">
        <is>
          <t>Bleikasten, André.</t>
        </is>
      </c>
      <c r="L574" t="inlineStr">
        <is>
          <t>Bloomington : Indiana University Press, c1976.</t>
        </is>
      </c>
      <c r="M574" t="inlineStr">
        <is>
          <t>1976</t>
        </is>
      </c>
      <c r="O574" t="inlineStr">
        <is>
          <t>eng</t>
        </is>
      </c>
      <c r="P574" t="inlineStr">
        <is>
          <t>inu</t>
        </is>
      </c>
      <c r="R574" t="inlineStr">
        <is>
          <t xml:space="preserve">PS </t>
        </is>
      </c>
      <c r="S574" t="n">
        <v>3</v>
      </c>
      <c r="T574" t="n">
        <v>3</v>
      </c>
      <c r="U574" t="inlineStr">
        <is>
          <t>2005-10-26</t>
        </is>
      </c>
      <c r="V574" t="inlineStr">
        <is>
          <t>2005-10-26</t>
        </is>
      </c>
      <c r="W574" t="inlineStr">
        <is>
          <t>1990-08-07</t>
        </is>
      </c>
      <c r="X574" t="inlineStr">
        <is>
          <t>1990-08-07</t>
        </is>
      </c>
      <c r="Y574" t="n">
        <v>1050</v>
      </c>
      <c r="Z574" t="n">
        <v>934</v>
      </c>
      <c r="AA574" t="n">
        <v>943</v>
      </c>
      <c r="AB574" t="n">
        <v>8</v>
      </c>
      <c r="AC574" t="n">
        <v>8</v>
      </c>
      <c r="AD574" t="n">
        <v>50</v>
      </c>
      <c r="AE574" t="n">
        <v>50</v>
      </c>
      <c r="AF574" t="n">
        <v>24</v>
      </c>
      <c r="AG574" t="n">
        <v>24</v>
      </c>
      <c r="AH574" t="n">
        <v>10</v>
      </c>
      <c r="AI574" t="n">
        <v>10</v>
      </c>
      <c r="AJ574" t="n">
        <v>23</v>
      </c>
      <c r="AK574" t="n">
        <v>23</v>
      </c>
      <c r="AL574" t="n">
        <v>6</v>
      </c>
      <c r="AM574" t="n">
        <v>6</v>
      </c>
      <c r="AN574" t="n">
        <v>0</v>
      </c>
      <c r="AO574" t="n">
        <v>0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HYPERLINK("http://catalog.hathitrust.org/Record/000692857","HathiTrust Record")</f>
        <v/>
      </c>
      <c r="AS574">
        <f>HYPERLINK("https://creighton-primo.hosted.exlibrisgroup.com/primo-explore/search?tab=default_tab&amp;search_scope=EVERYTHING&amp;vid=01CRU&amp;lang=en_US&amp;offset=0&amp;query=any,contains,991003914079702656","Catalog Record")</f>
        <v/>
      </c>
      <c r="AT574">
        <f>HYPERLINK("http://www.worldcat.org/oclc/1858140","WorldCat Record")</f>
        <v/>
      </c>
      <c r="AU574" t="inlineStr">
        <is>
          <t>2626623:eng</t>
        </is>
      </c>
      <c r="AV574" t="inlineStr">
        <is>
          <t>1858140</t>
        </is>
      </c>
      <c r="AW574" t="inlineStr">
        <is>
          <t>991003914079702656</t>
        </is>
      </c>
      <c r="AX574" t="inlineStr">
        <is>
          <t>991003914079702656</t>
        </is>
      </c>
      <c r="AY574" t="inlineStr">
        <is>
          <t>2266745120002656</t>
        </is>
      </c>
      <c r="AZ574" t="inlineStr">
        <is>
          <t>BOOK</t>
        </is>
      </c>
      <c r="BB574" t="inlineStr">
        <is>
          <t>9780253338778</t>
        </is>
      </c>
      <c r="BC574" t="inlineStr">
        <is>
          <t>32285000262484</t>
        </is>
      </c>
      <c r="BD574" t="inlineStr">
        <is>
          <t>893343241</t>
        </is>
      </c>
    </row>
    <row r="575">
      <c r="A575" t="inlineStr">
        <is>
          <t>No</t>
        </is>
      </c>
      <c r="B575" t="inlineStr">
        <is>
          <t>PS3511.A86 S83</t>
        </is>
      </c>
      <c r="C575" t="inlineStr">
        <is>
          <t>0                      PS 3511000A  86                 S  83</t>
        </is>
      </c>
      <c r="D575" t="inlineStr">
        <is>
          <t>Twentieth century interpretations of The sound and the fury : a collection of critical essays / edited by Michael H. Cowan.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K575" t="inlineStr">
        <is>
          <t>Cowan, Michael H., 1937-, compiler.</t>
        </is>
      </c>
      <c r="L575" t="inlineStr">
        <is>
          <t>Englewood Cliffs, N.J. : Prentice-Hall, [1968]</t>
        </is>
      </c>
      <c r="M575" t="inlineStr">
        <is>
          <t>1968</t>
        </is>
      </c>
      <c r="O575" t="inlineStr">
        <is>
          <t>eng</t>
        </is>
      </c>
      <c r="P575" t="inlineStr">
        <is>
          <t>nju</t>
        </is>
      </c>
      <c r="Q575" t="inlineStr">
        <is>
          <t>A Spectrum book, S-809.</t>
        </is>
      </c>
      <c r="R575" t="inlineStr">
        <is>
          <t xml:space="preserve">PS </t>
        </is>
      </c>
      <c r="S575" t="n">
        <v>9</v>
      </c>
      <c r="T575" t="n">
        <v>9</v>
      </c>
      <c r="U575" t="inlineStr">
        <is>
          <t>2005-04-18</t>
        </is>
      </c>
      <c r="V575" t="inlineStr">
        <is>
          <t>2005-04-18</t>
        </is>
      </c>
      <c r="W575" t="inlineStr">
        <is>
          <t>1990-08-09</t>
        </is>
      </c>
      <c r="X575" t="inlineStr">
        <is>
          <t>1990-08-09</t>
        </is>
      </c>
      <c r="Y575" t="n">
        <v>1722</v>
      </c>
      <c r="Z575" t="n">
        <v>1541</v>
      </c>
      <c r="AA575" t="n">
        <v>1548</v>
      </c>
      <c r="AB575" t="n">
        <v>14</v>
      </c>
      <c r="AC575" t="n">
        <v>14</v>
      </c>
      <c r="AD575" t="n">
        <v>46</v>
      </c>
      <c r="AE575" t="n">
        <v>46</v>
      </c>
      <c r="AF575" t="n">
        <v>17</v>
      </c>
      <c r="AG575" t="n">
        <v>17</v>
      </c>
      <c r="AH575" t="n">
        <v>8</v>
      </c>
      <c r="AI575" t="n">
        <v>8</v>
      </c>
      <c r="AJ575" t="n">
        <v>19</v>
      </c>
      <c r="AK575" t="n">
        <v>19</v>
      </c>
      <c r="AL575" t="n">
        <v>11</v>
      </c>
      <c r="AM575" t="n">
        <v>11</v>
      </c>
      <c r="AN575" t="n">
        <v>0</v>
      </c>
      <c r="AO575" t="n">
        <v>0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HYPERLINK("https://creighton-primo.hosted.exlibrisgroup.com/primo-explore/search?tab=default_tab&amp;search_scope=EVERYTHING&amp;vid=01CRU&amp;lang=en_US&amp;offset=0&amp;query=any,contains,991000991359702656","Catalog Record")</f>
        <v/>
      </c>
      <c r="AT575">
        <f>HYPERLINK("http://www.worldcat.org/oclc/171193","WorldCat Record")</f>
        <v/>
      </c>
      <c r="AU575" t="inlineStr">
        <is>
          <t>353267481:eng</t>
        </is>
      </c>
      <c r="AV575" t="inlineStr">
        <is>
          <t>171193</t>
        </is>
      </c>
      <c r="AW575" t="inlineStr">
        <is>
          <t>991000991359702656</t>
        </is>
      </c>
      <c r="AX575" t="inlineStr">
        <is>
          <t>991000991359702656</t>
        </is>
      </c>
      <c r="AY575" t="inlineStr">
        <is>
          <t>2267320800002656</t>
        </is>
      </c>
      <c r="AZ575" t="inlineStr">
        <is>
          <t>BOOK</t>
        </is>
      </c>
      <c r="BC575" t="inlineStr">
        <is>
          <t>32285000254903</t>
        </is>
      </c>
      <c r="BD575" t="inlineStr">
        <is>
          <t>893720895</t>
        </is>
      </c>
    </row>
    <row r="576">
      <c r="A576" t="inlineStr">
        <is>
          <t>No</t>
        </is>
      </c>
      <c r="B576" t="inlineStr">
        <is>
          <t>PS3511.A86 S87 1982</t>
        </is>
      </c>
      <c r="C576" t="inlineStr">
        <is>
          <t>0                      PS 3511000A  86                 S  87          1982</t>
        </is>
      </c>
      <c r="D576" t="inlineStr">
        <is>
          <t>William Faulkner's The sound and the fury : a critical casebook / [edited by] André Bleikasten.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L576" t="inlineStr">
        <is>
          <t>New York : Garland Pub., 1982.</t>
        </is>
      </c>
      <c r="M576" t="inlineStr">
        <is>
          <t>1982</t>
        </is>
      </c>
      <c r="O576" t="inlineStr">
        <is>
          <t>eng</t>
        </is>
      </c>
      <c r="P576" t="inlineStr">
        <is>
          <t>nyu</t>
        </is>
      </c>
      <c r="Q576" t="inlineStr">
        <is>
          <t>Garland Faulkner casebooks ; v. 1</t>
        </is>
      </c>
      <c r="R576" t="inlineStr">
        <is>
          <t xml:space="preserve">PS </t>
        </is>
      </c>
      <c r="S576" t="n">
        <v>5</v>
      </c>
      <c r="T576" t="n">
        <v>5</v>
      </c>
      <c r="U576" t="inlineStr">
        <is>
          <t>2005-04-18</t>
        </is>
      </c>
      <c r="V576" t="inlineStr">
        <is>
          <t>2005-04-18</t>
        </is>
      </c>
      <c r="W576" t="inlineStr">
        <is>
          <t>1990-08-02</t>
        </is>
      </c>
      <c r="X576" t="inlineStr">
        <is>
          <t>1990-08-02</t>
        </is>
      </c>
      <c r="Y576" t="n">
        <v>440</v>
      </c>
      <c r="Z576" t="n">
        <v>361</v>
      </c>
      <c r="AA576" t="n">
        <v>362</v>
      </c>
      <c r="AB576" t="n">
        <v>6</v>
      </c>
      <c r="AC576" t="n">
        <v>6</v>
      </c>
      <c r="AD576" t="n">
        <v>22</v>
      </c>
      <c r="AE576" t="n">
        <v>22</v>
      </c>
      <c r="AF576" t="n">
        <v>8</v>
      </c>
      <c r="AG576" t="n">
        <v>8</v>
      </c>
      <c r="AH576" t="n">
        <v>4</v>
      </c>
      <c r="AI576" t="n">
        <v>4</v>
      </c>
      <c r="AJ576" t="n">
        <v>11</v>
      </c>
      <c r="AK576" t="n">
        <v>11</v>
      </c>
      <c r="AL576" t="n">
        <v>5</v>
      </c>
      <c r="AM576" t="n">
        <v>5</v>
      </c>
      <c r="AN576" t="n">
        <v>0</v>
      </c>
      <c r="AO576" t="n">
        <v>0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HYPERLINK("http://catalog.hathitrust.org/Record/002727253","HathiTrust Record")</f>
        <v/>
      </c>
      <c r="AS576">
        <f>HYPERLINK("https://creighton-primo.hosted.exlibrisgroup.com/primo-explore/search?tab=default_tab&amp;search_scope=EVERYTHING&amp;vid=01CRU&amp;lang=en_US&amp;offset=0&amp;query=any,contains,991000059899702656","Catalog Record")</f>
        <v/>
      </c>
      <c r="AT576">
        <f>HYPERLINK("http://www.worldcat.org/oclc/8728333","WorldCat Record")</f>
        <v/>
      </c>
      <c r="AU576" t="inlineStr">
        <is>
          <t>807398434:eng</t>
        </is>
      </c>
      <c r="AV576" t="inlineStr">
        <is>
          <t>8728333</t>
        </is>
      </c>
      <c r="AW576" t="inlineStr">
        <is>
          <t>991000059899702656</t>
        </is>
      </c>
      <c r="AX576" t="inlineStr">
        <is>
          <t>991000059899702656</t>
        </is>
      </c>
      <c r="AY576" t="inlineStr">
        <is>
          <t>2271060750002656</t>
        </is>
      </c>
      <c r="AZ576" t="inlineStr">
        <is>
          <t>BOOK</t>
        </is>
      </c>
      <c r="BB576" t="inlineStr">
        <is>
          <t>9780824092696</t>
        </is>
      </c>
      <c r="BC576" t="inlineStr">
        <is>
          <t>32285000262500</t>
        </is>
      </c>
      <c r="BD576" t="inlineStr">
        <is>
          <t>893444184</t>
        </is>
      </c>
    </row>
    <row r="577">
      <c r="A577" t="inlineStr">
        <is>
          <t>No</t>
        </is>
      </c>
      <c r="B577" t="inlineStr">
        <is>
          <t>PS3511.A86 Z4596 1976</t>
        </is>
      </c>
      <c r="C577" t="inlineStr">
        <is>
          <t>0                      PS 3511000A  86                 Z  4596        1976</t>
        </is>
      </c>
      <c r="D577" t="inlineStr">
        <is>
          <t>William Faulkner : a reference guide / Thomas L. McHaney.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McHaney, Thomas L.</t>
        </is>
      </c>
      <c r="L577" t="inlineStr">
        <is>
          <t>Boston : G. K. Hall, c1976.</t>
        </is>
      </c>
      <c r="M577" t="inlineStr">
        <is>
          <t>1976</t>
        </is>
      </c>
      <c r="O577" t="inlineStr">
        <is>
          <t>eng</t>
        </is>
      </c>
      <c r="P577" t="inlineStr">
        <is>
          <t>mau</t>
        </is>
      </c>
      <c r="Q577" t="inlineStr">
        <is>
          <t>Reference guides in literature ; no. 7</t>
        </is>
      </c>
      <c r="R577" t="inlineStr">
        <is>
          <t xml:space="preserve">PS </t>
        </is>
      </c>
      <c r="S577" t="n">
        <v>4</v>
      </c>
      <c r="T577" t="n">
        <v>4</v>
      </c>
      <c r="U577" t="inlineStr">
        <is>
          <t>1998-10-22</t>
        </is>
      </c>
      <c r="V577" t="inlineStr">
        <is>
          <t>1998-10-22</t>
        </is>
      </c>
      <c r="W577" t="inlineStr">
        <is>
          <t>1990-02-27</t>
        </is>
      </c>
      <c r="X577" t="inlineStr">
        <is>
          <t>1990-02-27</t>
        </is>
      </c>
      <c r="Y577" t="n">
        <v>763</v>
      </c>
      <c r="Z577" t="n">
        <v>648</v>
      </c>
      <c r="AA577" t="n">
        <v>651</v>
      </c>
      <c r="AB577" t="n">
        <v>7</v>
      </c>
      <c r="AC577" t="n">
        <v>7</v>
      </c>
      <c r="AD577" t="n">
        <v>36</v>
      </c>
      <c r="AE577" t="n">
        <v>36</v>
      </c>
      <c r="AF577" t="n">
        <v>16</v>
      </c>
      <c r="AG577" t="n">
        <v>16</v>
      </c>
      <c r="AH577" t="n">
        <v>5</v>
      </c>
      <c r="AI577" t="n">
        <v>5</v>
      </c>
      <c r="AJ577" t="n">
        <v>19</v>
      </c>
      <c r="AK577" t="n">
        <v>19</v>
      </c>
      <c r="AL577" t="n">
        <v>5</v>
      </c>
      <c r="AM577" t="n">
        <v>5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HYPERLINK("http://catalog.hathitrust.org/Record/000710904","HathiTrust Record")</f>
        <v/>
      </c>
      <c r="AS577">
        <f>HYPERLINK("https://creighton-primo.hosted.exlibrisgroup.com/primo-explore/search?tab=default_tab&amp;search_scope=EVERYTHING&amp;vid=01CRU&amp;lang=en_US&amp;offset=0&amp;query=any,contains,991003982439702656","Catalog Record")</f>
        <v/>
      </c>
      <c r="AT577">
        <f>HYPERLINK("http://www.worldcat.org/oclc/2020687","WorldCat Record")</f>
        <v/>
      </c>
      <c r="AU577" t="inlineStr">
        <is>
          <t>117537836:eng</t>
        </is>
      </c>
      <c r="AV577" t="inlineStr">
        <is>
          <t>2020687</t>
        </is>
      </c>
      <c r="AW577" t="inlineStr">
        <is>
          <t>991003982439702656</t>
        </is>
      </c>
      <c r="AX577" t="inlineStr">
        <is>
          <t>991003982439702656</t>
        </is>
      </c>
      <c r="AY577" t="inlineStr">
        <is>
          <t>2271448030002656</t>
        </is>
      </c>
      <c r="AZ577" t="inlineStr">
        <is>
          <t>BOOK</t>
        </is>
      </c>
      <c r="BB577" t="inlineStr">
        <is>
          <t>9780816111329</t>
        </is>
      </c>
      <c r="BC577" t="inlineStr">
        <is>
          <t>32285000061837</t>
        </is>
      </c>
      <c r="BD577" t="inlineStr">
        <is>
          <t>893506235</t>
        </is>
      </c>
    </row>
    <row r="578">
      <c r="A578" t="inlineStr">
        <is>
          <t>No</t>
        </is>
      </c>
      <c r="B578" t="inlineStr">
        <is>
          <t>PS3511.A86 Z49 1976</t>
        </is>
      </c>
      <c r="C578" t="inlineStr">
        <is>
          <t>0                      PS 3511000A  86                 Z  49          1976</t>
        </is>
      </c>
      <c r="D578" t="inlineStr">
        <is>
          <t>A glossary of Faulkner's South / Calvin S. Brown.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Brown, Calvin S. (Calvin Smith), 1909-1989.</t>
        </is>
      </c>
      <c r="L578" t="inlineStr">
        <is>
          <t>New Haven : Yale University Press, 1976.</t>
        </is>
      </c>
      <c r="M578" t="inlineStr">
        <is>
          <t>1976</t>
        </is>
      </c>
      <c r="O578" t="inlineStr">
        <is>
          <t>eng</t>
        </is>
      </c>
      <c r="P578" t="inlineStr">
        <is>
          <t>ctu</t>
        </is>
      </c>
      <c r="R578" t="inlineStr">
        <is>
          <t xml:space="preserve">PS </t>
        </is>
      </c>
      <c r="S578" t="n">
        <v>3</v>
      </c>
      <c r="T578" t="n">
        <v>3</v>
      </c>
      <c r="U578" t="inlineStr">
        <is>
          <t>1993-03-21</t>
        </is>
      </c>
      <c r="V578" t="inlineStr">
        <is>
          <t>1993-03-21</t>
        </is>
      </c>
      <c r="W578" t="inlineStr">
        <is>
          <t>1990-08-09</t>
        </is>
      </c>
      <c r="X578" t="inlineStr">
        <is>
          <t>1990-08-09</t>
        </is>
      </c>
      <c r="Y578" t="n">
        <v>1146</v>
      </c>
      <c r="Z578" t="n">
        <v>990</v>
      </c>
      <c r="AA578" t="n">
        <v>1020</v>
      </c>
      <c r="AB578" t="n">
        <v>6</v>
      </c>
      <c r="AC578" t="n">
        <v>6</v>
      </c>
      <c r="AD578" t="n">
        <v>37</v>
      </c>
      <c r="AE578" t="n">
        <v>37</v>
      </c>
      <c r="AF578" t="n">
        <v>17</v>
      </c>
      <c r="AG578" t="n">
        <v>17</v>
      </c>
      <c r="AH578" t="n">
        <v>9</v>
      </c>
      <c r="AI578" t="n">
        <v>9</v>
      </c>
      <c r="AJ578" t="n">
        <v>18</v>
      </c>
      <c r="AK578" t="n">
        <v>18</v>
      </c>
      <c r="AL578" t="n">
        <v>5</v>
      </c>
      <c r="AM578" t="n">
        <v>5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HYPERLINK("https://creighton-primo.hosted.exlibrisgroup.com/primo-explore/search?tab=default_tab&amp;search_scope=EVERYTHING&amp;vid=01CRU&amp;lang=en_US&amp;offset=0&amp;query=any,contains,991004131359702656","Catalog Record")</f>
        <v/>
      </c>
      <c r="AT578">
        <f>HYPERLINK("http://www.worldcat.org/oclc/2470564","WorldCat Record")</f>
        <v/>
      </c>
      <c r="AU578" t="inlineStr">
        <is>
          <t>20904403:eng</t>
        </is>
      </c>
      <c r="AV578" t="inlineStr">
        <is>
          <t>2470564</t>
        </is>
      </c>
      <c r="AW578" t="inlineStr">
        <is>
          <t>991004131359702656</t>
        </is>
      </c>
      <c r="AX578" t="inlineStr">
        <is>
          <t>991004131359702656</t>
        </is>
      </c>
      <c r="AY578" t="inlineStr">
        <is>
          <t>2256618130002656</t>
        </is>
      </c>
      <c r="AZ578" t="inlineStr">
        <is>
          <t>BOOK</t>
        </is>
      </c>
      <c r="BB578" t="inlineStr">
        <is>
          <t>9780300019445</t>
        </is>
      </c>
      <c r="BC578" t="inlineStr">
        <is>
          <t>32285000254887</t>
        </is>
      </c>
      <c r="BD578" t="inlineStr">
        <is>
          <t>893324964</t>
        </is>
      </c>
    </row>
    <row r="579">
      <c r="A579" t="inlineStr">
        <is>
          <t>No</t>
        </is>
      </c>
      <c r="B579" t="inlineStr">
        <is>
          <t>PS3511.A86 Z52 1966</t>
        </is>
      </c>
      <c r="C579" t="inlineStr">
        <is>
          <t>0                      PS 3511000A  86                 Z  52          1966</t>
        </is>
      </c>
      <c r="D579" t="inlineStr">
        <is>
          <t>Faulkner at Nagano, edited by Robert A. Jelliffe.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Faulkner, William, 1897-1962.</t>
        </is>
      </c>
      <c r="L579" t="inlineStr">
        <is>
          <t>Tokyo Kenkyusha [1966]</t>
        </is>
      </c>
      <c r="M579" t="inlineStr">
        <is>
          <t>1966</t>
        </is>
      </c>
      <c r="N579" t="inlineStr">
        <is>
          <t>[4th ed.]</t>
        </is>
      </c>
      <c r="O579" t="inlineStr">
        <is>
          <t>eng</t>
        </is>
      </c>
      <c r="P579" t="inlineStr">
        <is>
          <t xml:space="preserve">xx </t>
        </is>
      </c>
      <c r="R579" t="inlineStr">
        <is>
          <t xml:space="preserve">PS </t>
        </is>
      </c>
      <c r="S579" t="n">
        <v>1</v>
      </c>
      <c r="T579" t="n">
        <v>1</v>
      </c>
      <c r="U579" t="inlineStr">
        <is>
          <t>2001-03-14</t>
        </is>
      </c>
      <c r="V579" t="inlineStr">
        <is>
          <t>2001-03-14</t>
        </is>
      </c>
      <c r="W579" t="inlineStr">
        <is>
          <t>1997-06-03</t>
        </is>
      </c>
      <c r="X579" t="inlineStr">
        <is>
          <t>1997-06-03</t>
        </is>
      </c>
      <c r="Y579" t="n">
        <v>66</v>
      </c>
      <c r="Z579" t="n">
        <v>52</v>
      </c>
      <c r="AA579" t="n">
        <v>382</v>
      </c>
      <c r="AB579" t="n">
        <v>1</v>
      </c>
      <c r="AC579" t="n">
        <v>4</v>
      </c>
      <c r="AD579" t="n">
        <v>6</v>
      </c>
      <c r="AE579" t="n">
        <v>24</v>
      </c>
      <c r="AF579" t="n">
        <v>3</v>
      </c>
      <c r="AG579" t="n">
        <v>6</v>
      </c>
      <c r="AH579" t="n">
        <v>2</v>
      </c>
      <c r="AI579" t="n">
        <v>6</v>
      </c>
      <c r="AJ579" t="n">
        <v>5</v>
      </c>
      <c r="AK579" t="n">
        <v>17</v>
      </c>
      <c r="AL579" t="n">
        <v>0</v>
      </c>
      <c r="AM579" t="n">
        <v>3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HYPERLINK("https://creighton-primo.hosted.exlibrisgroup.com/primo-explore/search?tab=default_tab&amp;search_scope=EVERYTHING&amp;vid=01CRU&amp;lang=en_US&amp;offset=0&amp;query=any,contains,991002222139702656","Catalog Record")</f>
        <v/>
      </c>
      <c r="AT579">
        <f>HYPERLINK("http://www.worldcat.org/oclc/290514","WorldCat Record")</f>
        <v/>
      </c>
      <c r="AU579" t="inlineStr">
        <is>
          <t>1471376:eng</t>
        </is>
      </c>
      <c r="AV579" t="inlineStr">
        <is>
          <t>290514</t>
        </is>
      </c>
      <c r="AW579" t="inlineStr">
        <is>
          <t>991002222139702656</t>
        </is>
      </c>
      <c r="AX579" t="inlineStr">
        <is>
          <t>991002222139702656</t>
        </is>
      </c>
      <c r="AY579" t="inlineStr">
        <is>
          <t>2270746750002656</t>
        </is>
      </c>
      <c r="AZ579" t="inlineStr">
        <is>
          <t>BOOK</t>
        </is>
      </c>
      <c r="BC579" t="inlineStr">
        <is>
          <t>32285002783172</t>
        </is>
      </c>
      <c r="BD579" t="inlineStr">
        <is>
          <t>893257031</t>
        </is>
      </c>
    </row>
    <row r="580">
      <c r="A580" t="inlineStr">
        <is>
          <t>No</t>
        </is>
      </c>
      <c r="B580" t="inlineStr">
        <is>
          <t>PS3511.A86 Z53</t>
        </is>
      </c>
      <c r="C580" t="inlineStr">
        <is>
          <t>0                      PS 3511000A  86                 Z  53</t>
        </is>
      </c>
      <c r="D580" t="inlineStr">
        <is>
          <t>Faulkner in the university : class conferences at the University of Virginia, 1957-1958 / Edited by Frederick L. Gwynn and Joseph L. Blotner.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Faulkner, William, 1897-1962.</t>
        </is>
      </c>
      <c r="L580" t="inlineStr">
        <is>
          <t>New York : Vintage Books, 1965.</t>
        </is>
      </c>
      <c r="M580" t="inlineStr">
        <is>
          <t>1965</t>
        </is>
      </c>
      <c r="O580" t="inlineStr">
        <is>
          <t>eng</t>
        </is>
      </c>
      <c r="P580" t="inlineStr">
        <is>
          <t>nyu</t>
        </is>
      </c>
      <c r="Q580" t="inlineStr">
        <is>
          <t>Vintage books. V-269</t>
        </is>
      </c>
      <c r="R580" t="inlineStr">
        <is>
          <t xml:space="preserve">PS </t>
        </is>
      </c>
      <c r="S580" t="n">
        <v>2</v>
      </c>
      <c r="T580" t="n">
        <v>2</v>
      </c>
      <c r="U580" t="inlineStr">
        <is>
          <t>2001-04-10</t>
        </is>
      </c>
      <c r="V580" t="inlineStr">
        <is>
          <t>2001-04-10</t>
        </is>
      </c>
      <c r="W580" t="inlineStr">
        <is>
          <t>1997-06-03</t>
        </is>
      </c>
      <c r="X580" t="inlineStr">
        <is>
          <t>1997-06-03</t>
        </is>
      </c>
      <c r="Y580" t="n">
        <v>187</v>
      </c>
      <c r="Z580" t="n">
        <v>161</v>
      </c>
      <c r="AA580" t="n">
        <v>908</v>
      </c>
      <c r="AB580" t="n">
        <v>2</v>
      </c>
      <c r="AC580" t="n">
        <v>8</v>
      </c>
      <c r="AD580" t="n">
        <v>8</v>
      </c>
      <c r="AE580" t="n">
        <v>50</v>
      </c>
      <c r="AF580" t="n">
        <v>4</v>
      </c>
      <c r="AG580" t="n">
        <v>22</v>
      </c>
      <c r="AH580" t="n">
        <v>2</v>
      </c>
      <c r="AI580" t="n">
        <v>8</v>
      </c>
      <c r="AJ580" t="n">
        <v>2</v>
      </c>
      <c r="AK580" t="n">
        <v>23</v>
      </c>
      <c r="AL580" t="n">
        <v>1</v>
      </c>
      <c r="AM580" t="n">
        <v>7</v>
      </c>
      <c r="AN580" t="n">
        <v>0</v>
      </c>
      <c r="AO580" t="n">
        <v>0</v>
      </c>
      <c r="AP580" t="inlineStr">
        <is>
          <t>No</t>
        </is>
      </c>
      <c r="AQ580" t="inlineStr">
        <is>
          <t>No</t>
        </is>
      </c>
      <c r="AS580">
        <f>HYPERLINK("https://creighton-primo.hosted.exlibrisgroup.com/primo-explore/search?tab=default_tab&amp;search_scope=EVERYTHING&amp;vid=01CRU&amp;lang=en_US&amp;offset=0&amp;query=any,contains,991004390779702656","Catalog Record")</f>
        <v/>
      </c>
      <c r="AT580">
        <f>HYPERLINK("http://www.worldcat.org/oclc/3262529","WorldCat Record")</f>
        <v/>
      </c>
      <c r="AU580" t="inlineStr">
        <is>
          <t>480683715:eng</t>
        </is>
      </c>
      <c r="AV580" t="inlineStr">
        <is>
          <t>3262529</t>
        </is>
      </c>
      <c r="AW580" t="inlineStr">
        <is>
          <t>991004390779702656</t>
        </is>
      </c>
      <c r="AX580" t="inlineStr">
        <is>
          <t>991004390779702656</t>
        </is>
      </c>
      <c r="AY580" t="inlineStr">
        <is>
          <t>2256067680002656</t>
        </is>
      </c>
      <c r="AZ580" t="inlineStr">
        <is>
          <t>BOOK</t>
        </is>
      </c>
      <c r="BC580" t="inlineStr">
        <is>
          <t>32285002783180</t>
        </is>
      </c>
      <c r="BD580" t="inlineStr">
        <is>
          <t>893706344</t>
        </is>
      </c>
    </row>
    <row r="581">
      <c r="A581" t="inlineStr">
        <is>
          <t>No</t>
        </is>
      </c>
      <c r="B581" t="inlineStr">
        <is>
          <t>PS3511.A86 Z625</t>
        </is>
      </c>
      <c r="C581" t="inlineStr">
        <is>
          <t>0                      PS 3511000A  86                 Z  625</t>
        </is>
      </c>
      <c r="D581" t="inlineStr">
        <is>
          <t>Faulkner : essays / by Warren Beck.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Beck, Warren, 1896-1986.</t>
        </is>
      </c>
      <c r="L581" t="inlineStr">
        <is>
          <t>Madison : University of Wisconsin Press, 1976.</t>
        </is>
      </c>
      <c r="M581" t="inlineStr">
        <is>
          <t>1976</t>
        </is>
      </c>
      <c r="O581" t="inlineStr">
        <is>
          <t>eng</t>
        </is>
      </c>
      <c r="P581" t="inlineStr">
        <is>
          <t>wiu</t>
        </is>
      </c>
      <c r="R581" t="inlineStr">
        <is>
          <t xml:space="preserve">PS </t>
        </is>
      </c>
      <c r="S581" t="n">
        <v>5</v>
      </c>
      <c r="T581" t="n">
        <v>5</v>
      </c>
      <c r="U581" t="inlineStr">
        <is>
          <t>1995-09-10</t>
        </is>
      </c>
      <c r="V581" t="inlineStr">
        <is>
          <t>1995-09-10</t>
        </is>
      </c>
      <c r="W581" t="inlineStr">
        <is>
          <t>1990-08-02</t>
        </is>
      </c>
      <c r="X581" t="inlineStr">
        <is>
          <t>1990-08-02</t>
        </is>
      </c>
      <c r="Y581" t="n">
        <v>955</v>
      </c>
      <c r="Z581" t="n">
        <v>814</v>
      </c>
      <c r="AA581" t="n">
        <v>825</v>
      </c>
      <c r="AB581" t="n">
        <v>8</v>
      </c>
      <c r="AC581" t="n">
        <v>8</v>
      </c>
      <c r="AD581" t="n">
        <v>37</v>
      </c>
      <c r="AE581" t="n">
        <v>37</v>
      </c>
      <c r="AF581" t="n">
        <v>13</v>
      </c>
      <c r="AG581" t="n">
        <v>13</v>
      </c>
      <c r="AH581" t="n">
        <v>7</v>
      </c>
      <c r="AI581" t="n">
        <v>7</v>
      </c>
      <c r="AJ581" t="n">
        <v>17</v>
      </c>
      <c r="AK581" t="n">
        <v>17</v>
      </c>
      <c r="AL581" t="n">
        <v>7</v>
      </c>
      <c r="AM581" t="n">
        <v>7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HYPERLINK("http://catalog.hathitrust.org/Record/000692417","HathiTrust Record")</f>
        <v/>
      </c>
      <c r="AS581">
        <f>HYPERLINK("https://creighton-primo.hosted.exlibrisgroup.com/primo-explore/search?tab=default_tab&amp;search_scope=EVERYTHING&amp;vid=01CRU&amp;lang=en_US&amp;offset=0&amp;query=any,contains,991003913409702656","Catalog Record")</f>
        <v/>
      </c>
      <c r="AT581">
        <f>HYPERLINK("http://www.worldcat.org/oclc/1857870","WorldCat Record")</f>
        <v/>
      </c>
      <c r="AU581" t="inlineStr">
        <is>
          <t>2623869:eng</t>
        </is>
      </c>
      <c r="AV581" t="inlineStr">
        <is>
          <t>1857870</t>
        </is>
      </c>
      <c r="AW581" t="inlineStr">
        <is>
          <t>991003913409702656</t>
        </is>
      </c>
      <c r="AX581" t="inlineStr">
        <is>
          <t>991003913409702656</t>
        </is>
      </c>
      <c r="AY581" t="inlineStr">
        <is>
          <t>2262878450002656</t>
        </is>
      </c>
      <c r="AZ581" t="inlineStr">
        <is>
          <t>BOOK</t>
        </is>
      </c>
      <c r="BB581" t="inlineStr">
        <is>
          <t>9780299065003</t>
        </is>
      </c>
      <c r="BC581" t="inlineStr">
        <is>
          <t>32285000262542</t>
        </is>
      </c>
      <c r="BD581" t="inlineStr">
        <is>
          <t>893535708</t>
        </is>
      </c>
    </row>
    <row r="582">
      <c r="A582" t="inlineStr">
        <is>
          <t>No</t>
        </is>
      </c>
      <c r="B582" t="inlineStr">
        <is>
          <t>PS3511.A86 Z642</t>
        </is>
      </c>
      <c r="C582" t="inlineStr">
        <is>
          <t>0                      PS 3511000A  86                 Z  642</t>
        </is>
      </c>
      <c r="D582" t="inlineStr">
        <is>
          <t>William Faulkner : toward Yoknapatawpha and beyond / Cleanth Brooks.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K582" t="inlineStr">
        <is>
          <t>Brooks, Cleanth, 1906-1994.</t>
        </is>
      </c>
      <c r="L582" t="inlineStr">
        <is>
          <t>New Haven : Yale University Press, 1978.</t>
        </is>
      </c>
      <c r="M582" t="inlineStr">
        <is>
          <t>1978</t>
        </is>
      </c>
      <c r="O582" t="inlineStr">
        <is>
          <t>eng</t>
        </is>
      </c>
      <c r="P582" t="inlineStr">
        <is>
          <t>ctu</t>
        </is>
      </c>
      <c r="R582" t="inlineStr">
        <is>
          <t xml:space="preserve">PS </t>
        </is>
      </c>
      <c r="S582" t="n">
        <v>3</v>
      </c>
      <c r="T582" t="n">
        <v>3</v>
      </c>
      <c r="U582" t="inlineStr">
        <is>
          <t>2005-04-28</t>
        </is>
      </c>
      <c r="V582" t="inlineStr">
        <is>
          <t>2005-04-28</t>
        </is>
      </c>
      <c r="W582" t="inlineStr">
        <is>
          <t>1990-08-02</t>
        </is>
      </c>
      <c r="X582" t="inlineStr">
        <is>
          <t>1990-08-02</t>
        </is>
      </c>
      <c r="Y582" t="n">
        <v>1376</v>
      </c>
      <c r="Z582" t="n">
        <v>1192</v>
      </c>
      <c r="AA582" t="n">
        <v>1401</v>
      </c>
      <c r="AB582" t="n">
        <v>7</v>
      </c>
      <c r="AC582" t="n">
        <v>10</v>
      </c>
      <c r="AD582" t="n">
        <v>50</v>
      </c>
      <c r="AE582" t="n">
        <v>55</v>
      </c>
      <c r="AF582" t="n">
        <v>23</v>
      </c>
      <c r="AG582" t="n">
        <v>25</v>
      </c>
      <c r="AH582" t="n">
        <v>10</v>
      </c>
      <c r="AI582" t="n">
        <v>10</v>
      </c>
      <c r="AJ582" t="n">
        <v>25</v>
      </c>
      <c r="AK582" t="n">
        <v>25</v>
      </c>
      <c r="AL582" t="n">
        <v>5</v>
      </c>
      <c r="AM582" t="n">
        <v>8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HYPERLINK("https://creighton-primo.hosted.exlibrisgroup.com/primo-explore/search?tab=default_tab&amp;search_scope=EVERYTHING&amp;vid=01CRU&amp;lang=en_US&amp;offset=0&amp;query=any,contains,991004374169702656","Catalog Record")</f>
        <v/>
      </c>
      <c r="AT582">
        <f>HYPERLINK("http://www.worldcat.org/oclc/3203612","WorldCat Record")</f>
        <v/>
      </c>
      <c r="AU582" t="inlineStr">
        <is>
          <t>3855771685:eng</t>
        </is>
      </c>
      <c r="AV582" t="inlineStr">
        <is>
          <t>3203612</t>
        </is>
      </c>
      <c r="AW582" t="inlineStr">
        <is>
          <t>991004374169702656</t>
        </is>
      </c>
      <c r="AX582" t="inlineStr">
        <is>
          <t>991004374169702656</t>
        </is>
      </c>
      <c r="AY582" t="inlineStr">
        <is>
          <t>2270807450002656</t>
        </is>
      </c>
      <c r="AZ582" t="inlineStr">
        <is>
          <t>BOOK</t>
        </is>
      </c>
      <c r="BB582" t="inlineStr">
        <is>
          <t>9780300022049</t>
        </is>
      </c>
      <c r="BC582" t="inlineStr">
        <is>
          <t>32285000262567</t>
        </is>
      </c>
      <c r="BD582" t="inlineStr">
        <is>
          <t>893325305</t>
        </is>
      </c>
    </row>
    <row r="583">
      <c r="A583" t="inlineStr">
        <is>
          <t>No</t>
        </is>
      </c>
      <c r="B583" t="inlineStr">
        <is>
          <t>PS3511.A86 Z75</t>
        </is>
      </c>
      <c r="C583" t="inlineStr">
        <is>
          <t>0                      PS 3511000A  86                 Z  75</t>
        </is>
      </c>
      <c r="D583" t="inlineStr">
        <is>
          <t>William Faulkner, a critical appraisal / by Harry Modean Campbell and Ruel E. Foster.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Campbell, Harry Modean, 1908-</t>
        </is>
      </c>
      <c r="L583" t="inlineStr">
        <is>
          <t>Norman : University of Oklahoma Press, [1951]</t>
        </is>
      </c>
      <c r="M583" t="inlineStr">
        <is>
          <t>1951</t>
        </is>
      </c>
      <c r="N583" t="inlineStr">
        <is>
          <t>[1st ed.]</t>
        </is>
      </c>
      <c r="O583" t="inlineStr">
        <is>
          <t>eng</t>
        </is>
      </c>
      <c r="P583" t="inlineStr">
        <is>
          <t xml:space="preserve">xx </t>
        </is>
      </c>
      <c r="R583" t="inlineStr">
        <is>
          <t xml:space="preserve">PS </t>
        </is>
      </c>
      <c r="S583" t="n">
        <v>0</v>
      </c>
      <c r="T583" t="n">
        <v>0</v>
      </c>
      <c r="U583" t="inlineStr">
        <is>
          <t>2002-04-19</t>
        </is>
      </c>
      <c r="V583" t="inlineStr">
        <is>
          <t>2002-04-19</t>
        </is>
      </c>
      <c r="W583" t="inlineStr">
        <is>
          <t>1990-08-17</t>
        </is>
      </c>
      <c r="X583" t="inlineStr">
        <is>
          <t>1990-08-17</t>
        </is>
      </c>
      <c r="Y583" t="n">
        <v>588</v>
      </c>
      <c r="Z583" t="n">
        <v>527</v>
      </c>
      <c r="AA583" t="n">
        <v>861</v>
      </c>
      <c r="AB583" t="n">
        <v>4</v>
      </c>
      <c r="AC583" t="n">
        <v>5</v>
      </c>
      <c r="AD583" t="n">
        <v>26</v>
      </c>
      <c r="AE583" t="n">
        <v>39</v>
      </c>
      <c r="AF583" t="n">
        <v>9</v>
      </c>
      <c r="AG583" t="n">
        <v>17</v>
      </c>
      <c r="AH583" t="n">
        <v>4</v>
      </c>
      <c r="AI583" t="n">
        <v>6</v>
      </c>
      <c r="AJ583" t="n">
        <v>14</v>
      </c>
      <c r="AK583" t="n">
        <v>20</v>
      </c>
      <c r="AL583" t="n">
        <v>3</v>
      </c>
      <c r="AM583" t="n">
        <v>4</v>
      </c>
      <c r="AN583" t="n">
        <v>0</v>
      </c>
      <c r="AO583" t="n">
        <v>0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HYPERLINK("http://catalog.hathitrust.org/Record/000388697","HathiTrust Record")</f>
        <v/>
      </c>
      <c r="AS583">
        <f>HYPERLINK("https://creighton-primo.hosted.exlibrisgroup.com/primo-explore/search?tab=default_tab&amp;search_scope=EVERYTHING&amp;vid=01CRU&amp;lang=en_US&amp;offset=0&amp;query=any,contains,991003072399702656","Catalog Record")</f>
        <v/>
      </c>
      <c r="AT583">
        <f>HYPERLINK("http://www.worldcat.org/oclc/626748","WorldCat Record")</f>
        <v/>
      </c>
      <c r="AU583" t="inlineStr">
        <is>
          <t>228263434:eng</t>
        </is>
      </c>
      <c r="AV583" t="inlineStr">
        <is>
          <t>626748</t>
        </is>
      </c>
      <c r="AW583" t="inlineStr">
        <is>
          <t>991003072399702656</t>
        </is>
      </c>
      <c r="AX583" t="inlineStr">
        <is>
          <t>991003072399702656</t>
        </is>
      </c>
      <c r="AY583" t="inlineStr">
        <is>
          <t>2257274740002656</t>
        </is>
      </c>
      <c r="AZ583" t="inlineStr">
        <is>
          <t>BOOK</t>
        </is>
      </c>
      <c r="BC583" t="inlineStr">
        <is>
          <t>32285000283514</t>
        </is>
      </c>
      <c r="BD583" t="inlineStr">
        <is>
          <t>893592163</t>
        </is>
      </c>
    </row>
    <row r="584">
      <c r="A584" t="inlineStr">
        <is>
          <t>No</t>
        </is>
      </c>
      <c r="B584" t="inlineStr">
        <is>
          <t>PS3511.A86 Z759 1988</t>
        </is>
      </c>
      <c r="C584" t="inlineStr">
        <is>
          <t>0                      PS 3511000A  86                 Z  759         1988</t>
        </is>
      </c>
      <c r="D584" t="inlineStr">
        <is>
          <t>Faulkner's world : a directory of his people and synopses of actions in his published works / Thomas E. Connolly.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Connolly, Thomas E., 1918-2002.</t>
        </is>
      </c>
      <c r="L584" t="inlineStr">
        <is>
          <t>Lanham : University Press of America, c1988.</t>
        </is>
      </c>
      <c r="M584" t="inlineStr">
        <is>
          <t>1988</t>
        </is>
      </c>
      <c r="O584" t="inlineStr">
        <is>
          <t>eng</t>
        </is>
      </c>
      <c r="P584" t="inlineStr">
        <is>
          <t>mdu</t>
        </is>
      </c>
      <c r="R584" t="inlineStr">
        <is>
          <t xml:space="preserve">PS </t>
        </is>
      </c>
      <c r="S584" t="n">
        <v>3</v>
      </c>
      <c r="T584" t="n">
        <v>3</v>
      </c>
      <c r="U584" t="inlineStr">
        <is>
          <t>1993-05-05</t>
        </is>
      </c>
      <c r="V584" t="inlineStr">
        <is>
          <t>1993-05-05</t>
        </is>
      </c>
      <c r="W584" t="inlineStr">
        <is>
          <t>1990-11-08</t>
        </is>
      </c>
      <c r="X584" t="inlineStr">
        <is>
          <t>1990-11-08</t>
        </is>
      </c>
      <c r="Y584" t="n">
        <v>433</v>
      </c>
      <c r="Z584" t="n">
        <v>371</v>
      </c>
      <c r="AA584" t="n">
        <v>372</v>
      </c>
      <c r="AB584" t="n">
        <v>5</v>
      </c>
      <c r="AC584" t="n">
        <v>5</v>
      </c>
      <c r="AD584" t="n">
        <v>20</v>
      </c>
      <c r="AE584" t="n">
        <v>20</v>
      </c>
      <c r="AF584" t="n">
        <v>7</v>
      </c>
      <c r="AG584" t="n">
        <v>7</v>
      </c>
      <c r="AH584" t="n">
        <v>2</v>
      </c>
      <c r="AI584" t="n">
        <v>2</v>
      </c>
      <c r="AJ584" t="n">
        <v>10</v>
      </c>
      <c r="AK584" t="n">
        <v>10</v>
      </c>
      <c r="AL584" t="n">
        <v>4</v>
      </c>
      <c r="AM584" t="n">
        <v>4</v>
      </c>
      <c r="AN584" t="n">
        <v>0</v>
      </c>
      <c r="AO584" t="n">
        <v>0</v>
      </c>
      <c r="AP584" t="inlineStr">
        <is>
          <t>No</t>
        </is>
      </c>
      <c r="AQ584" t="inlineStr">
        <is>
          <t>Yes</t>
        </is>
      </c>
      <c r="AR584">
        <f>HYPERLINK("http://catalog.hathitrust.org/Record/001096859","HathiTrust Record")</f>
        <v/>
      </c>
      <c r="AS584">
        <f>HYPERLINK("https://creighton-primo.hosted.exlibrisgroup.com/primo-explore/search?tab=default_tab&amp;search_scope=EVERYTHING&amp;vid=01CRU&amp;lang=en_US&amp;offset=0&amp;query=any,contains,991001233339702656","Catalog Record")</f>
        <v/>
      </c>
      <c r="AT584">
        <f>HYPERLINK("http://www.worldcat.org/oclc/17548918","WorldCat Record")</f>
        <v/>
      </c>
      <c r="AU584" t="inlineStr">
        <is>
          <t>143811234:eng</t>
        </is>
      </c>
      <c r="AV584" t="inlineStr">
        <is>
          <t>17548918</t>
        </is>
      </c>
      <c r="AW584" t="inlineStr">
        <is>
          <t>991001233339702656</t>
        </is>
      </c>
      <c r="AX584" t="inlineStr">
        <is>
          <t>991001233339702656</t>
        </is>
      </c>
      <c r="AY584" t="inlineStr">
        <is>
          <t>2269487990002656</t>
        </is>
      </c>
      <c r="AZ584" t="inlineStr">
        <is>
          <t>BOOK</t>
        </is>
      </c>
      <c r="BB584" t="inlineStr">
        <is>
          <t>9780819157034</t>
        </is>
      </c>
      <c r="BC584" t="inlineStr">
        <is>
          <t>32285000377555</t>
        </is>
      </c>
      <c r="BD584" t="inlineStr">
        <is>
          <t>893684174</t>
        </is>
      </c>
    </row>
    <row r="585">
      <c r="A585" t="inlineStr">
        <is>
          <t>No</t>
        </is>
      </c>
      <c r="B585" t="inlineStr">
        <is>
          <t>PS3511.A86 Z77</t>
        </is>
      </c>
      <c r="C585" t="inlineStr">
        <is>
          <t>0                      PS 3511000A  86                 Z  77</t>
        </is>
      </c>
      <c r="D585" t="inlineStr">
        <is>
          <t>The Faulkner-Cowley file : letters and memories, 1944-1962.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Cowley, Malcolm, 1898-1989.</t>
        </is>
      </c>
      <c r="L585" t="inlineStr">
        <is>
          <t>New York : Viking Press, [1966]</t>
        </is>
      </c>
      <c r="M585" t="inlineStr">
        <is>
          <t>1966</t>
        </is>
      </c>
      <c r="O585" t="inlineStr">
        <is>
          <t>eng</t>
        </is>
      </c>
      <c r="P585" t="inlineStr">
        <is>
          <t>nyu</t>
        </is>
      </c>
      <c r="R585" t="inlineStr">
        <is>
          <t xml:space="preserve">PS </t>
        </is>
      </c>
      <c r="S585" t="n">
        <v>7</v>
      </c>
      <c r="T585" t="n">
        <v>7</v>
      </c>
      <c r="U585" t="inlineStr">
        <is>
          <t>2005-09-28</t>
        </is>
      </c>
      <c r="V585" t="inlineStr">
        <is>
          <t>2005-09-28</t>
        </is>
      </c>
      <c r="W585" t="inlineStr">
        <is>
          <t>1990-08-17</t>
        </is>
      </c>
      <c r="X585" t="inlineStr">
        <is>
          <t>1990-08-17</t>
        </is>
      </c>
      <c r="Y585" t="n">
        <v>1434</v>
      </c>
      <c r="Z585" t="n">
        <v>1335</v>
      </c>
      <c r="AA585" t="n">
        <v>1416</v>
      </c>
      <c r="AB585" t="n">
        <v>11</v>
      </c>
      <c r="AC585" t="n">
        <v>12</v>
      </c>
      <c r="AD585" t="n">
        <v>50</v>
      </c>
      <c r="AE585" t="n">
        <v>54</v>
      </c>
      <c r="AF585" t="n">
        <v>20</v>
      </c>
      <c r="AG585" t="n">
        <v>23</v>
      </c>
      <c r="AH585" t="n">
        <v>9</v>
      </c>
      <c r="AI585" t="n">
        <v>10</v>
      </c>
      <c r="AJ585" t="n">
        <v>23</v>
      </c>
      <c r="AK585" t="n">
        <v>24</v>
      </c>
      <c r="AL585" t="n">
        <v>9</v>
      </c>
      <c r="AM585" t="n">
        <v>10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HYPERLINK("http://catalog.hathitrust.org/Record/000388939","HathiTrust Record")</f>
        <v/>
      </c>
      <c r="AS585">
        <f>HYPERLINK("https://creighton-primo.hosted.exlibrisgroup.com/primo-explore/search?tab=default_tab&amp;search_scope=EVERYTHING&amp;vid=01CRU&amp;lang=en_US&amp;offset=0&amp;query=any,contains,991003182059702656","Catalog Record")</f>
        <v/>
      </c>
      <c r="AT585">
        <f>HYPERLINK("http://www.worldcat.org/oclc/711944","WorldCat Record")</f>
        <v/>
      </c>
      <c r="AU585" t="inlineStr">
        <is>
          <t>50861910:eng</t>
        </is>
      </c>
      <c r="AV585" t="inlineStr">
        <is>
          <t>711944</t>
        </is>
      </c>
      <c r="AW585" t="inlineStr">
        <is>
          <t>991003182059702656</t>
        </is>
      </c>
      <c r="AX585" t="inlineStr">
        <is>
          <t>991003182059702656</t>
        </is>
      </c>
      <c r="AY585" t="inlineStr">
        <is>
          <t>2261881720002656</t>
        </is>
      </c>
      <c r="AZ585" t="inlineStr">
        <is>
          <t>BOOK</t>
        </is>
      </c>
      <c r="BC585" t="inlineStr">
        <is>
          <t>32285000283506</t>
        </is>
      </c>
      <c r="BD585" t="inlineStr">
        <is>
          <t>893524509</t>
        </is>
      </c>
    </row>
    <row r="586">
      <c r="A586" t="inlineStr">
        <is>
          <t>No</t>
        </is>
      </c>
      <c r="B586" t="inlineStr">
        <is>
          <t>PS3511.A86 Z7832</t>
        </is>
      </c>
      <c r="C586" t="inlineStr">
        <is>
          <t>0                      PS 3511000A  86                 Z  7832</t>
        </is>
      </c>
      <c r="D586" t="inlineStr">
        <is>
          <t>The Falkners of Mississippi : a memoir / [by] Murry C. Falkner.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Falkner, Murry C., 1899-1975.</t>
        </is>
      </c>
      <c r="L586" t="inlineStr">
        <is>
          <t>Baton Rouge : Louisiana State University Press, [c1967]</t>
        </is>
      </c>
      <c r="M586" t="inlineStr">
        <is>
          <t>1967</t>
        </is>
      </c>
      <c r="O586" t="inlineStr">
        <is>
          <t>eng</t>
        </is>
      </c>
      <c r="P586" t="inlineStr">
        <is>
          <t>lau</t>
        </is>
      </c>
      <c r="R586" t="inlineStr">
        <is>
          <t xml:space="preserve">PS </t>
        </is>
      </c>
      <c r="S586" t="n">
        <v>2</v>
      </c>
      <c r="T586" t="n">
        <v>2</v>
      </c>
      <c r="U586" t="inlineStr">
        <is>
          <t>1993-01-24</t>
        </is>
      </c>
      <c r="V586" t="inlineStr">
        <is>
          <t>1993-01-24</t>
        </is>
      </c>
      <c r="W586" t="inlineStr">
        <is>
          <t>1990-09-18</t>
        </is>
      </c>
      <c r="X586" t="inlineStr">
        <is>
          <t>1990-09-18</t>
        </is>
      </c>
      <c r="Y586" t="n">
        <v>964</v>
      </c>
      <c r="Z586" t="n">
        <v>898</v>
      </c>
      <c r="AA586" t="n">
        <v>914</v>
      </c>
      <c r="AB586" t="n">
        <v>6</v>
      </c>
      <c r="AC586" t="n">
        <v>6</v>
      </c>
      <c r="AD586" t="n">
        <v>38</v>
      </c>
      <c r="AE586" t="n">
        <v>38</v>
      </c>
      <c r="AF586" t="n">
        <v>14</v>
      </c>
      <c r="AG586" t="n">
        <v>14</v>
      </c>
      <c r="AH586" t="n">
        <v>8</v>
      </c>
      <c r="AI586" t="n">
        <v>8</v>
      </c>
      <c r="AJ586" t="n">
        <v>22</v>
      </c>
      <c r="AK586" t="n">
        <v>22</v>
      </c>
      <c r="AL586" t="n">
        <v>4</v>
      </c>
      <c r="AM586" t="n">
        <v>4</v>
      </c>
      <c r="AN586" t="n">
        <v>0</v>
      </c>
      <c r="AO586" t="n">
        <v>0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HYPERLINK("http://catalog.hathitrust.org/Record/000388957","HathiTrust Record")</f>
        <v/>
      </c>
      <c r="AS586">
        <f>HYPERLINK("https://creighton-primo.hosted.exlibrisgroup.com/primo-explore/search?tab=default_tab&amp;search_scope=EVERYTHING&amp;vid=01CRU&amp;lang=en_US&amp;offset=0&amp;query=any,contains,991002201039702656","Catalog Record")</f>
        <v/>
      </c>
      <c r="AT586">
        <f>HYPERLINK("http://www.worldcat.org/oclc/284340","WorldCat Record")</f>
        <v/>
      </c>
      <c r="AU586" t="inlineStr">
        <is>
          <t>10228219:eng</t>
        </is>
      </c>
      <c r="AV586" t="inlineStr">
        <is>
          <t>284340</t>
        </is>
      </c>
      <c r="AW586" t="inlineStr">
        <is>
          <t>991002201039702656</t>
        </is>
      </c>
      <c r="AX586" t="inlineStr">
        <is>
          <t>991002201039702656</t>
        </is>
      </c>
      <c r="AY586" t="inlineStr">
        <is>
          <t>2262699350002656</t>
        </is>
      </c>
      <c r="AZ586" t="inlineStr">
        <is>
          <t>BOOK</t>
        </is>
      </c>
      <c r="BC586" t="inlineStr">
        <is>
          <t>32285000304161</t>
        </is>
      </c>
      <c r="BD586" t="inlineStr">
        <is>
          <t>893885968</t>
        </is>
      </c>
    </row>
    <row r="587">
      <c r="A587" t="inlineStr">
        <is>
          <t>No</t>
        </is>
      </c>
      <c r="B587" t="inlineStr">
        <is>
          <t>PS3511.A86 Z78322 1980</t>
        </is>
      </c>
      <c r="C587" t="inlineStr">
        <is>
          <t>0                      PS 3511000A  86                 Z  78322       1980</t>
        </is>
      </c>
      <c r="D587" t="inlineStr">
        <is>
          <t>Faulkner, the unappeased imagination : a collection of critical essays / edited by Glenn O. Carey.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Troy, N.Y. : Whitston Pub. Co., 1980.</t>
        </is>
      </c>
      <c r="M587" t="inlineStr">
        <is>
          <t>1980</t>
        </is>
      </c>
      <c r="O587" t="inlineStr">
        <is>
          <t>eng</t>
        </is>
      </c>
      <c r="P587" t="inlineStr">
        <is>
          <t>nyu</t>
        </is>
      </c>
      <c r="R587" t="inlineStr">
        <is>
          <t xml:space="preserve">PS </t>
        </is>
      </c>
      <c r="S587" t="n">
        <v>5</v>
      </c>
      <c r="T587" t="n">
        <v>5</v>
      </c>
      <c r="U587" t="inlineStr">
        <is>
          <t>1998-09-21</t>
        </is>
      </c>
      <c r="V587" t="inlineStr">
        <is>
          <t>1998-09-21</t>
        </is>
      </c>
      <c r="W587" t="inlineStr">
        <is>
          <t>1990-11-08</t>
        </is>
      </c>
      <c r="X587" t="inlineStr">
        <is>
          <t>1990-11-08</t>
        </is>
      </c>
      <c r="Y587" t="n">
        <v>562</v>
      </c>
      <c r="Z587" t="n">
        <v>490</v>
      </c>
      <c r="AA587" t="n">
        <v>573</v>
      </c>
      <c r="AB587" t="n">
        <v>5</v>
      </c>
      <c r="AC587" t="n">
        <v>5</v>
      </c>
      <c r="AD587" t="n">
        <v>23</v>
      </c>
      <c r="AE587" t="n">
        <v>28</v>
      </c>
      <c r="AF587" t="n">
        <v>8</v>
      </c>
      <c r="AG587" t="n">
        <v>12</v>
      </c>
      <c r="AH587" t="n">
        <v>5</v>
      </c>
      <c r="AI587" t="n">
        <v>6</v>
      </c>
      <c r="AJ587" t="n">
        <v>13</v>
      </c>
      <c r="AK587" t="n">
        <v>14</v>
      </c>
      <c r="AL587" t="n">
        <v>4</v>
      </c>
      <c r="AM587" t="n">
        <v>4</v>
      </c>
      <c r="AN587" t="n">
        <v>0</v>
      </c>
      <c r="AO587" t="n">
        <v>0</v>
      </c>
      <c r="AP587" t="inlineStr">
        <is>
          <t>No</t>
        </is>
      </c>
      <c r="AQ587" t="inlineStr">
        <is>
          <t>Yes</t>
        </is>
      </c>
      <c r="AR587">
        <f>HYPERLINK("http://catalog.hathitrust.org/Record/002648733","HathiTrust Record")</f>
        <v/>
      </c>
      <c r="AS587">
        <f>HYPERLINK("https://creighton-primo.hosted.exlibrisgroup.com/primo-explore/search?tab=default_tab&amp;search_scope=EVERYTHING&amp;vid=01CRU&amp;lang=en_US&amp;offset=0&amp;query=any,contains,991005013529702656","Catalog Record")</f>
        <v/>
      </c>
      <c r="AT587">
        <f>HYPERLINK("http://www.worldcat.org/oclc/6609787","WorldCat Record")</f>
        <v/>
      </c>
      <c r="AU587" t="inlineStr">
        <is>
          <t>3857999525:eng</t>
        </is>
      </c>
      <c r="AV587" t="inlineStr">
        <is>
          <t>6609787</t>
        </is>
      </c>
      <c r="AW587" t="inlineStr">
        <is>
          <t>991005013529702656</t>
        </is>
      </c>
      <c r="AX587" t="inlineStr">
        <is>
          <t>991005013529702656</t>
        </is>
      </c>
      <c r="AY587" t="inlineStr">
        <is>
          <t>2269830590002656</t>
        </is>
      </c>
      <c r="AZ587" t="inlineStr">
        <is>
          <t>BOOK</t>
        </is>
      </c>
      <c r="BB587" t="inlineStr">
        <is>
          <t>9780878751815</t>
        </is>
      </c>
      <c r="BC587" t="inlineStr">
        <is>
          <t>32285000377597</t>
        </is>
      </c>
      <c r="BD587" t="inlineStr">
        <is>
          <t>893520290</t>
        </is>
      </c>
    </row>
    <row r="588">
      <c r="A588" t="inlineStr">
        <is>
          <t>No</t>
        </is>
      </c>
      <c r="B588" t="inlineStr">
        <is>
          <t>PS3511.A86 Z78324</t>
        </is>
      </c>
      <c r="C588" t="inlineStr">
        <is>
          <t>0                      PS 3511000A  86                 Z  78324</t>
        </is>
      </c>
      <c r="D588" t="inlineStr">
        <is>
          <t>Fifty years of Yoknapatawpha : Faulkner and Yoknapatawpha, 1979 / edited by Doreen Fowler and Ann J. Abadie.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Jackson, MS : University Press of Mississippi, [1980]</t>
        </is>
      </c>
      <c r="M588" t="inlineStr">
        <is>
          <t>1980</t>
        </is>
      </c>
      <c r="O588" t="inlineStr">
        <is>
          <t>eng</t>
        </is>
      </c>
      <c r="P588" t="inlineStr">
        <is>
          <t>msu</t>
        </is>
      </c>
      <c r="R588" t="inlineStr">
        <is>
          <t xml:space="preserve">PS </t>
        </is>
      </c>
      <c r="S588" t="n">
        <v>2</v>
      </c>
      <c r="T588" t="n">
        <v>2</v>
      </c>
      <c r="U588" t="inlineStr">
        <is>
          <t>1994-04-11</t>
        </is>
      </c>
      <c r="V588" t="inlineStr">
        <is>
          <t>1994-04-11</t>
        </is>
      </c>
      <c r="W588" t="inlineStr">
        <is>
          <t>1993-12-08</t>
        </is>
      </c>
      <c r="X588" t="inlineStr">
        <is>
          <t>1993-12-08</t>
        </is>
      </c>
      <c r="Y588" t="n">
        <v>636</v>
      </c>
      <c r="Z588" t="n">
        <v>590</v>
      </c>
      <c r="AA588" t="n">
        <v>601</v>
      </c>
      <c r="AB588" t="n">
        <v>6</v>
      </c>
      <c r="AC588" t="n">
        <v>6</v>
      </c>
      <c r="AD588" t="n">
        <v>31</v>
      </c>
      <c r="AE588" t="n">
        <v>31</v>
      </c>
      <c r="AF588" t="n">
        <v>11</v>
      </c>
      <c r="AG588" t="n">
        <v>11</v>
      </c>
      <c r="AH588" t="n">
        <v>9</v>
      </c>
      <c r="AI588" t="n">
        <v>9</v>
      </c>
      <c r="AJ588" t="n">
        <v>14</v>
      </c>
      <c r="AK588" t="n">
        <v>14</v>
      </c>
      <c r="AL588" t="n">
        <v>5</v>
      </c>
      <c r="AM588" t="n">
        <v>5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HYPERLINK("http://catalog.hathitrust.org/Record/000744003","HathiTrust Record")</f>
        <v/>
      </c>
      <c r="AS588">
        <f>HYPERLINK("https://creighton-primo.hosted.exlibrisgroup.com/primo-explore/search?tab=default_tab&amp;search_scope=EVERYTHING&amp;vid=01CRU&amp;lang=en_US&amp;offset=0&amp;query=any,contains,991004927969702656","Catalog Record")</f>
        <v/>
      </c>
      <c r="AT588">
        <f>HYPERLINK("http://www.worldcat.org/oclc/6087678","WorldCat Record")</f>
        <v/>
      </c>
      <c r="AU588" t="inlineStr">
        <is>
          <t>892146918:eng</t>
        </is>
      </c>
      <c r="AV588" t="inlineStr">
        <is>
          <t>6087678</t>
        </is>
      </c>
      <c r="AW588" t="inlineStr">
        <is>
          <t>991004927969702656</t>
        </is>
      </c>
      <c r="AX588" t="inlineStr">
        <is>
          <t>991004927969702656</t>
        </is>
      </c>
      <c r="AY588" t="inlineStr">
        <is>
          <t>2259632110002656</t>
        </is>
      </c>
      <c r="AZ588" t="inlineStr">
        <is>
          <t>BOOK</t>
        </is>
      </c>
      <c r="BB588" t="inlineStr">
        <is>
          <t>9780878051212</t>
        </is>
      </c>
      <c r="BC588" t="inlineStr">
        <is>
          <t>32285001806578</t>
        </is>
      </c>
      <c r="BD588" t="inlineStr">
        <is>
          <t>893501100</t>
        </is>
      </c>
    </row>
    <row r="589">
      <c r="A589" t="inlineStr">
        <is>
          <t>No</t>
        </is>
      </c>
      <c r="B589" t="inlineStr">
        <is>
          <t>PS3511.A86 Z783248 1997</t>
        </is>
      </c>
      <c r="C589" t="inlineStr">
        <is>
          <t>0                      PS 3511000A  86                 Z  783248      1997</t>
        </is>
      </c>
      <c r="D589" t="inlineStr">
        <is>
          <t>Faulkner : the return of the repressed / Doreen Fowler.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Fowler, Doreen.</t>
        </is>
      </c>
      <c r="L589" t="inlineStr">
        <is>
          <t>Charlottesville, Va. : University Press of Virginia, 1997.</t>
        </is>
      </c>
      <c r="M589" t="inlineStr">
        <is>
          <t>1997</t>
        </is>
      </c>
      <c r="O589" t="inlineStr">
        <is>
          <t>eng</t>
        </is>
      </c>
      <c r="P589" t="inlineStr">
        <is>
          <t>vau</t>
        </is>
      </c>
      <c r="R589" t="inlineStr">
        <is>
          <t xml:space="preserve">PS </t>
        </is>
      </c>
      <c r="S589" t="n">
        <v>1</v>
      </c>
      <c r="T589" t="n">
        <v>1</v>
      </c>
      <c r="U589" t="inlineStr">
        <is>
          <t>2003-04-25</t>
        </is>
      </c>
      <c r="V589" t="inlineStr">
        <is>
          <t>2003-04-25</t>
        </is>
      </c>
      <c r="W589" t="inlineStr">
        <is>
          <t>1998-06-16</t>
        </is>
      </c>
      <c r="X589" t="inlineStr">
        <is>
          <t>1998-06-16</t>
        </is>
      </c>
      <c r="Y589" t="n">
        <v>495</v>
      </c>
      <c r="Z589" t="n">
        <v>407</v>
      </c>
      <c r="AA589" t="n">
        <v>435</v>
      </c>
      <c r="AB589" t="n">
        <v>3</v>
      </c>
      <c r="AC589" t="n">
        <v>3</v>
      </c>
      <c r="AD589" t="n">
        <v>22</v>
      </c>
      <c r="AE589" t="n">
        <v>22</v>
      </c>
      <c r="AF589" t="n">
        <v>6</v>
      </c>
      <c r="AG589" t="n">
        <v>6</v>
      </c>
      <c r="AH589" t="n">
        <v>6</v>
      </c>
      <c r="AI589" t="n">
        <v>6</v>
      </c>
      <c r="AJ589" t="n">
        <v>14</v>
      </c>
      <c r="AK589" t="n">
        <v>14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No</t>
        </is>
      </c>
      <c r="AS589">
        <f>HYPERLINK("https://creighton-primo.hosted.exlibrisgroup.com/primo-explore/search?tab=default_tab&amp;search_scope=EVERYTHING&amp;vid=01CRU&amp;lang=en_US&amp;offset=0&amp;query=any,contains,991002736979702656","Catalog Record")</f>
        <v/>
      </c>
      <c r="AT589">
        <f>HYPERLINK("http://www.worldcat.org/oclc/35924693","WorldCat Record")</f>
        <v/>
      </c>
      <c r="AU589" t="inlineStr">
        <is>
          <t>905751:eng</t>
        </is>
      </c>
      <c r="AV589" t="inlineStr">
        <is>
          <t>35924693</t>
        </is>
      </c>
      <c r="AW589" t="inlineStr">
        <is>
          <t>991002736979702656</t>
        </is>
      </c>
      <c r="AX589" t="inlineStr">
        <is>
          <t>991002736979702656</t>
        </is>
      </c>
      <c r="AY589" t="inlineStr">
        <is>
          <t>2265632630002656</t>
        </is>
      </c>
      <c r="AZ589" t="inlineStr">
        <is>
          <t>BOOK</t>
        </is>
      </c>
      <c r="BB589" t="inlineStr">
        <is>
          <t>9780813917276</t>
        </is>
      </c>
      <c r="BC589" t="inlineStr">
        <is>
          <t>32285003420998</t>
        </is>
      </c>
      <c r="BD589" t="inlineStr">
        <is>
          <t>893498486</t>
        </is>
      </c>
    </row>
    <row r="590">
      <c r="A590" t="inlineStr">
        <is>
          <t>No</t>
        </is>
      </c>
      <c r="B590" t="inlineStr">
        <is>
          <t>PS3511.A86 Z783265 1984</t>
        </is>
      </c>
      <c r="C590" t="inlineStr">
        <is>
          <t>0                      PS 3511000A  86                 Z  783265      1984</t>
        </is>
      </c>
      <c r="D590" t="inlineStr">
        <is>
          <t>William Faulkner / Alan Warren Friedman.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Friedman, Alan Warren.</t>
        </is>
      </c>
      <c r="L590" t="inlineStr">
        <is>
          <t>New York : F. Ungar Pub. Co., c1984.</t>
        </is>
      </c>
      <c r="M590" t="inlineStr">
        <is>
          <t>1984</t>
        </is>
      </c>
      <c r="O590" t="inlineStr">
        <is>
          <t>eng</t>
        </is>
      </c>
      <c r="P590" t="inlineStr">
        <is>
          <t>nyu</t>
        </is>
      </c>
      <c r="Q590" t="inlineStr">
        <is>
          <t>Literature and life series</t>
        </is>
      </c>
      <c r="R590" t="inlineStr">
        <is>
          <t xml:space="preserve">PS </t>
        </is>
      </c>
      <c r="S590" t="n">
        <v>5</v>
      </c>
      <c r="T590" t="n">
        <v>5</v>
      </c>
      <c r="U590" t="inlineStr">
        <is>
          <t>1994-05-05</t>
        </is>
      </c>
      <c r="V590" t="inlineStr">
        <is>
          <t>1994-05-05</t>
        </is>
      </c>
      <c r="W590" t="inlineStr">
        <is>
          <t>1991-01-08</t>
        </is>
      </c>
      <c r="X590" t="inlineStr">
        <is>
          <t>1991-01-08</t>
        </is>
      </c>
      <c r="Y590" t="n">
        <v>967</v>
      </c>
      <c r="Z590" t="n">
        <v>883</v>
      </c>
      <c r="AA590" t="n">
        <v>912</v>
      </c>
      <c r="AB590" t="n">
        <v>5</v>
      </c>
      <c r="AC590" t="n">
        <v>5</v>
      </c>
      <c r="AD590" t="n">
        <v>32</v>
      </c>
      <c r="AE590" t="n">
        <v>34</v>
      </c>
      <c r="AF590" t="n">
        <v>16</v>
      </c>
      <c r="AG590" t="n">
        <v>18</v>
      </c>
      <c r="AH590" t="n">
        <v>5</v>
      </c>
      <c r="AI590" t="n">
        <v>5</v>
      </c>
      <c r="AJ590" t="n">
        <v>16</v>
      </c>
      <c r="AK590" t="n">
        <v>17</v>
      </c>
      <c r="AL590" t="n">
        <v>3</v>
      </c>
      <c r="AM590" t="n">
        <v>3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HYPERLINK("http://catalog.hathitrust.org/Record/000459920","HathiTrust Record")</f>
        <v/>
      </c>
      <c r="AS590">
        <f>HYPERLINK("https://creighton-primo.hosted.exlibrisgroup.com/primo-explore/search?tab=default_tab&amp;search_scope=EVERYTHING&amp;vid=01CRU&amp;lang=en_US&amp;offset=0&amp;query=any,contains,991000531909702656","Catalog Record")</f>
        <v/>
      </c>
      <c r="AT590">
        <f>HYPERLINK("http://www.worldcat.org/oclc/11400030","WorldCat Record")</f>
        <v/>
      </c>
      <c r="AU590" t="inlineStr">
        <is>
          <t>1862269008:eng</t>
        </is>
      </c>
      <c r="AV590" t="inlineStr">
        <is>
          <t>11400030</t>
        </is>
      </c>
      <c r="AW590" t="inlineStr">
        <is>
          <t>991000531909702656</t>
        </is>
      </c>
      <c r="AX590" t="inlineStr">
        <is>
          <t>991000531909702656</t>
        </is>
      </c>
      <c r="AY590" t="inlineStr">
        <is>
          <t>2271984560002656</t>
        </is>
      </c>
      <c r="AZ590" t="inlineStr">
        <is>
          <t>BOOK</t>
        </is>
      </c>
      <c r="BB590" t="inlineStr">
        <is>
          <t>9780804422185</t>
        </is>
      </c>
      <c r="BC590" t="inlineStr">
        <is>
          <t>32285000454933</t>
        </is>
      </c>
      <c r="BD590" t="inlineStr">
        <is>
          <t>893515359</t>
        </is>
      </c>
    </row>
    <row r="591">
      <c r="A591" t="inlineStr">
        <is>
          <t>No</t>
        </is>
      </c>
      <c r="B591" t="inlineStr">
        <is>
          <t>PS3511.A86 Z79</t>
        </is>
      </c>
      <c r="C591" t="inlineStr">
        <is>
          <t>0                      PS 3511000A  86                 Z  79</t>
        </is>
      </c>
      <c r="D591" t="inlineStr">
        <is>
          <t>William Faulkner / by Frederick J. Hoffman.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Hoffman, Frederick J.</t>
        </is>
      </c>
      <c r="L591" t="inlineStr">
        <is>
          <t>Boston, Mass. : Twayne Publishers, 1966, c1961.</t>
        </is>
      </c>
      <c r="M591" t="inlineStr">
        <is>
          <t>1966</t>
        </is>
      </c>
      <c r="N591" t="inlineStr">
        <is>
          <t>2nd ed., rev.</t>
        </is>
      </c>
      <c r="O591" t="inlineStr">
        <is>
          <t>eng</t>
        </is>
      </c>
      <c r="P591" t="inlineStr">
        <is>
          <t>mau</t>
        </is>
      </c>
      <c r="Q591" t="inlineStr">
        <is>
          <t>Twayne's United States authors series, 1</t>
        </is>
      </c>
      <c r="R591" t="inlineStr">
        <is>
          <t xml:space="preserve">PS </t>
        </is>
      </c>
      <c r="S591" t="n">
        <v>1</v>
      </c>
      <c r="T591" t="n">
        <v>1</v>
      </c>
      <c r="U591" t="inlineStr">
        <is>
          <t>1994-05-05</t>
        </is>
      </c>
      <c r="V591" t="inlineStr">
        <is>
          <t>1994-05-05</t>
        </is>
      </c>
      <c r="W591" t="inlineStr">
        <is>
          <t>1990-08-17</t>
        </is>
      </c>
      <c r="X591" t="inlineStr">
        <is>
          <t>1990-08-17</t>
        </is>
      </c>
      <c r="Y591" t="n">
        <v>1253</v>
      </c>
      <c r="Z591" t="n">
        <v>1145</v>
      </c>
      <c r="AA591" t="n">
        <v>3572</v>
      </c>
      <c r="AB591" t="n">
        <v>9</v>
      </c>
      <c r="AC591" t="n">
        <v>39</v>
      </c>
      <c r="AD591" t="n">
        <v>35</v>
      </c>
      <c r="AE591" t="n">
        <v>70</v>
      </c>
      <c r="AF591" t="n">
        <v>14</v>
      </c>
      <c r="AG591" t="n">
        <v>28</v>
      </c>
      <c r="AH591" t="n">
        <v>7</v>
      </c>
      <c r="AI591" t="n">
        <v>11</v>
      </c>
      <c r="AJ591" t="n">
        <v>17</v>
      </c>
      <c r="AK591" t="n">
        <v>26</v>
      </c>
      <c r="AL591" t="n">
        <v>5</v>
      </c>
      <c r="AM591" t="n">
        <v>19</v>
      </c>
      <c r="AN591" t="n">
        <v>0</v>
      </c>
      <c r="AO591" t="n">
        <v>0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HYPERLINK("http://catalog.hathitrust.org/Record/002864350","HathiTrust Record")</f>
        <v/>
      </c>
      <c r="AS591">
        <f>HYPERLINK("https://creighton-primo.hosted.exlibrisgroup.com/primo-explore/search?tab=default_tab&amp;search_scope=EVERYTHING&amp;vid=01CRU&amp;lang=en_US&amp;offset=0&amp;query=any,contains,991001371549702656","Catalog Record")</f>
        <v/>
      </c>
      <c r="AT591">
        <f>HYPERLINK("http://www.worldcat.org/oclc/18580254","WorldCat Record")</f>
        <v/>
      </c>
      <c r="AU591" t="inlineStr">
        <is>
          <t>9381014929:eng</t>
        </is>
      </c>
      <c r="AV591" t="inlineStr">
        <is>
          <t>18580254</t>
        </is>
      </c>
      <c r="AW591" t="inlineStr">
        <is>
          <t>991001371549702656</t>
        </is>
      </c>
      <c r="AX591" t="inlineStr">
        <is>
          <t>991001371549702656</t>
        </is>
      </c>
      <c r="AY591" t="inlineStr">
        <is>
          <t>2256352410002656</t>
        </is>
      </c>
      <c r="AZ591" t="inlineStr">
        <is>
          <t>BOOK</t>
        </is>
      </c>
      <c r="BC591" t="inlineStr">
        <is>
          <t>32285000283456</t>
        </is>
      </c>
      <c r="BD591" t="inlineStr">
        <is>
          <t>893608802</t>
        </is>
      </c>
    </row>
    <row r="592">
      <c r="A592" t="inlineStr">
        <is>
          <t>No</t>
        </is>
      </c>
      <c r="B592" t="inlineStr">
        <is>
          <t>PS3511.A86 Z8 1960</t>
        </is>
      </c>
      <c r="C592" t="inlineStr">
        <is>
          <t>0                      PS 3511000A  86                 Z  8           1960</t>
        </is>
      </c>
      <c r="D592" t="inlineStr">
        <is>
          <t>William Faulkner : three decades of criticism / edited with an introd. and bibliography, by Frederick J. Hoffman and Olga W. Vickery.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Hoffman, Frederick J. editor.</t>
        </is>
      </c>
      <c r="L592" t="inlineStr">
        <is>
          <t>East Lansing] : Michigan State University Press, 1960.</t>
        </is>
      </c>
      <c r="M592" t="inlineStr">
        <is>
          <t>1960</t>
        </is>
      </c>
      <c r="N592" t="inlineStr">
        <is>
          <t>[1960 ed.</t>
        </is>
      </c>
      <c r="O592" t="inlineStr">
        <is>
          <t>eng</t>
        </is>
      </c>
      <c r="P592" t="inlineStr">
        <is>
          <t>miu</t>
        </is>
      </c>
      <c r="R592" t="inlineStr">
        <is>
          <t xml:space="preserve">PS </t>
        </is>
      </c>
      <c r="S592" t="n">
        <v>5</v>
      </c>
      <c r="T592" t="n">
        <v>5</v>
      </c>
      <c r="U592" t="inlineStr">
        <is>
          <t>1994-04-11</t>
        </is>
      </c>
      <c r="V592" t="inlineStr">
        <is>
          <t>1994-04-11</t>
        </is>
      </c>
      <c r="W592" t="inlineStr">
        <is>
          <t>1990-09-14</t>
        </is>
      </c>
      <c r="X592" t="inlineStr">
        <is>
          <t>1990-09-14</t>
        </is>
      </c>
      <c r="Y592" t="n">
        <v>1237</v>
      </c>
      <c r="Z592" t="n">
        <v>1116</v>
      </c>
      <c r="AA592" t="n">
        <v>1326</v>
      </c>
      <c r="AB592" t="n">
        <v>12</v>
      </c>
      <c r="AC592" t="n">
        <v>12</v>
      </c>
      <c r="AD592" t="n">
        <v>47</v>
      </c>
      <c r="AE592" t="n">
        <v>56</v>
      </c>
      <c r="AF592" t="n">
        <v>19</v>
      </c>
      <c r="AG592" t="n">
        <v>24</v>
      </c>
      <c r="AH592" t="n">
        <v>10</v>
      </c>
      <c r="AI592" t="n">
        <v>11</v>
      </c>
      <c r="AJ592" t="n">
        <v>20</v>
      </c>
      <c r="AK592" t="n">
        <v>24</v>
      </c>
      <c r="AL592" t="n">
        <v>9</v>
      </c>
      <c r="AM592" t="n">
        <v>9</v>
      </c>
      <c r="AN592" t="n">
        <v>0</v>
      </c>
      <c r="AO592" t="n">
        <v>0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HYPERLINK("http://catalog.hathitrust.org/Record/000435967","HathiTrust Record")</f>
        <v/>
      </c>
      <c r="AS592">
        <f>HYPERLINK("https://creighton-primo.hosted.exlibrisgroup.com/primo-explore/search?tab=default_tab&amp;search_scope=EVERYTHING&amp;vid=01CRU&amp;lang=en_US&amp;offset=0&amp;query=any,contains,991000941229702656","Catalog Record")</f>
        <v/>
      </c>
      <c r="AT592">
        <f>HYPERLINK("http://www.worldcat.org/oclc/166193","WorldCat Record")</f>
        <v/>
      </c>
      <c r="AU592" t="inlineStr">
        <is>
          <t>10567154587:eng</t>
        </is>
      </c>
      <c r="AV592" t="inlineStr">
        <is>
          <t>166193</t>
        </is>
      </c>
      <c r="AW592" t="inlineStr">
        <is>
          <t>991000941229702656</t>
        </is>
      </c>
      <c r="AX592" t="inlineStr">
        <is>
          <t>991000941229702656</t>
        </is>
      </c>
      <c r="AY592" t="inlineStr">
        <is>
          <t>2271000190002656</t>
        </is>
      </c>
      <c r="AZ592" t="inlineStr">
        <is>
          <t>BOOK</t>
        </is>
      </c>
      <c r="BC592" t="inlineStr">
        <is>
          <t>32285000304526</t>
        </is>
      </c>
      <c r="BD592" t="inlineStr">
        <is>
          <t>893321506</t>
        </is>
      </c>
    </row>
    <row r="593">
      <c r="A593" t="inlineStr">
        <is>
          <t>No</t>
        </is>
      </c>
      <c r="B593" t="inlineStr">
        <is>
          <t>PS3511.A86 Z854</t>
        </is>
      </c>
      <c r="C593" t="inlineStr">
        <is>
          <t>0                      PS 3511000A  86                 Z  854</t>
        </is>
      </c>
      <c r="D593" t="inlineStr">
        <is>
          <t>Doubling and incest/repetition and revenge : a speculative reading of Faulkner / John T. Irwin.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Irwin, John T.</t>
        </is>
      </c>
      <c r="L593" t="inlineStr">
        <is>
          <t>Baltimore : Johns Hopkins University Press, [1975]</t>
        </is>
      </c>
      <c r="M593" t="inlineStr">
        <is>
          <t>1975</t>
        </is>
      </c>
      <c r="O593" t="inlineStr">
        <is>
          <t>eng</t>
        </is>
      </c>
      <c r="P593" t="inlineStr">
        <is>
          <t>mdu</t>
        </is>
      </c>
      <c r="R593" t="inlineStr">
        <is>
          <t xml:space="preserve">PS </t>
        </is>
      </c>
      <c r="S593" t="n">
        <v>6</v>
      </c>
      <c r="T593" t="n">
        <v>6</v>
      </c>
      <c r="U593" t="inlineStr">
        <is>
          <t>1994-04-23</t>
        </is>
      </c>
      <c r="V593" t="inlineStr">
        <is>
          <t>1994-04-23</t>
        </is>
      </c>
      <c r="W593" t="inlineStr">
        <is>
          <t>1990-08-17</t>
        </is>
      </c>
      <c r="X593" t="inlineStr">
        <is>
          <t>1990-08-17</t>
        </is>
      </c>
      <c r="Y593" t="n">
        <v>1095</v>
      </c>
      <c r="Z593" t="n">
        <v>940</v>
      </c>
      <c r="AA593" t="n">
        <v>1005</v>
      </c>
      <c r="AB593" t="n">
        <v>10</v>
      </c>
      <c r="AC593" t="n">
        <v>10</v>
      </c>
      <c r="AD593" t="n">
        <v>53</v>
      </c>
      <c r="AE593" t="n">
        <v>53</v>
      </c>
      <c r="AF593" t="n">
        <v>24</v>
      </c>
      <c r="AG593" t="n">
        <v>24</v>
      </c>
      <c r="AH593" t="n">
        <v>9</v>
      </c>
      <c r="AI593" t="n">
        <v>9</v>
      </c>
      <c r="AJ593" t="n">
        <v>24</v>
      </c>
      <c r="AK593" t="n">
        <v>24</v>
      </c>
      <c r="AL593" t="n">
        <v>8</v>
      </c>
      <c r="AM593" t="n">
        <v>8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HYPERLINK("http://catalog.hathitrust.org/Record/000034244","HathiTrust Record")</f>
        <v/>
      </c>
      <c r="AS593">
        <f>HYPERLINK("https://creighton-primo.hosted.exlibrisgroup.com/primo-explore/search?tab=default_tab&amp;search_scope=EVERYTHING&amp;vid=01CRU&amp;lang=en_US&amp;offset=0&amp;query=any,contains,991003784549702656","Catalog Record")</f>
        <v/>
      </c>
      <c r="AT593">
        <f>HYPERLINK("http://www.worldcat.org/oclc/1500104","WorldCat Record")</f>
        <v/>
      </c>
      <c r="AU593" t="inlineStr">
        <is>
          <t>578222:eng</t>
        </is>
      </c>
      <c r="AV593" t="inlineStr">
        <is>
          <t>1500104</t>
        </is>
      </c>
      <c r="AW593" t="inlineStr">
        <is>
          <t>991003784549702656</t>
        </is>
      </c>
      <c r="AX593" t="inlineStr">
        <is>
          <t>991003784549702656</t>
        </is>
      </c>
      <c r="AY593" t="inlineStr">
        <is>
          <t>2260379620002656</t>
        </is>
      </c>
      <c r="AZ593" t="inlineStr">
        <is>
          <t>BOOK</t>
        </is>
      </c>
      <c r="BB593" t="inlineStr">
        <is>
          <t>9780801817229</t>
        </is>
      </c>
      <c r="BC593" t="inlineStr">
        <is>
          <t>32285000283449</t>
        </is>
      </c>
      <c r="BD593" t="inlineStr">
        <is>
          <t>893711799</t>
        </is>
      </c>
    </row>
    <row r="594">
      <c r="A594" t="inlineStr">
        <is>
          <t>No</t>
        </is>
      </c>
      <c r="B594" t="inlineStr">
        <is>
          <t>PS3511.A86 Z8597</t>
        </is>
      </c>
      <c r="C594" t="inlineStr">
        <is>
          <t>0                      PS 3511000A  86                 Z  8597</t>
        </is>
      </c>
      <c r="D594" t="inlineStr">
        <is>
          <t>William Faulkner's gothic domain / Elizabeth M. Kerr.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Kerr, Elizabeth Margaret, 1905-</t>
        </is>
      </c>
      <c r="L594" t="inlineStr">
        <is>
          <t>Port Washington, N.Y. : Kennikat Press, 1979.</t>
        </is>
      </c>
      <c r="M594" t="inlineStr">
        <is>
          <t>1979</t>
        </is>
      </c>
      <c r="O594" t="inlineStr">
        <is>
          <t>eng</t>
        </is>
      </c>
      <c r="P594" t="inlineStr">
        <is>
          <t>nyu</t>
        </is>
      </c>
      <c r="Q594" t="inlineStr">
        <is>
          <t>Kennikat Press national university publications</t>
        </is>
      </c>
      <c r="R594" t="inlineStr">
        <is>
          <t xml:space="preserve">PS </t>
        </is>
      </c>
      <c r="S594" t="n">
        <v>4</v>
      </c>
      <c r="T594" t="n">
        <v>4</v>
      </c>
      <c r="U594" t="inlineStr">
        <is>
          <t>2005-04-21</t>
        </is>
      </c>
      <c r="V594" t="inlineStr">
        <is>
          <t>2005-04-21</t>
        </is>
      </c>
      <c r="W594" t="inlineStr">
        <is>
          <t>1990-08-02</t>
        </is>
      </c>
      <c r="X594" t="inlineStr">
        <is>
          <t>1990-08-02</t>
        </is>
      </c>
      <c r="Y594" t="n">
        <v>801</v>
      </c>
      <c r="Z594" t="n">
        <v>693</v>
      </c>
      <c r="AA594" t="n">
        <v>700</v>
      </c>
      <c r="AB594" t="n">
        <v>7</v>
      </c>
      <c r="AC594" t="n">
        <v>7</v>
      </c>
      <c r="AD594" t="n">
        <v>35</v>
      </c>
      <c r="AE594" t="n">
        <v>35</v>
      </c>
      <c r="AF594" t="n">
        <v>12</v>
      </c>
      <c r="AG594" t="n">
        <v>12</v>
      </c>
      <c r="AH594" t="n">
        <v>7</v>
      </c>
      <c r="AI594" t="n">
        <v>7</v>
      </c>
      <c r="AJ594" t="n">
        <v>18</v>
      </c>
      <c r="AK594" t="n">
        <v>18</v>
      </c>
      <c r="AL594" t="n">
        <v>6</v>
      </c>
      <c r="AM594" t="n">
        <v>6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HYPERLINK("http://catalog.hathitrust.org/Record/000259179","HathiTrust Record")</f>
        <v/>
      </c>
      <c r="AS594">
        <f>HYPERLINK("https://creighton-primo.hosted.exlibrisgroup.com/primo-explore/search?tab=default_tab&amp;search_scope=EVERYTHING&amp;vid=01CRU&amp;lang=en_US&amp;offset=0&amp;query=any,contains,991005372859702656","Catalog Record")</f>
        <v/>
      </c>
      <c r="AT594">
        <f>HYPERLINK("http://www.worldcat.org/oclc/4593065","WorldCat Record")</f>
        <v/>
      </c>
      <c r="AU594" t="inlineStr">
        <is>
          <t>459073:eng</t>
        </is>
      </c>
      <c r="AV594" t="inlineStr">
        <is>
          <t>4593065</t>
        </is>
      </c>
      <c r="AW594" t="inlineStr">
        <is>
          <t>991005372859702656</t>
        </is>
      </c>
      <c r="AX594" t="inlineStr">
        <is>
          <t>991005372859702656</t>
        </is>
      </c>
      <c r="AY594" t="inlineStr">
        <is>
          <t>2271056730002656</t>
        </is>
      </c>
      <c r="AZ594" t="inlineStr">
        <is>
          <t>BOOK</t>
        </is>
      </c>
      <c r="BB594" t="inlineStr">
        <is>
          <t>9780804692281</t>
        </is>
      </c>
      <c r="BC594" t="inlineStr">
        <is>
          <t>32285000262583</t>
        </is>
      </c>
      <c r="BD594" t="inlineStr">
        <is>
          <t>893890129</t>
        </is>
      </c>
    </row>
    <row r="595">
      <c r="A595" t="inlineStr">
        <is>
          <t>No</t>
        </is>
      </c>
      <c r="B595" t="inlineStr">
        <is>
          <t>PS3511.A86 Z8598 1985</t>
        </is>
      </c>
      <c r="C595" t="inlineStr">
        <is>
          <t>0                      PS 3511000A  86                 Z  8598        1985</t>
        </is>
      </c>
      <c r="D595" t="inlineStr">
        <is>
          <t>William Faulkner's Yoknapatawpha : "a kind of keystone in the universe" / Elizabeth M. Kerr.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Kerr, Elizabeth Margaret, 1905-</t>
        </is>
      </c>
      <c r="L595" t="inlineStr">
        <is>
          <t>New York : Fordham University Press, 1983.</t>
        </is>
      </c>
      <c r="M595" t="inlineStr">
        <is>
          <t>1985</t>
        </is>
      </c>
      <c r="N595" t="inlineStr">
        <is>
          <t>Rev. ed.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PS </t>
        </is>
      </c>
      <c r="S595" t="n">
        <v>6</v>
      </c>
      <c r="T595" t="n">
        <v>6</v>
      </c>
      <c r="U595" t="inlineStr">
        <is>
          <t>2005-04-13</t>
        </is>
      </c>
      <c r="V595" t="inlineStr">
        <is>
          <t>2005-04-13</t>
        </is>
      </c>
      <c r="W595" t="inlineStr">
        <is>
          <t>1990-11-08</t>
        </is>
      </c>
      <c r="X595" t="inlineStr">
        <is>
          <t>1990-11-08</t>
        </is>
      </c>
      <c r="Y595" t="n">
        <v>174</v>
      </c>
      <c r="Z595" t="n">
        <v>151</v>
      </c>
      <c r="AA595" t="n">
        <v>1102</v>
      </c>
      <c r="AB595" t="n">
        <v>1</v>
      </c>
      <c r="AC595" t="n">
        <v>5</v>
      </c>
      <c r="AD595" t="n">
        <v>8</v>
      </c>
      <c r="AE595" t="n">
        <v>44</v>
      </c>
      <c r="AF595" t="n">
        <v>4</v>
      </c>
      <c r="AG595" t="n">
        <v>21</v>
      </c>
      <c r="AH595" t="n">
        <v>2</v>
      </c>
      <c r="AI595" t="n">
        <v>11</v>
      </c>
      <c r="AJ595" t="n">
        <v>5</v>
      </c>
      <c r="AK595" t="n">
        <v>20</v>
      </c>
      <c r="AL595" t="n">
        <v>0</v>
      </c>
      <c r="AM595" t="n">
        <v>4</v>
      </c>
      <c r="AN595" t="n">
        <v>0</v>
      </c>
      <c r="AO595" t="n">
        <v>0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HYPERLINK("http://catalog.hathitrust.org/Record/003193719","HathiTrust Record")</f>
        <v/>
      </c>
      <c r="AS595">
        <f>HYPERLINK("https://creighton-primo.hosted.exlibrisgroup.com/primo-explore/search?tab=default_tab&amp;search_scope=EVERYTHING&amp;vid=01CRU&amp;lang=en_US&amp;offset=0&amp;query=any,contains,991000614979702656","Catalog Record")</f>
        <v/>
      </c>
      <c r="AT595">
        <f>HYPERLINK("http://www.worldcat.org/oclc/11924280","WorldCat Record")</f>
        <v/>
      </c>
      <c r="AU595" t="inlineStr">
        <is>
          <t>713239:eng</t>
        </is>
      </c>
      <c r="AV595" t="inlineStr">
        <is>
          <t>11924280</t>
        </is>
      </c>
      <c r="AW595" t="inlineStr">
        <is>
          <t>991000614979702656</t>
        </is>
      </c>
      <c r="AX595" t="inlineStr">
        <is>
          <t>991000614979702656</t>
        </is>
      </c>
      <c r="AY595" t="inlineStr">
        <is>
          <t>2272034160002656</t>
        </is>
      </c>
      <c r="AZ595" t="inlineStr">
        <is>
          <t>BOOK</t>
        </is>
      </c>
      <c r="BB595" t="inlineStr">
        <is>
          <t>9780823211340</t>
        </is>
      </c>
      <c r="BC595" t="inlineStr">
        <is>
          <t>32285000377605</t>
        </is>
      </c>
      <c r="BD595" t="inlineStr">
        <is>
          <t>893339719</t>
        </is>
      </c>
    </row>
    <row r="596">
      <c r="A596" t="inlineStr">
        <is>
          <t>No</t>
        </is>
      </c>
      <c r="B596" t="inlineStr">
        <is>
          <t>PS3511.A86 Z866</t>
        </is>
      </c>
      <c r="C596" t="inlineStr">
        <is>
          <t>0                      PS 3511000A  86                 Z  866</t>
        </is>
      </c>
      <c r="D596" t="inlineStr">
        <is>
          <t>Faulkner's narrative poetics : style as vision / Arthur F. Kinney. --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Kinney, Arthur F., 1933-</t>
        </is>
      </c>
      <c r="L596" t="inlineStr">
        <is>
          <t>Amherst : University of Massachusetts Press, 1978.</t>
        </is>
      </c>
      <c r="M596" t="inlineStr">
        <is>
          <t>1978</t>
        </is>
      </c>
      <c r="O596" t="inlineStr">
        <is>
          <t>eng</t>
        </is>
      </c>
      <c r="P596" t="inlineStr">
        <is>
          <t>mau</t>
        </is>
      </c>
      <c r="R596" t="inlineStr">
        <is>
          <t xml:space="preserve">PS </t>
        </is>
      </c>
      <c r="S596" t="n">
        <v>4</v>
      </c>
      <c r="T596" t="n">
        <v>4</v>
      </c>
      <c r="U596" t="inlineStr">
        <is>
          <t>2005-04-18</t>
        </is>
      </c>
      <c r="V596" t="inlineStr">
        <is>
          <t>2005-04-18</t>
        </is>
      </c>
      <c r="W596" t="inlineStr">
        <is>
          <t>1990-11-08</t>
        </is>
      </c>
      <c r="X596" t="inlineStr">
        <is>
          <t>1990-11-08</t>
        </is>
      </c>
      <c r="Y596" t="n">
        <v>705</v>
      </c>
      <c r="Z596" t="n">
        <v>607</v>
      </c>
      <c r="AA596" t="n">
        <v>1159</v>
      </c>
      <c r="AB596" t="n">
        <v>9</v>
      </c>
      <c r="AC596" t="n">
        <v>11</v>
      </c>
      <c r="AD596" t="n">
        <v>35</v>
      </c>
      <c r="AE596" t="n">
        <v>40</v>
      </c>
      <c r="AF596" t="n">
        <v>11</v>
      </c>
      <c r="AG596" t="n">
        <v>13</v>
      </c>
      <c r="AH596" t="n">
        <v>5</v>
      </c>
      <c r="AI596" t="n">
        <v>6</v>
      </c>
      <c r="AJ596" t="n">
        <v>20</v>
      </c>
      <c r="AK596" t="n">
        <v>21</v>
      </c>
      <c r="AL596" t="n">
        <v>7</v>
      </c>
      <c r="AM596" t="n">
        <v>9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HYPERLINK("http://catalog.hathitrust.org/Record/000091557","HathiTrust Record")</f>
        <v/>
      </c>
      <c r="AS596">
        <f>HYPERLINK("https://creighton-primo.hosted.exlibrisgroup.com/primo-explore/search?tab=default_tab&amp;search_scope=EVERYTHING&amp;vid=01CRU&amp;lang=en_US&amp;offset=0&amp;query=any,contains,991004475869702656","Catalog Record")</f>
        <v/>
      </c>
      <c r="AT596">
        <f>HYPERLINK("http://www.worldcat.org/oclc/5029877","WorldCat Record")</f>
        <v/>
      </c>
      <c r="AU596" t="inlineStr">
        <is>
          <t>514634:eng</t>
        </is>
      </c>
      <c r="AV596" t="inlineStr">
        <is>
          <t>5029877</t>
        </is>
      </c>
      <c r="AW596" t="inlineStr">
        <is>
          <t>991004475869702656</t>
        </is>
      </c>
      <c r="AX596" t="inlineStr">
        <is>
          <t>991004475869702656</t>
        </is>
      </c>
      <c r="AY596" t="inlineStr">
        <is>
          <t>2271694910002656</t>
        </is>
      </c>
      <c r="AZ596" t="inlineStr">
        <is>
          <t>BOOK</t>
        </is>
      </c>
      <c r="BB596" t="inlineStr">
        <is>
          <t>9780870232510</t>
        </is>
      </c>
      <c r="BC596" t="inlineStr">
        <is>
          <t>32285000377613</t>
        </is>
      </c>
      <c r="BD596" t="inlineStr">
        <is>
          <t>893263293</t>
        </is>
      </c>
    </row>
    <row r="597">
      <c r="A597" t="inlineStr">
        <is>
          <t>No</t>
        </is>
      </c>
      <c r="B597" t="inlineStr">
        <is>
          <t>PS3511.A86 Z877</t>
        </is>
      </c>
      <c r="C597" t="inlineStr">
        <is>
          <t>0                      PS 3511000A  86                 Z  877</t>
        </is>
      </c>
      <c r="D597" t="inlineStr">
        <is>
          <t>Faulkner's heroic design : the Yoknapatawpha novels / Lynn Gartrell Levins.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Levins, Lynn Gartrell.</t>
        </is>
      </c>
      <c r="L597" t="inlineStr">
        <is>
          <t>Athens : University of Georgia Press, c1976.</t>
        </is>
      </c>
      <c r="M597" t="inlineStr">
        <is>
          <t>1976</t>
        </is>
      </c>
      <c r="O597" t="inlineStr">
        <is>
          <t>eng</t>
        </is>
      </c>
      <c r="P597" t="inlineStr">
        <is>
          <t>gau</t>
        </is>
      </c>
      <c r="R597" t="inlineStr">
        <is>
          <t xml:space="preserve">PS </t>
        </is>
      </c>
      <c r="S597" t="n">
        <v>1</v>
      </c>
      <c r="T597" t="n">
        <v>1</v>
      </c>
      <c r="U597" t="inlineStr">
        <is>
          <t>2005-04-20</t>
        </is>
      </c>
      <c r="V597" t="inlineStr">
        <is>
          <t>2005-04-20</t>
        </is>
      </c>
      <c r="W597" t="inlineStr">
        <is>
          <t>1994-07-06</t>
        </is>
      </c>
      <c r="X597" t="inlineStr">
        <is>
          <t>1994-07-06</t>
        </is>
      </c>
      <c r="Y597" t="n">
        <v>975</v>
      </c>
      <c r="Z597" t="n">
        <v>879</v>
      </c>
      <c r="AA597" t="n">
        <v>890</v>
      </c>
      <c r="AB597" t="n">
        <v>9</v>
      </c>
      <c r="AC597" t="n">
        <v>10</v>
      </c>
      <c r="AD597" t="n">
        <v>38</v>
      </c>
      <c r="AE597" t="n">
        <v>39</v>
      </c>
      <c r="AF597" t="n">
        <v>15</v>
      </c>
      <c r="AG597" t="n">
        <v>15</v>
      </c>
      <c r="AH597" t="n">
        <v>8</v>
      </c>
      <c r="AI597" t="n">
        <v>8</v>
      </c>
      <c r="AJ597" t="n">
        <v>15</v>
      </c>
      <c r="AK597" t="n">
        <v>15</v>
      </c>
      <c r="AL597" t="n">
        <v>8</v>
      </c>
      <c r="AM597" t="n">
        <v>9</v>
      </c>
      <c r="AN597" t="n">
        <v>0</v>
      </c>
      <c r="AO597" t="n">
        <v>0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HYPERLINK("https://creighton-primo.hosted.exlibrisgroup.com/primo-explore/search?tab=default_tab&amp;search_scope=EVERYTHING&amp;vid=01CRU&amp;lang=en_US&amp;offset=0&amp;query=any,contains,991004090169702656","Catalog Record")</f>
        <v/>
      </c>
      <c r="AT597">
        <f>HYPERLINK("http://www.worldcat.org/oclc/2344002","WorldCat Record")</f>
        <v/>
      </c>
      <c r="AU597" t="inlineStr">
        <is>
          <t>196730390:eng</t>
        </is>
      </c>
      <c r="AV597" t="inlineStr">
        <is>
          <t>2344002</t>
        </is>
      </c>
      <c r="AW597" t="inlineStr">
        <is>
          <t>991004090169702656</t>
        </is>
      </c>
      <c r="AX597" t="inlineStr">
        <is>
          <t>991004090169702656</t>
        </is>
      </c>
      <c r="AY597" t="inlineStr">
        <is>
          <t>2263931460002656</t>
        </is>
      </c>
      <c r="AZ597" t="inlineStr">
        <is>
          <t>BOOK</t>
        </is>
      </c>
      <c r="BB597" t="inlineStr">
        <is>
          <t>9780820303741</t>
        </is>
      </c>
      <c r="BC597" t="inlineStr">
        <is>
          <t>32285001936045</t>
        </is>
      </c>
      <c r="BD597" t="inlineStr">
        <is>
          <t>893624331</t>
        </is>
      </c>
    </row>
    <row r="598">
      <c r="A598" t="inlineStr">
        <is>
          <t>No</t>
        </is>
      </c>
      <c r="B598" t="inlineStr">
        <is>
          <t>PS3511.A86 Z88</t>
        </is>
      </c>
      <c r="C598" t="inlineStr">
        <is>
          <t>0                      PS 3511000A  86                 Z  88</t>
        </is>
      </c>
      <c r="D598" t="inlineStr">
        <is>
          <t>The tragic mask : a study of Faulkner's heroes.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Longley, John Lewis.</t>
        </is>
      </c>
      <c r="L598" t="inlineStr">
        <is>
          <t>Chapel Hill : University of North Carolina Press, [1963]</t>
        </is>
      </c>
      <c r="M598" t="inlineStr">
        <is>
          <t>1963</t>
        </is>
      </c>
      <c r="O598" t="inlineStr">
        <is>
          <t>eng</t>
        </is>
      </c>
      <c r="P598" t="inlineStr">
        <is>
          <t>ncu</t>
        </is>
      </c>
      <c r="R598" t="inlineStr">
        <is>
          <t xml:space="preserve">PS </t>
        </is>
      </c>
      <c r="S598" t="n">
        <v>3</v>
      </c>
      <c r="T598" t="n">
        <v>3</v>
      </c>
      <c r="U598" t="inlineStr">
        <is>
          <t>1996-02-11</t>
        </is>
      </c>
      <c r="V598" t="inlineStr">
        <is>
          <t>1996-02-11</t>
        </is>
      </c>
      <c r="W598" t="inlineStr">
        <is>
          <t>1994-07-06</t>
        </is>
      </c>
      <c r="X598" t="inlineStr">
        <is>
          <t>1994-07-06</t>
        </is>
      </c>
      <c r="Y598" t="n">
        <v>1349</v>
      </c>
      <c r="Z598" t="n">
        <v>1210</v>
      </c>
      <c r="AA598" t="n">
        <v>1219</v>
      </c>
      <c r="AB598" t="n">
        <v>10</v>
      </c>
      <c r="AC598" t="n">
        <v>10</v>
      </c>
      <c r="AD598" t="n">
        <v>49</v>
      </c>
      <c r="AE598" t="n">
        <v>49</v>
      </c>
      <c r="AF598" t="n">
        <v>20</v>
      </c>
      <c r="AG598" t="n">
        <v>20</v>
      </c>
      <c r="AH598" t="n">
        <v>9</v>
      </c>
      <c r="AI598" t="n">
        <v>9</v>
      </c>
      <c r="AJ598" t="n">
        <v>23</v>
      </c>
      <c r="AK598" t="n">
        <v>23</v>
      </c>
      <c r="AL598" t="n">
        <v>9</v>
      </c>
      <c r="AM598" t="n">
        <v>9</v>
      </c>
      <c r="AN598" t="n">
        <v>0</v>
      </c>
      <c r="AO598" t="n">
        <v>0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HYPERLINK("http://catalog.hathitrust.org/Record/000389154","HathiTrust Record")</f>
        <v/>
      </c>
      <c r="AS598">
        <f>HYPERLINK("https://creighton-primo.hosted.exlibrisgroup.com/primo-explore/search?tab=default_tab&amp;search_scope=EVERYTHING&amp;vid=01CRU&amp;lang=en_US&amp;offset=0&amp;query=any,contains,991000948329702656","Catalog Record")</f>
        <v/>
      </c>
      <c r="AT598">
        <f>HYPERLINK("http://www.worldcat.org/oclc/167458","WorldCat Record")</f>
        <v/>
      </c>
      <c r="AU598" t="inlineStr">
        <is>
          <t>465490:eng</t>
        </is>
      </c>
      <c r="AV598" t="inlineStr">
        <is>
          <t>167458</t>
        </is>
      </c>
      <c r="AW598" t="inlineStr">
        <is>
          <t>991000948329702656</t>
        </is>
      </c>
      <c r="AX598" t="inlineStr">
        <is>
          <t>991000948329702656</t>
        </is>
      </c>
      <c r="AY598" t="inlineStr">
        <is>
          <t>2272358450002656</t>
        </is>
      </c>
      <c r="AZ598" t="inlineStr">
        <is>
          <t>BOOK</t>
        </is>
      </c>
      <c r="BC598" t="inlineStr">
        <is>
          <t>32285001936052</t>
        </is>
      </c>
      <c r="BD598" t="inlineStr">
        <is>
          <t>893315384</t>
        </is>
      </c>
    </row>
    <row r="599">
      <c r="A599" t="inlineStr">
        <is>
          <t>No</t>
        </is>
      </c>
      <c r="B599" t="inlineStr">
        <is>
          <t>PS3511.A86 Z894 1966a</t>
        </is>
      </c>
      <c r="C599" t="inlineStr">
        <is>
          <t>0                      PS 3511000A  86                 Z  894         1966a</t>
        </is>
      </c>
      <c r="D599" t="inlineStr">
        <is>
          <t>The achievement of William Faulkner.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Millgate, Michael.</t>
        </is>
      </c>
      <c r="L599" t="inlineStr">
        <is>
          <t>New York : Random House, [1966]</t>
        </is>
      </c>
      <c r="M599" t="inlineStr">
        <is>
          <t>1966</t>
        </is>
      </c>
      <c r="O599" t="inlineStr">
        <is>
          <t>eng</t>
        </is>
      </c>
      <c r="P599" t="inlineStr">
        <is>
          <t>nyu</t>
        </is>
      </c>
      <c r="R599" t="inlineStr">
        <is>
          <t xml:space="preserve">PS </t>
        </is>
      </c>
      <c r="S599" t="n">
        <v>9</v>
      </c>
      <c r="T599" t="n">
        <v>9</v>
      </c>
      <c r="U599" t="inlineStr">
        <is>
          <t>2000-04-10</t>
        </is>
      </c>
      <c r="V599" t="inlineStr">
        <is>
          <t>2000-04-10</t>
        </is>
      </c>
      <c r="W599" t="inlineStr">
        <is>
          <t>1990-08-17</t>
        </is>
      </c>
      <c r="X599" t="inlineStr">
        <is>
          <t>1990-08-17</t>
        </is>
      </c>
      <c r="Y599" t="n">
        <v>1104</v>
      </c>
      <c r="Z599" t="n">
        <v>1032</v>
      </c>
      <c r="AA599" t="n">
        <v>1329</v>
      </c>
      <c r="AB599" t="n">
        <v>6</v>
      </c>
      <c r="AC599" t="n">
        <v>10</v>
      </c>
      <c r="AD599" t="n">
        <v>39</v>
      </c>
      <c r="AE599" t="n">
        <v>49</v>
      </c>
      <c r="AF599" t="n">
        <v>18</v>
      </c>
      <c r="AG599" t="n">
        <v>23</v>
      </c>
      <c r="AH599" t="n">
        <v>8</v>
      </c>
      <c r="AI599" t="n">
        <v>8</v>
      </c>
      <c r="AJ599" t="n">
        <v>20</v>
      </c>
      <c r="AK599" t="n">
        <v>23</v>
      </c>
      <c r="AL599" t="n">
        <v>5</v>
      </c>
      <c r="AM599" t="n">
        <v>8</v>
      </c>
      <c r="AN599" t="n">
        <v>0</v>
      </c>
      <c r="AO599" t="n">
        <v>0</v>
      </c>
      <c r="AP599" t="inlineStr">
        <is>
          <t>No</t>
        </is>
      </c>
      <c r="AQ599" t="inlineStr">
        <is>
          <t>Yes</t>
        </is>
      </c>
      <c r="AR599">
        <f>HYPERLINK("http://catalog.hathitrust.org/Record/000394914","HathiTrust Record")</f>
        <v/>
      </c>
      <c r="AS599">
        <f>HYPERLINK("https://creighton-primo.hosted.exlibrisgroup.com/primo-explore/search?tab=default_tab&amp;search_scope=EVERYTHING&amp;vid=01CRU&amp;lang=en_US&amp;offset=0&amp;query=any,contains,991002199319702656","Catalog Record")</f>
        <v/>
      </c>
      <c r="AT599">
        <f>HYPERLINK("http://www.worldcat.org/oclc/283838","WorldCat Record")</f>
        <v/>
      </c>
      <c r="AU599" t="inlineStr">
        <is>
          <t>4535599692:eng</t>
        </is>
      </c>
      <c r="AV599" t="inlineStr">
        <is>
          <t>283838</t>
        </is>
      </c>
      <c r="AW599" t="inlineStr">
        <is>
          <t>991002199319702656</t>
        </is>
      </c>
      <c r="AX599" t="inlineStr">
        <is>
          <t>991002199319702656</t>
        </is>
      </c>
      <c r="AY599" t="inlineStr">
        <is>
          <t>2265760480002656</t>
        </is>
      </c>
      <c r="AZ599" t="inlineStr">
        <is>
          <t>BOOK</t>
        </is>
      </c>
      <c r="BC599" t="inlineStr">
        <is>
          <t>32285000283480</t>
        </is>
      </c>
      <c r="BD599" t="inlineStr">
        <is>
          <t>893352191</t>
        </is>
      </c>
    </row>
    <row r="600">
      <c r="A600" t="inlineStr">
        <is>
          <t>No</t>
        </is>
      </c>
      <c r="B600" t="inlineStr">
        <is>
          <t>PS3511.A86 Z9</t>
        </is>
      </c>
      <c r="C600" t="inlineStr">
        <is>
          <t>0                      PS 3511000A  86                 Z  9</t>
        </is>
      </c>
      <c r="D600" t="inlineStr">
        <is>
          <t>The world of William Faulkner.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Miner, Ward L.</t>
        </is>
      </c>
      <c r="L600" t="inlineStr">
        <is>
          <t>Durham, N.C. : Duke University Press, [1952]</t>
        </is>
      </c>
      <c r="M600" t="inlineStr">
        <is>
          <t>1952</t>
        </is>
      </c>
      <c r="O600" t="inlineStr">
        <is>
          <t>eng</t>
        </is>
      </c>
      <c r="P600" t="inlineStr">
        <is>
          <t>ncu</t>
        </is>
      </c>
      <c r="R600" t="inlineStr">
        <is>
          <t xml:space="preserve">PS </t>
        </is>
      </c>
      <c r="S600" t="n">
        <v>6</v>
      </c>
      <c r="T600" t="n">
        <v>6</v>
      </c>
      <c r="U600" t="inlineStr">
        <is>
          <t>1996-12-11</t>
        </is>
      </c>
      <c r="V600" t="inlineStr">
        <is>
          <t>1996-12-11</t>
        </is>
      </c>
      <c r="W600" t="inlineStr">
        <is>
          <t>1990-08-10</t>
        </is>
      </c>
      <c r="X600" t="inlineStr">
        <is>
          <t>1990-08-10</t>
        </is>
      </c>
      <c r="Y600" t="n">
        <v>306</v>
      </c>
      <c r="Z600" t="n">
        <v>268</v>
      </c>
      <c r="AA600" t="n">
        <v>1132</v>
      </c>
      <c r="AB600" t="n">
        <v>4</v>
      </c>
      <c r="AC600" t="n">
        <v>10</v>
      </c>
      <c r="AD600" t="n">
        <v>14</v>
      </c>
      <c r="AE600" t="n">
        <v>43</v>
      </c>
      <c r="AF600" t="n">
        <v>8</v>
      </c>
      <c r="AG600" t="n">
        <v>18</v>
      </c>
      <c r="AH600" t="n">
        <v>2</v>
      </c>
      <c r="AI600" t="n">
        <v>8</v>
      </c>
      <c r="AJ600" t="n">
        <v>4</v>
      </c>
      <c r="AK600" t="n">
        <v>18</v>
      </c>
      <c r="AL600" t="n">
        <v>3</v>
      </c>
      <c r="AM600" t="n">
        <v>9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R600">
        <f>HYPERLINK("http://catalog.hathitrust.org/Record/002575712","HathiTrust Record")</f>
        <v/>
      </c>
      <c r="AS600">
        <f>HYPERLINK("https://creighton-primo.hosted.exlibrisgroup.com/primo-explore/search?tab=default_tab&amp;search_scope=EVERYTHING&amp;vid=01CRU&amp;lang=en_US&amp;offset=0&amp;query=any,contains,991002253689702656","Catalog Record")</f>
        <v/>
      </c>
      <c r="AT600">
        <f>HYPERLINK("http://www.worldcat.org/oclc/300519","WorldCat Record")</f>
        <v/>
      </c>
      <c r="AU600" t="inlineStr">
        <is>
          <t>477128:eng</t>
        </is>
      </c>
      <c r="AV600" t="inlineStr">
        <is>
          <t>300519</t>
        </is>
      </c>
      <c r="AW600" t="inlineStr">
        <is>
          <t>991002253689702656</t>
        </is>
      </c>
      <c r="AX600" t="inlineStr">
        <is>
          <t>991002253689702656</t>
        </is>
      </c>
      <c r="AY600" t="inlineStr">
        <is>
          <t>2269545360002656</t>
        </is>
      </c>
      <c r="AZ600" t="inlineStr">
        <is>
          <t>BOOK</t>
        </is>
      </c>
      <c r="BC600" t="inlineStr">
        <is>
          <t>32285000254812</t>
        </is>
      </c>
      <c r="BD600" t="inlineStr">
        <is>
          <t>893892324</t>
        </is>
      </c>
    </row>
    <row r="601">
      <c r="A601" t="inlineStr">
        <is>
          <t>No</t>
        </is>
      </c>
      <c r="B601" t="inlineStr">
        <is>
          <t>PS3511.A86 Z91</t>
        </is>
      </c>
      <c r="C601" t="inlineStr">
        <is>
          <t>0                      PS 3511000A  86                 Z  91</t>
        </is>
      </c>
      <c r="D601" t="inlineStr">
        <is>
          <t>William Faulkner's library, a catalogue. Compiled with an introd. by Joseph Blotner.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Faulkner, William, 1897-1962.</t>
        </is>
      </c>
      <c r="L601" t="inlineStr">
        <is>
          <t>Charlottesville, University of Virginia [c1964]</t>
        </is>
      </c>
      <c r="M601" t="inlineStr">
        <is>
          <t>1964</t>
        </is>
      </c>
      <c r="O601" t="inlineStr">
        <is>
          <t>eng</t>
        </is>
      </c>
      <c r="P601" t="inlineStr">
        <is>
          <t>vau</t>
        </is>
      </c>
      <c r="R601" t="inlineStr">
        <is>
          <t xml:space="preserve">PS </t>
        </is>
      </c>
      <c r="S601" t="n">
        <v>5</v>
      </c>
      <c r="T601" t="n">
        <v>5</v>
      </c>
      <c r="U601" t="inlineStr">
        <is>
          <t>2005-04-13</t>
        </is>
      </c>
      <c r="V601" t="inlineStr">
        <is>
          <t>2005-04-13</t>
        </is>
      </c>
      <c r="W601" t="inlineStr">
        <is>
          <t>1997-06-03</t>
        </is>
      </c>
      <c r="X601" t="inlineStr">
        <is>
          <t>1997-06-03</t>
        </is>
      </c>
      <c r="Y601" t="n">
        <v>425</v>
      </c>
      <c r="Z601" t="n">
        <v>368</v>
      </c>
      <c r="AA601" t="n">
        <v>369</v>
      </c>
      <c r="AB601" t="n">
        <v>3</v>
      </c>
      <c r="AC601" t="n">
        <v>3</v>
      </c>
      <c r="AD601" t="n">
        <v>17</v>
      </c>
      <c r="AE601" t="n">
        <v>17</v>
      </c>
      <c r="AF601" t="n">
        <v>6</v>
      </c>
      <c r="AG601" t="n">
        <v>6</v>
      </c>
      <c r="AH601" t="n">
        <v>4</v>
      </c>
      <c r="AI601" t="n">
        <v>4</v>
      </c>
      <c r="AJ601" t="n">
        <v>8</v>
      </c>
      <c r="AK601" t="n">
        <v>8</v>
      </c>
      <c r="AL601" t="n">
        <v>2</v>
      </c>
      <c r="AM601" t="n">
        <v>2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HYPERLINK("http://catalog.hathitrust.org/Record/001028516","HathiTrust Record")</f>
        <v/>
      </c>
      <c r="AS601">
        <f>HYPERLINK("https://creighton-primo.hosted.exlibrisgroup.com/primo-explore/search?tab=default_tab&amp;search_scope=EVERYTHING&amp;vid=01CRU&amp;lang=en_US&amp;offset=0&amp;query=any,contains,991002830739702656","Catalog Record")</f>
        <v/>
      </c>
      <c r="AT601">
        <f>HYPERLINK("http://www.worldcat.org/oclc/477339","WorldCat Record")</f>
        <v/>
      </c>
      <c r="AU601" t="inlineStr">
        <is>
          <t>5614576896:eng</t>
        </is>
      </c>
      <c r="AV601" t="inlineStr">
        <is>
          <t>477339</t>
        </is>
      </c>
      <c r="AW601" t="inlineStr">
        <is>
          <t>991002830739702656</t>
        </is>
      </c>
      <c r="AX601" t="inlineStr">
        <is>
          <t>991002830739702656</t>
        </is>
      </c>
      <c r="AY601" t="inlineStr">
        <is>
          <t>2262232320002656</t>
        </is>
      </c>
      <c r="AZ601" t="inlineStr">
        <is>
          <t>BOOK</t>
        </is>
      </c>
      <c r="BC601" t="inlineStr">
        <is>
          <t>32285002783255</t>
        </is>
      </c>
      <c r="BD601" t="inlineStr">
        <is>
          <t>893805090</t>
        </is>
      </c>
    </row>
    <row r="602">
      <c r="A602" t="inlineStr">
        <is>
          <t>No</t>
        </is>
      </c>
      <c r="B602" t="inlineStr">
        <is>
          <t>PS3511.A86 Z9463</t>
        </is>
      </c>
      <c r="C602" t="inlineStr">
        <is>
          <t>0                      PS 3511000A  86                 Z  9463</t>
        </is>
      </c>
      <c r="D602" t="inlineStr">
        <is>
          <t>The heart of Yoknapatawpha / by John Pilkington.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Pilkington, John, 1918-2012.</t>
        </is>
      </c>
      <c r="L602" t="inlineStr">
        <is>
          <t>Jackson, MS : University Press of Mississippi, 1981.</t>
        </is>
      </c>
      <c r="M602" t="inlineStr">
        <is>
          <t>1981</t>
        </is>
      </c>
      <c r="O602" t="inlineStr">
        <is>
          <t>eng</t>
        </is>
      </c>
      <c r="P602" t="inlineStr">
        <is>
          <t>msu</t>
        </is>
      </c>
      <c r="R602" t="inlineStr">
        <is>
          <t xml:space="preserve">PS </t>
        </is>
      </c>
      <c r="S602" t="n">
        <v>4</v>
      </c>
      <c r="T602" t="n">
        <v>4</v>
      </c>
      <c r="U602" t="inlineStr">
        <is>
          <t>1994-04-23</t>
        </is>
      </c>
      <c r="V602" t="inlineStr">
        <is>
          <t>1994-04-23</t>
        </is>
      </c>
      <c r="W602" t="inlineStr">
        <is>
          <t>1990-08-02</t>
        </is>
      </c>
      <c r="X602" t="inlineStr">
        <is>
          <t>1990-08-02</t>
        </is>
      </c>
      <c r="Y602" t="n">
        <v>741</v>
      </c>
      <c r="Z602" t="n">
        <v>681</v>
      </c>
      <c r="AA602" t="n">
        <v>724</v>
      </c>
      <c r="AB602" t="n">
        <v>7</v>
      </c>
      <c r="AC602" t="n">
        <v>7</v>
      </c>
      <c r="AD602" t="n">
        <v>31</v>
      </c>
      <c r="AE602" t="n">
        <v>32</v>
      </c>
      <c r="AF602" t="n">
        <v>12</v>
      </c>
      <c r="AG602" t="n">
        <v>12</v>
      </c>
      <c r="AH602" t="n">
        <v>6</v>
      </c>
      <c r="AI602" t="n">
        <v>7</v>
      </c>
      <c r="AJ602" t="n">
        <v>16</v>
      </c>
      <c r="AK602" t="n">
        <v>16</v>
      </c>
      <c r="AL602" t="n">
        <v>6</v>
      </c>
      <c r="AM602" t="n">
        <v>6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HYPERLINK("http://catalog.hathitrust.org/Record/000181915","HathiTrust Record")</f>
        <v/>
      </c>
      <c r="AS602">
        <f>HYPERLINK("https://creighton-primo.hosted.exlibrisgroup.com/primo-explore/search?tab=default_tab&amp;search_scope=EVERYTHING&amp;vid=01CRU&amp;lang=en_US&amp;offset=0&amp;query=any,contains,991005086329702656","Catalog Record")</f>
        <v/>
      </c>
      <c r="AT602">
        <f>HYPERLINK("http://www.worldcat.org/oclc/7196825","WorldCat Record")</f>
        <v/>
      </c>
      <c r="AU602" t="inlineStr">
        <is>
          <t>20334359:eng</t>
        </is>
      </c>
      <c r="AV602" t="inlineStr">
        <is>
          <t>7196825</t>
        </is>
      </c>
      <c r="AW602" t="inlineStr">
        <is>
          <t>991005086329702656</t>
        </is>
      </c>
      <c r="AX602" t="inlineStr">
        <is>
          <t>991005086329702656</t>
        </is>
      </c>
      <c r="AY602" t="inlineStr">
        <is>
          <t>2255694360002656</t>
        </is>
      </c>
      <c r="AZ602" t="inlineStr">
        <is>
          <t>BOOK</t>
        </is>
      </c>
      <c r="BB602" t="inlineStr">
        <is>
          <t>9780878051359</t>
        </is>
      </c>
      <c r="BC602" t="inlineStr">
        <is>
          <t>32285000262617</t>
        </is>
      </c>
      <c r="BD602" t="inlineStr">
        <is>
          <t>893412294</t>
        </is>
      </c>
    </row>
    <row r="603">
      <c r="A603" t="inlineStr">
        <is>
          <t>No</t>
        </is>
      </c>
      <c r="B603" t="inlineStr">
        <is>
          <t>PS3511.A86 Z94635 1996</t>
        </is>
      </c>
      <c r="C603" t="inlineStr">
        <is>
          <t>0                      PS 3511000A  86                 Z  94635       1996</t>
        </is>
      </c>
      <c r="D603" t="inlineStr">
        <is>
          <t>Children of the dark house : text and context in Faulkner / Noel Polk.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Polk, Noel.</t>
        </is>
      </c>
      <c r="L603" t="inlineStr">
        <is>
          <t>Jackson : University Press of Mississippi, c1996.</t>
        </is>
      </c>
      <c r="M603" t="inlineStr">
        <is>
          <t>1996</t>
        </is>
      </c>
      <c r="O603" t="inlineStr">
        <is>
          <t>eng</t>
        </is>
      </c>
      <c r="P603" t="inlineStr">
        <is>
          <t>msu</t>
        </is>
      </c>
      <c r="R603" t="inlineStr">
        <is>
          <t xml:space="preserve">PS </t>
        </is>
      </c>
      <c r="S603" t="n">
        <v>3</v>
      </c>
      <c r="T603" t="n">
        <v>3</v>
      </c>
      <c r="U603" t="inlineStr">
        <is>
          <t>2005-04-11</t>
        </is>
      </c>
      <c r="V603" t="inlineStr">
        <is>
          <t>2005-04-11</t>
        </is>
      </c>
      <c r="W603" t="inlineStr">
        <is>
          <t>1997-04-04</t>
        </is>
      </c>
      <c r="X603" t="inlineStr">
        <is>
          <t>1997-04-04</t>
        </is>
      </c>
      <c r="Y603" t="n">
        <v>586</v>
      </c>
      <c r="Z603" t="n">
        <v>513</v>
      </c>
      <c r="AA603" t="n">
        <v>1411</v>
      </c>
      <c r="AB603" t="n">
        <v>3</v>
      </c>
      <c r="AC603" t="n">
        <v>6</v>
      </c>
      <c r="AD603" t="n">
        <v>28</v>
      </c>
      <c r="AE603" t="n">
        <v>39</v>
      </c>
      <c r="AF603" t="n">
        <v>9</v>
      </c>
      <c r="AG603" t="n">
        <v>15</v>
      </c>
      <c r="AH603" t="n">
        <v>7</v>
      </c>
      <c r="AI603" t="n">
        <v>9</v>
      </c>
      <c r="AJ603" t="n">
        <v>17</v>
      </c>
      <c r="AK603" t="n">
        <v>20</v>
      </c>
      <c r="AL603" t="n">
        <v>2</v>
      </c>
      <c r="AM603" t="n">
        <v>5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HYPERLINK("http://catalog.hathitrust.org/Record/003079344","HathiTrust Record")</f>
        <v/>
      </c>
      <c r="AS603">
        <f>HYPERLINK("https://creighton-primo.hosted.exlibrisgroup.com/primo-explore/search?tab=default_tab&amp;search_scope=EVERYTHING&amp;vid=01CRU&amp;lang=en_US&amp;offset=0&amp;query=any,contains,991002566189702656","Catalog Record")</f>
        <v/>
      </c>
      <c r="AT603">
        <f>HYPERLINK("http://www.worldcat.org/oclc/33358597","WorldCat Record")</f>
        <v/>
      </c>
      <c r="AU603" t="inlineStr">
        <is>
          <t>799791094:eng</t>
        </is>
      </c>
      <c r="AV603" t="inlineStr">
        <is>
          <t>33358597</t>
        </is>
      </c>
      <c r="AW603" t="inlineStr">
        <is>
          <t>991002566189702656</t>
        </is>
      </c>
      <c r="AX603" t="inlineStr">
        <is>
          <t>991002566189702656</t>
        </is>
      </c>
      <c r="AY603" t="inlineStr">
        <is>
          <t>2263723700002656</t>
        </is>
      </c>
      <c r="AZ603" t="inlineStr">
        <is>
          <t>BOOK</t>
        </is>
      </c>
      <c r="BB603" t="inlineStr">
        <is>
          <t>9780878058679</t>
        </is>
      </c>
      <c r="BC603" t="inlineStr">
        <is>
          <t>32285002479342</t>
        </is>
      </c>
      <c r="BD603" t="inlineStr">
        <is>
          <t>893445244</t>
        </is>
      </c>
    </row>
    <row r="604">
      <c r="A604" t="inlineStr">
        <is>
          <t>No</t>
        </is>
      </c>
      <c r="B604" t="inlineStr">
        <is>
          <t>PS3511.A86 Z9464 1980</t>
        </is>
      </c>
      <c r="C604" t="inlineStr">
        <is>
          <t>0                      PS 3511000A  86                 Z  9464        1980</t>
        </is>
      </c>
      <c r="D604" t="inlineStr">
        <is>
          <t>Faulkner's Yoknapatawpha comedy / Lyall H. Powers.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Powers, Lyall H. (Lyall Harris), 1924-2018.</t>
        </is>
      </c>
      <c r="L604" t="inlineStr">
        <is>
          <t>Ann Arbor : University of Michigan Press, 1980.</t>
        </is>
      </c>
      <c r="M604" t="inlineStr">
        <is>
          <t>1980</t>
        </is>
      </c>
      <c r="O604" t="inlineStr">
        <is>
          <t>eng</t>
        </is>
      </c>
      <c r="P604" t="inlineStr">
        <is>
          <t>miu</t>
        </is>
      </c>
      <c r="R604" t="inlineStr">
        <is>
          <t xml:space="preserve">PS </t>
        </is>
      </c>
      <c r="S604" t="n">
        <v>1</v>
      </c>
      <c r="T604" t="n">
        <v>1</v>
      </c>
      <c r="U604" t="inlineStr">
        <is>
          <t>2005-04-26</t>
        </is>
      </c>
      <c r="V604" t="inlineStr">
        <is>
          <t>2005-04-26</t>
        </is>
      </c>
      <c r="W604" t="inlineStr">
        <is>
          <t>1990-08-02</t>
        </is>
      </c>
      <c r="X604" t="inlineStr">
        <is>
          <t>1990-08-02</t>
        </is>
      </c>
      <c r="Y604" t="n">
        <v>937</v>
      </c>
      <c r="Z604" t="n">
        <v>843</v>
      </c>
      <c r="AA604" t="n">
        <v>847</v>
      </c>
      <c r="AB604" t="n">
        <v>8</v>
      </c>
      <c r="AC604" t="n">
        <v>8</v>
      </c>
      <c r="AD604" t="n">
        <v>41</v>
      </c>
      <c r="AE604" t="n">
        <v>41</v>
      </c>
      <c r="AF604" t="n">
        <v>21</v>
      </c>
      <c r="AG604" t="n">
        <v>21</v>
      </c>
      <c r="AH604" t="n">
        <v>8</v>
      </c>
      <c r="AI604" t="n">
        <v>8</v>
      </c>
      <c r="AJ604" t="n">
        <v>16</v>
      </c>
      <c r="AK604" t="n">
        <v>16</v>
      </c>
      <c r="AL604" t="n">
        <v>7</v>
      </c>
      <c r="AM604" t="n">
        <v>7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HYPERLINK("http://catalog.hathitrust.org/Record/000693927","HathiTrust Record")</f>
        <v/>
      </c>
      <c r="AS604">
        <f>HYPERLINK("https://creighton-primo.hosted.exlibrisgroup.com/primo-explore/search?tab=default_tab&amp;search_scope=EVERYTHING&amp;vid=01CRU&amp;lang=en_US&amp;offset=0&amp;query=any,contains,991004850779702656","Catalog Record")</f>
        <v/>
      </c>
      <c r="AT604">
        <f>HYPERLINK("http://www.worldcat.org/oclc/5608133","WorldCat Record")</f>
        <v/>
      </c>
      <c r="AU604" t="inlineStr">
        <is>
          <t>490892:eng</t>
        </is>
      </c>
      <c r="AV604" t="inlineStr">
        <is>
          <t>5608133</t>
        </is>
      </c>
      <c r="AW604" t="inlineStr">
        <is>
          <t>991004850779702656</t>
        </is>
      </c>
      <c r="AX604" t="inlineStr">
        <is>
          <t>991004850779702656</t>
        </is>
      </c>
      <c r="AY604" t="inlineStr">
        <is>
          <t>2264800950002656</t>
        </is>
      </c>
      <c r="AZ604" t="inlineStr">
        <is>
          <t>BOOK</t>
        </is>
      </c>
      <c r="BB604" t="inlineStr">
        <is>
          <t>9780472087273</t>
        </is>
      </c>
      <c r="BC604" t="inlineStr">
        <is>
          <t>32285000262625</t>
        </is>
      </c>
      <c r="BD604" t="inlineStr">
        <is>
          <t>893719480</t>
        </is>
      </c>
    </row>
    <row r="605">
      <c r="A605" t="inlineStr">
        <is>
          <t>No</t>
        </is>
      </c>
      <c r="B605" t="inlineStr">
        <is>
          <t>PS3511.A86 Z9663 1988</t>
        </is>
      </c>
      <c r="C605" t="inlineStr">
        <is>
          <t>0                      PS 3511000A  86                 Z  9663        1988</t>
        </is>
      </c>
      <c r="D605" t="inlineStr">
        <is>
          <t>Creating Faulkner's reputation : the politics of modern literary criticism / Lawrence H. Schwartz.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Schwartz, Lawrence H., 1947-</t>
        </is>
      </c>
      <c r="L605" t="inlineStr">
        <is>
          <t>Knoxville : the University of Tennessee Press, c1988.</t>
        </is>
      </c>
      <c r="M605" t="inlineStr">
        <is>
          <t>1988</t>
        </is>
      </c>
      <c r="O605" t="inlineStr">
        <is>
          <t>eng</t>
        </is>
      </c>
      <c r="P605" t="inlineStr">
        <is>
          <t>tnu</t>
        </is>
      </c>
      <c r="R605" t="inlineStr">
        <is>
          <t xml:space="preserve">PS </t>
        </is>
      </c>
      <c r="S605" t="n">
        <v>11</v>
      </c>
      <c r="T605" t="n">
        <v>11</v>
      </c>
      <c r="U605" t="inlineStr">
        <is>
          <t>2005-07-21</t>
        </is>
      </c>
      <c r="V605" t="inlineStr">
        <is>
          <t>2005-07-21</t>
        </is>
      </c>
      <c r="W605" t="inlineStr">
        <is>
          <t>1992-06-10</t>
        </is>
      </c>
      <c r="X605" t="inlineStr">
        <is>
          <t>1992-06-10</t>
        </is>
      </c>
      <c r="Y605" t="n">
        <v>710</v>
      </c>
      <c r="Z605" t="n">
        <v>623</v>
      </c>
      <c r="AA605" t="n">
        <v>656</v>
      </c>
      <c r="AB605" t="n">
        <v>5</v>
      </c>
      <c r="AC605" t="n">
        <v>6</v>
      </c>
      <c r="AD605" t="n">
        <v>29</v>
      </c>
      <c r="AE605" t="n">
        <v>31</v>
      </c>
      <c r="AF605" t="n">
        <v>12</v>
      </c>
      <c r="AG605" t="n">
        <v>14</v>
      </c>
      <c r="AH605" t="n">
        <v>8</v>
      </c>
      <c r="AI605" t="n">
        <v>8</v>
      </c>
      <c r="AJ605" t="n">
        <v>12</v>
      </c>
      <c r="AK605" t="n">
        <v>13</v>
      </c>
      <c r="AL605" t="n">
        <v>4</v>
      </c>
      <c r="AM605" t="n">
        <v>4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HYPERLINK("http://catalog.hathitrust.org/Record/000944841","HathiTrust Record")</f>
        <v/>
      </c>
      <c r="AS605">
        <f>HYPERLINK("https://creighton-primo.hosted.exlibrisgroup.com/primo-explore/search?tab=default_tab&amp;search_scope=EVERYTHING&amp;vid=01CRU&amp;lang=en_US&amp;offset=0&amp;query=any,contains,991001150009702656","Catalog Record")</f>
        <v/>
      </c>
      <c r="AT605">
        <f>HYPERLINK("http://www.worldcat.org/oclc/16805361","WorldCat Record")</f>
        <v/>
      </c>
      <c r="AU605" t="inlineStr">
        <is>
          <t>13177527:eng</t>
        </is>
      </c>
      <c r="AV605" t="inlineStr">
        <is>
          <t>16805361</t>
        </is>
      </c>
      <c r="AW605" t="inlineStr">
        <is>
          <t>991001150009702656</t>
        </is>
      </c>
      <c r="AX605" t="inlineStr">
        <is>
          <t>991001150009702656</t>
        </is>
      </c>
      <c r="AY605" t="inlineStr">
        <is>
          <t>2269923190002656</t>
        </is>
      </c>
      <c r="AZ605" t="inlineStr">
        <is>
          <t>BOOK</t>
        </is>
      </c>
      <c r="BB605" t="inlineStr">
        <is>
          <t>9780870495656</t>
        </is>
      </c>
      <c r="BC605" t="inlineStr">
        <is>
          <t>32285001076032</t>
        </is>
      </c>
      <c r="BD605" t="inlineStr">
        <is>
          <t>893315561</t>
        </is>
      </c>
    </row>
    <row r="606">
      <c r="A606" t="inlineStr">
        <is>
          <t>No</t>
        </is>
      </c>
      <c r="B606" t="inlineStr">
        <is>
          <t>PS3511.A86 Z969 1981</t>
        </is>
      </c>
      <c r="C606" t="inlineStr">
        <is>
          <t>0                      PS 3511000A  86                 Z  969         1981</t>
        </is>
      </c>
      <c r="D606" t="inlineStr">
        <is>
          <t>William Faulkner, the short story career : an outline of Faulkner's short story writing from 1919 to 1962 / Hans H. Skei.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Skei, Hans H., 1945-</t>
        </is>
      </c>
      <c r="L606" t="inlineStr">
        <is>
          <t>Olso : Universitetsforlaget ; New York : distributed by Columbia University Press, c1981.</t>
        </is>
      </c>
      <c r="M606" t="inlineStr">
        <is>
          <t>1981</t>
        </is>
      </c>
      <c r="O606" t="inlineStr">
        <is>
          <t>eng</t>
        </is>
      </c>
      <c r="P606" t="inlineStr">
        <is>
          <t xml:space="preserve">no </t>
        </is>
      </c>
      <c r="R606" t="inlineStr">
        <is>
          <t xml:space="preserve">PS </t>
        </is>
      </c>
      <c r="S606" t="n">
        <v>15</v>
      </c>
      <c r="T606" t="n">
        <v>15</v>
      </c>
      <c r="U606" t="inlineStr">
        <is>
          <t>2001-01-18</t>
        </is>
      </c>
      <c r="V606" t="inlineStr">
        <is>
          <t>2001-01-18</t>
        </is>
      </c>
      <c r="W606" t="inlineStr">
        <is>
          <t>1990-11-08</t>
        </is>
      </c>
      <c r="X606" t="inlineStr">
        <is>
          <t>1990-11-08</t>
        </is>
      </c>
      <c r="Y606" t="n">
        <v>287</v>
      </c>
      <c r="Z606" t="n">
        <v>223</v>
      </c>
      <c r="AA606" t="n">
        <v>225</v>
      </c>
      <c r="AB606" t="n">
        <v>4</v>
      </c>
      <c r="AC606" t="n">
        <v>4</v>
      </c>
      <c r="AD606" t="n">
        <v>12</v>
      </c>
      <c r="AE606" t="n">
        <v>12</v>
      </c>
      <c r="AF606" t="n">
        <v>4</v>
      </c>
      <c r="AG606" t="n">
        <v>4</v>
      </c>
      <c r="AH606" t="n">
        <v>3</v>
      </c>
      <c r="AI606" t="n">
        <v>3</v>
      </c>
      <c r="AJ606" t="n">
        <v>7</v>
      </c>
      <c r="AK606" t="n">
        <v>7</v>
      </c>
      <c r="AL606" t="n">
        <v>3</v>
      </c>
      <c r="AM606" t="n">
        <v>3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HYPERLINK("http://catalog.hathitrust.org/Record/000763195","HathiTrust Record")</f>
        <v/>
      </c>
      <c r="AS606">
        <f>HYPERLINK("https://creighton-primo.hosted.exlibrisgroup.com/primo-explore/search?tab=default_tab&amp;search_scope=EVERYTHING&amp;vid=01CRU&amp;lang=en_US&amp;offset=0&amp;query=any,contains,991000029399702656","Catalog Record")</f>
        <v/>
      </c>
      <c r="AT606">
        <f>HYPERLINK("http://www.worldcat.org/oclc/8591367","WorldCat Record")</f>
        <v/>
      </c>
      <c r="AU606" t="inlineStr">
        <is>
          <t>196504572:eng</t>
        </is>
      </c>
      <c r="AV606" t="inlineStr">
        <is>
          <t>8591367</t>
        </is>
      </c>
      <c r="AW606" t="inlineStr">
        <is>
          <t>991000029399702656</t>
        </is>
      </c>
      <c r="AX606" t="inlineStr">
        <is>
          <t>991000029399702656</t>
        </is>
      </c>
      <c r="AY606" t="inlineStr">
        <is>
          <t>2269706880002656</t>
        </is>
      </c>
      <c r="AZ606" t="inlineStr">
        <is>
          <t>BOOK</t>
        </is>
      </c>
      <c r="BB606" t="inlineStr">
        <is>
          <t>9788200058267</t>
        </is>
      </c>
      <c r="BC606" t="inlineStr">
        <is>
          <t>32285004286562</t>
        </is>
      </c>
      <c r="BD606" t="inlineStr">
        <is>
          <t>893521325</t>
        </is>
      </c>
    </row>
    <row r="607">
      <c r="A607" t="inlineStr">
        <is>
          <t>No</t>
        </is>
      </c>
      <c r="B607" t="inlineStr">
        <is>
          <t>PS3511.A86 Z9693 1985</t>
        </is>
      </c>
      <c r="C607" t="inlineStr">
        <is>
          <t>0                      PS 3511000A  86                 Z  9693        1985</t>
        </is>
      </c>
      <c r="D607" t="inlineStr">
        <is>
          <t>William Faulkner, the novelist as short story writer : a study of William Faulkner's short fiction / Hans H. Skei.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Skei, Hans H., 1945-</t>
        </is>
      </c>
      <c r="L607" t="inlineStr">
        <is>
          <t>Oslo : Univeristetsforlaget ; [Irvington-on-Hudson, N.Y. : Columbia University Press, distributor, U.S. and Canada, c1985]</t>
        </is>
      </c>
      <c r="M607" t="inlineStr">
        <is>
          <t>1985</t>
        </is>
      </c>
      <c r="O607" t="inlineStr">
        <is>
          <t>eng</t>
        </is>
      </c>
      <c r="P607" t="inlineStr">
        <is>
          <t xml:space="preserve">no </t>
        </is>
      </c>
      <c r="Q607" t="inlineStr">
        <is>
          <t>Publications of the American Institute, University of Oslo</t>
        </is>
      </c>
      <c r="R607" t="inlineStr">
        <is>
          <t xml:space="preserve">PS </t>
        </is>
      </c>
      <c r="S607" t="n">
        <v>14</v>
      </c>
      <c r="T607" t="n">
        <v>14</v>
      </c>
      <c r="U607" t="inlineStr">
        <is>
          <t>2001-01-03</t>
        </is>
      </c>
      <c r="V607" t="inlineStr">
        <is>
          <t>2001-01-03</t>
        </is>
      </c>
      <c r="W607" t="inlineStr">
        <is>
          <t>1990-02-28</t>
        </is>
      </c>
      <c r="X607" t="inlineStr">
        <is>
          <t>1990-02-28</t>
        </is>
      </c>
      <c r="Y607" t="n">
        <v>346</v>
      </c>
      <c r="Z607" t="n">
        <v>292</v>
      </c>
      <c r="AA607" t="n">
        <v>294</v>
      </c>
      <c r="AB607" t="n">
        <v>3</v>
      </c>
      <c r="AC607" t="n">
        <v>3</v>
      </c>
      <c r="AD607" t="n">
        <v>13</v>
      </c>
      <c r="AE607" t="n">
        <v>13</v>
      </c>
      <c r="AF607" t="n">
        <v>5</v>
      </c>
      <c r="AG607" t="n">
        <v>5</v>
      </c>
      <c r="AH607" t="n">
        <v>3</v>
      </c>
      <c r="AI607" t="n">
        <v>3</v>
      </c>
      <c r="AJ607" t="n">
        <v>7</v>
      </c>
      <c r="AK607" t="n">
        <v>7</v>
      </c>
      <c r="AL607" t="n">
        <v>2</v>
      </c>
      <c r="AM607" t="n">
        <v>2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HYPERLINK("http://catalog.hathitrust.org/Record/000458268","HathiTrust Record")</f>
        <v/>
      </c>
      <c r="AS607">
        <f>HYPERLINK("https://creighton-primo.hosted.exlibrisgroup.com/primo-explore/search?tab=default_tab&amp;search_scope=EVERYTHING&amp;vid=01CRU&amp;lang=en_US&amp;offset=0&amp;query=any,contains,991000721109702656","Catalog Record")</f>
        <v/>
      </c>
      <c r="AT607">
        <f>HYPERLINK("http://www.worldcat.org/oclc/12125826","WorldCat Record")</f>
        <v/>
      </c>
      <c r="AU607" t="inlineStr">
        <is>
          <t>375433765:eng</t>
        </is>
      </c>
      <c r="AV607" t="inlineStr">
        <is>
          <t>12125826</t>
        </is>
      </c>
      <c r="AW607" t="inlineStr">
        <is>
          <t>991000721109702656</t>
        </is>
      </c>
      <c r="AX607" t="inlineStr">
        <is>
          <t>991000721109702656</t>
        </is>
      </c>
      <c r="AY607" t="inlineStr">
        <is>
          <t>2265795570002656</t>
        </is>
      </c>
      <c r="AZ607" t="inlineStr">
        <is>
          <t>BOOK</t>
        </is>
      </c>
      <c r="BB607" t="inlineStr">
        <is>
          <t>9788200073024</t>
        </is>
      </c>
      <c r="BC607" t="inlineStr">
        <is>
          <t>32285000073204</t>
        </is>
      </c>
      <c r="BD607" t="inlineStr">
        <is>
          <t>893351632</t>
        </is>
      </c>
    </row>
    <row r="608">
      <c r="A608" t="inlineStr">
        <is>
          <t>No</t>
        </is>
      </c>
      <c r="B608" t="inlineStr">
        <is>
          <t>PS3511.A86 Z9726 1986</t>
        </is>
      </c>
      <c r="C608" t="inlineStr">
        <is>
          <t>0                      PS 3511000A  86                 Z  9726        1986</t>
        </is>
      </c>
      <c r="D608" t="inlineStr">
        <is>
          <t>Figures of division : William Faulkner's major novels / James A. Snead.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Snead, James A., 1953-1989.</t>
        </is>
      </c>
      <c r="L608" t="inlineStr">
        <is>
          <t>New York : Methuen, 1986.</t>
        </is>
      </c>
      <c r="M608" t="inlineStr">
        <is>
          <t>1986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PS </t>
        </is>
      </c>
      <c r="S608" t="n">
        <v>6</v>
      </c>
      <c r="T608" t="n">
        <v>6</v>
      </c>
      <c r="U608" t="inlineStr">
        <is>
          <t>2005-04-11</t>
        </is>
      </c>
      <c r="V608" t="inlineStr">
        <is>
          <t>2005-04-11</t>
        </is>
      </c>
      <c r="W608" t="inlineStr">
        <is>
          <t>1997-09-15</t>
        </is>
      </c>
      <c r="X608" t="inlineStr">
        <is>
          <t>1997-09-15</t>
        </is>
      </c>
      <c r="Y608" t="n">
        <v>434</v>
      </c>
      <c r="Z608" t="n">
        <v>325</v>
      </c>
      <c r="AA608" t="n">
        <v>354</v>
      </c>
      <c r="AB608" t="n">
        <v>4</v>
      </c>
      <c r="AC608" t="n">
        <v>4</v>
      </c>
      <c r="AD608" t="n">
        <v>16</v>
      </c>
      <c r="AE608" t="n">
        <v>16</v>
      </c>
      <c r="AF608" t="n">
        <v>6</v>
      </c>
      <c r="AG608" t="n">
        <v>6</v>
      </c>
      <c r="AH608" t="n">
        <v>3</v>
      </c>
      <c r="AI608" t="n">
        <v>3</v>
      </c>
      <c r="AJ608" t="n">
        <v>10</v>
      </c>
      <c r="AK608" t="n">
        <v>10</v>
      </c>
      <c r="AL608" t="n">
        <v>3</v>
      </c>
      <c r="AM608" t="n">
        <v>3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HYPERLINK("http://catalog.hathitrust.org/Record/000807999","HathiTrust Record")</f>
        <v/>
      </c>
      <c r="AS608">
        <f>HYPERLINK("https://creighton-primo.hosted.exlibrisgroup.com/primo-explore/search?tab=default_tab&amp;search_scope=EVERYTHING&amp;vid=01CRU&amp;lang=en_US&amp;offset=0&amp;query=any,contains,991000828669702656","Catalog Record")</f>
        <v/>
      </c>
      <c r="AT608">
        <f>HYPERLINK("http://www.worldcat.org/oclc/13426032","WorldCat Record")</f>
        <v/>
      </c>
      <c r="AU608" t="inlineStr">
        <is>
          <t>152263161:eng</t>
        </is>
      </c>
      <c r="AV608" t="inlineStr">
        <is>
          <t>13426032</t>
        </is>
      </c>
      <c r="AW608" t="inlineStr">
        <is>
          <t>991000828669702656</t>
        </is>
      </c>
      <c r="AX608" t="inlineStr">
        <is>
          <t>991000828669702656</t>
        </is>
      </c>
      <c r="AY608" t="inlineStr">
        <is>
          <t>2264523770002656</t>
        </is>
      </c>
      <c r="AZ608" t="inlineStr">
        <is>
          <t>BOOK</t>
        </is>
      </c>
      <c r="BB608" t="inlineStr">
        <is>
          <t>9780416012613</t>
        </is>
      </c>
      <c r="BC608" t="inlineStr">
        <is>
          <t>32285003171492</t>
        </is>
      </c>
      <c r="BD608" t="inlineStr">
        <is>
          <t>893315278</t>
        </is>
      </c>
    </row>
    <row r="609">
      <c r="A609" t="inlineStr">
        <is>
          <t>No</t>
        </is>
      </c>
      <c r="B609" t="inlineStr">
        <is>
          <t>PS3511.A86 Z9729</t>
        </is>
      </c>
      <c r="C609" t="inlineStr">
        <is>
          <t>0                      PS 3511000A  86                 Z  9729</t>
        </is>
      </c>
      <c r="D609" t="inlineStr">
        <is>
          <t>A Faulkner overview : six perspectives / Victor Strandberg.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Strandberg, Victor H.</t>
        </is>
      </c>
      <c r="L609" t="inlineStr">
        <is>
          <t>Port Washington, N.Y. : Kennikat Press, 1981.</t>
        </is>
      </c>
      <c r="M609" t="inlineStr">
        <is>
          <t>1981</t>
        </is>
      </c>
      <c r="O609" t="inlineStr">
        <is>
          <t>eng</t>
        </is>
      </c>
      <c r="P609" t="inlineStr">
        <is>
          <t>nyu</t>
        </is>
      </c>
      <c r="Q609" t="inlineStr">
        <is>
          <t>Literary criticism series</t>
        </is>
      </c>
      <c r="R609" t="inlineStr">
        <is>
          <t xml:space="preserve">PS </t>
        </is>
      </c>
      <c r="S609" t="n">
        <v>18</v>
      </c>
      <c r="T609" t="n">
        <v>18</v>
      </c>
      <c r="U609" t="inlineStr">
        <is>
          <t>2005-04-26</t>
        </is>
      </c>
      <c r="V609" t="inlineStr">
        <is>
          <t>2005-04-26</t>
        </is>
      </c>
      <c r="W609" t="inlineStr">
        <is>
          <t>1991-01-08</t>
        </is>
      </c>
      <c r="X609" t="inlineStr">
        <is>
          <t>1991-01-08</t>
        </is>
      </c>
      <c r="Y609" t="n">
        <v>479</v>
      </c>
      <c r="Z609" t="n">
        <v>417</v>
      </c>
      <c r="AA609" t="n">
        <v>419</v>
      </c>
      <c r="AB609" t="n">
        <v>5</v>
      </c>
      <c r="AC609" t="n">
        <v>5</v>
      </c>
      <c r="AD609" t="n">
        <v>24</v>
      </c>
      <c r="AE609" t="n">
        <v>24</v>
      </c>
      <c r="AF609" t="n">
        <v>9</v>
      </c>
      <c r="AG609" t="n">
        <v>9</v>
      </c>
      <c r="AH609" t="n">
        <v>6</v>
      </c>
      <c r="AI609" t="n">
        <v>6</v>
      </c>
      <c r="AJ609" t="n">
        <v>12</v>
      </c>
      <c r="AK609" t="n">
        <v>12</v>
      </c>
      <c r="AL609" t="n">
        <v>4</v>
      </c>
      <c r="AM609" t="n">
        <v>4</v>
      </c>
      <c r="AN609" t="n">
        <v>0</v>
      </c>
      <c r="AO609" t="n">
        <v>0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HYPERLINK("http://catalog.hathitrust.org/Record/000266507","HathiTrust Record")</f>
        <v/>
      </c>
      <c r="AS609">
        <f>HYPERLINK("https://creighton-primo.hosted.exlibrisgroup.com/primo-explore/search?tab=default_tab&amp;search_scope=EVERYTHING&amp;vid=01CRU&amp;lang=en_US&amp;offset=0&amp;query=any,contains,991005141049702656","Catalog Record")</f>
        <v/>
      </c>
      <c r="AT609">
        <f>HYPERLINK("http://www.worldcat.org/oclc/7614364","WorldCat Record")</f>
        <v/>
      </c>
      <c r="AU609" t="inlineStr">
        <is>
          <t>459197:eng</t>
        </is>
      </c>
      <c r="AV609" t="inlineStr">
        <is>
          <t>7614364</t>
        </is>
      </c>
      <c r="AW609" t="inlineStr">
        <is>
          <t>991005141049702656</t>
        </is>
      </c>
      <c r="AX609" t="inlineStr">
        <is>
          <t>991005141049702656</t>
        </is>
      </c>
      <c r="AY609" t="inlineStr">
        <is>
          <t>2264190330002656</t>
        </is>
      </c>
      <c r="AZ609" t="inlineStr">
        <is>
          <t>BOOK</t>
        </is>
      </c>
      <c r="BB609" t="inlineStr">
        <is>
          <t>9780804692892</t>
        </is>
      </c>
      <c r="BC609" t="inlineStr">
        <is>
          <t>32285000454966</t>
        </is>
      </c>
      <c r="BD609" t="inlineStr">
        <is>
          <t>893613193</t>
        </is>
      </c>
    </row>
    <row r="610">
      <c r="A610" t="inlineStr">
        <is>
          <t>No</t>
        </is>
      </c>
      <c r="B610" t="inlineStr">
        <is>
          <t>PS3511.A86 Z977 1967</t>
        </is>
      </c>
      <c r="C610" t="inlineStr">
        <is>
          <t>0                      PS 3511000A  86                 Z  977         1967</t>
        </is>
      </c>
      <c r="D610" t="inlineStr">
        <is>
          <t>William Faulkner : an introduction and interpretation / [by] Lawrance Thompson.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Thompson, Lawrance, 1906-1973.</t>
        </is>
      </c>
      <c r="L610" t="inlineStr">
        <is>
          <t>New York : Holt, Rinehart and Winston, [1967]</t>
        </is>
      </c>
      <c r="M610" t="inlineStr">
        <is>
          <t>1967</t>
        </is>
      </c>
      <c r="N610" t="inlineStr">
        <is>
          <t>2d ed.</t>
        </is>
      </c>
      <c r="O610" t="inlineStr">
        <is>
          <t>eng</t>
        </is>
      </c>
      <c r="P610" t="inlineStr">
        <is>
          <t>nyu</t>
        </is>
      </c>
      <c r="Q610" t="inlineStr">
        <is>
          <t>American authors and critics series ; AC10</t>
        </is>
      </c>
      <c r="R610" t="inlineStr">
        <is>
          <t xml:space="preserve">PS </t>
        </is>
      </c>
      <c r="S610" t="n">
        <v>2</v>
      </c>
      <c r="T610" t="n">
        <v>2</v>
      </c>
      <c r="U610" t="inlineStr">
        <is>
          <t>1997-11-22</t>
        </is>
      </c>
      <c r="V610" t="inlineStr">
        <is>
          <t>1997-11-22</t>
        </is>
      </c>
      <c r="W610" t="inlineStr">
        <is>
          <t>1990-02-27</t>
        </is>
      </c>
      <c r="X610" t="inlineStr">
        <is>
          <t>1990-02-27</t>
        </is>
      </c>
      <c r="Y610" t="n">
        <v>743</v>
      </c>
      <c r="Z610" t="n">
        <v>638</v>
      </c>
      <c r="AA610" t="n">
        <v>1287</v>
      </c>
      <c r="AB610" t="n">
        <v>6</v>
      </c>
      <c r="AC610" t="n">
        <v>13</v>
      </c>
      <c r="AD610" t="n">
        <v>26</v>
      </c>
      <c r="AE610" t="n">
        <v>49</v>
      </c>
      <c r="AF610" t="n">
        <v>12</v>
      </c>
      <c r="AG610" t="n">
        <v>22</v>
      </c>
      <c r="AH610" t="n">
        <v>4</v>
      </c>
      <c r="AI610" t="n">
        <v>7</v>
      </c>
      <c r="AJ610" t="n">
        <v>12</v>
      </c>
      <c r="AK610" t="n">
        <v>21</v>
      </c>
      <c r="AL610" t="n">
        <v>4</v>
      </c>
      <c r="AM610" t="n">
        <v>9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HYPERLINK("http://catalog.hathitrust.org/Record/000389811","HathiTrust Record")</f>
        <v/>
      </c>
      <c r="AS610">
        <f>HYPERLINK("https://creighton-primo.hosted.exlibrisgroup.com/primo-explore/search?tab=default_tab&amp;search_scope=EVERYTHING&amp;vid=01CRU&amp;lang=en_US&amp;offset=0&amp;query=any,contains,991003022049702656","Catalog Record")</f>
        <v/>
      </c>
      <c r="AT610">
        <f>HYPERLINK("http://www.worldcat.org/oclc/586672","WorldCat Record")</f>
        <v/>
      </c>
      <c r="AU610" t="inlineStr">
        <is>
          <t>1444158:eng</t>
        </is>
      </c>
      <c r="AV610" t="inlineStr">
        <is>
          <t>586672</t>
        </is>
      </c>
      <c r="AW610" t="inlineStr">
        <is>
          <t>991003022049702656</t>
        </is>
      </c>
      <c r="AX610" t="inlineStr">
        <is>
          <t>991003022049702656</t>
        </is>
      </c>
      <c r="AY610" t="inlineStr">
        <is>
          <t>2267530040002656</t>
        </is>
      </c>
      <c r="AZ610" t="inlineStr">
        <is>
          <t>BOOK</t>
        </is>
      </c>
      <c r="BC610" t="inlineStr">
        <is>
          <t>32285000061803</t>
        </is>
      </c>
      <c r="BD610" t="inlineStr">
        <is>
          <t>893440839</t>
        </is>
      </c>
    </row>
    <row r="611">
      <c r="A611" t="inlineStr">
        <is>
          <t>No</t>
        </is>
      </c>
      <c r="B611" t="inlineStr">
        <is>
          <t>PS3511.A86 Z978</t>
        </is>
      </c>
      <c r="C611" t="inlineStr">
        <is>
          <t>0                      PS 3511000A  86                 Z  978</t>
        </is>
      </c>
      <c r="D611" t="inlineStr">
        <is>
          <t>Crowell's handbook of Faulkner / by Dorothy Tuck. Lewis Leary, advisory editor.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McFarland, Dorothy Tuck, 1938-</t>
        </is>
      </c>
      <c r="L611" t="inlineStr">
        <is>
          <t>New York : Crowell, [1964]</t>
        </is>
      </c>
      <c r="M611" t="inlineStr">
        <is>
          <t>1964</t>
        </is>
      </c>
      <c r="O611" t="inlineStr">
        <is>
          <t>eng</t>
        </is>
      </c>
      <c r="P611" t="inlineStr">
        <is>
          <t>nyu</t>
        </is>
      </c>
      <c r="Q611" t="inlineStr">
        <is>
          <t>A Crowell reference book</t>
        </is>
      </c>
      <c r="R611" t="inlineStr">
        <is>
          <t xml:space="preserve">PS </t>
        </is>
      </c>
      <c r="S611" t="n">
        <v>17</v>
      </c>
      <c r="T611" t="n">
        <v>17</v>
      </c>
      <c r="U611" t="inlineStr">
        <is>
          <t>2000-04-10</t>
        </is>
      </c>
      <c r="V611" t="inlineStr">
        <is>
          <t>2000-04-10</t>
        </is>
      </c>
      <c r="W611" t="inlineStr">
        <is>
          <t>1990-02-23</t>
        </is>
      </c>
      <c r="X611" t="inlineStr">
        <is>
          <t>1990-02-23</t>
        </is>
      </c>
      <c r="Y611" t="n">
        <v>1030</v>
      </c>
      <c r="Z611" t="n">
        <v>981</v>
      </c>
      <c r="AA611" t="n">
        <v>1028</v>
      </c>
      <c r="AB611" t="n">
        <v>4</v>
      </c>
      <c r="AC611" t="n">
        <v>5</v>
      </c>
      <c r="AD611" t="n">
        <v>25</v>
      </c>
      <c r="AE611" t="n">
        <v>25</v>
      </c>
      <c r="AF611" t="n">
        <v>12</v>
      </c>
      <c r="AG611" t="n">
        <v>12</v>
      </c>
      <c r="AH611" t="n">
        <v>6</v>
      </c>
      <c r="AI611" t="n">
        <v>6</v>
      </c>
      <c r="AJ611" t="n">
        <v>11</v>
      </c>
      <c r="AK611" t="n">
        <v>11</v>
      </c>
      <c r="AL611" t="n">
        <v>3</v>
      </c>
      <c r="AM611" t="n">
        <v>3</v>
      </c>
      <c r="AN611" t="n">
        <v>0</v>
      </c>
      <c r="AO611" t="n">
        <v>0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HYPERLINK("https://creighton-primo.hosted.exlibrisgroup.com/primo-explore/search?tab=default_tab&amp;search_scope=EVERYTHING&amp;vid=01CRU&amp;lang=en_US&amp;offset=0&amp;query=any,contains,991002101759702656","Catalog Record")</f>
        <v/>
      </c>
      <c r="AT611">
        <f>HYPERLINK("http://www.worldcat.org/oclc/266448","WorldCat Record")</f>
        <v/>
      </c>
      <c r="AU611" t="inlineStr">
        <is>
          <t>1384835:eng</t>
        </is>
      </c>
      <c r="AV611" t="inlineStr">
        <is>
          <t>266448</t>
        </is>
      </c>
      <c r="AW611" t="inlineStr">
        <is>
          <t>991002101759702656</t>
        </is>
      </c>
      <c r="AX611" t="inlineStr">
        <is>
          <t>991002101759702656</t>
        </is>
      </c>
      <c r="AY611" t="inlineStr">
        <is>
          <t>2269174680002656</t>
        </is>
      </c>
      <c r="AZ611" t="inlineStr">
        <is>
          <t>BOOK</t>
        </is>
      </c>
      <c r="BC611" t="inlineStr">
        <is>
          <t>32285000060672</t>
        </is>
      </c>
      <c r="BD611" t="inlineStr">
        <is>
          <t>893334945</t>
        </is>
      </c>
    </row>
    <row r="612">
      <c r="A612" t="inlineStr">
        <is>
          <t>No</t>
        </is>
      </c>
      <c r="B612" t="inlineStr">
        <is>
          <t>PS3511.A86 Z984 1987</t>
        </is>
      </c>
      <c r="C612" t="inlineStr">
        <is>
          <t>0                      PS 3511000A  86                 Z  984         1987</t>
        </is>
      </c>
      <c r="D612" t="inlineStr">
        <is>
          <t>Reading Faulknerian tragedy / Warwick Wadlington.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Wadlington, Warwick, 1938-</t>
        </is>
      </c>
      <c r="L612" t="inlineStr">
        <is>
          <t>Ithaca, N.Y. : Cornell University Press, 1987.</t>
        </is>
      </c>
      <c r="M612" t="inlineStr">
        <is>
          <t>1987</t>
        </is>
      </c>
      <c r="O612" t="inlineStr">
        <is>
          <t>eng</t>
        </is>
      </c>
      <c r="P612" t="inlineStr">
        <is>
          <t>nyu</t>
        </is>
      </c>
      <c r="R612" t="inlineStr">
        <is>
          <t xml:space="preserve">PS </t>
        </is>
      </c>
      <c r="S612" t="n">
        <v>4</v>
      </c>
      <c r="T612" t="n">
        <v>4</v>
      </c>
      <c r="U612" t="inlineStr">
        <is>
          <t>2005-04-26</t>
        </is>
      </c>
      <c r="V612" t="inlineStr">
        <is>
          <t>2005-04-26</t>
        </is>
      </c>
      <c r="W612" t="inlineStr">
        <is>
          <t>1989-12-08</t>
        </is>
      </c>
      <c r="X612" t="inlineStr">
        <is>
          <t>1989-12-08</t>
        </is>
      </c>
      <c r="Y612" t="n">
        <v>593</v>
      </c>
      <c r="Z612" t="n">
        <v>486</v>
      </c>
      <c r="AA612" t="n">
        <v>639</v>
      </c>
      <c r="AB612" t="n">
        <v>4</v>
      </c>
      <c r="AC612" t="n">
        <v>4</v>
      </c>
      <c r="AD612" t="n">
        <v>24</v>
      </c>
      <c r="AE612" t="n">
        <v>29</v>
      </c>
      <c r="AF612" t="n">
        <v>7</v>
      </c>
      <c r="AG612" t="n">
        <v>11</v>
      </c>
      <c r="AH612" t="n">
        <v>6</v>
      </c>
      <c r="AI612" t="n">
        <v>8</v>
      </c>
      <c r="AJ612" t="n">
        <v>15</v>
      </c>
      <c r="AK612" t="n">
        <v>16</v>
      </c>
      <c r="AL612" t="n">
        <v>3</v>
      </c>
      <c r="AM612" t="n">
        <v>3</v>
      </c>
      <c r="AN612" t="n">
        <v>0</v>
      </c>
      <c r="AO612" t="n">
        <v>0</v>
      </c>
      <c r="AP612" t="inlineStr">
        <is>
          <t>No</t>
        </is>
      </c>
      <c r="AQ612" t="inlineStr">
        <is>
          <t>Yes</t>
        </is>
      </c>
      <c r="AR612">
        <f>HYPERLINK("http://catalog.hathitrust.org/Record/000822656","HathiTrust Record")</f>
        <v/>
      </c>
      <c r="AS612">
        <f>HYPERLINK("https://creighton-primo.hosted.exlibrisgroup.com/primo-explore/search?tab=default_tab&amp;search_scope=EVERYTHING&amp;vid=01CRU&amp;lang=en_US&amp;offset=0&amp;query=any,contains,991000965239702656","Catalog Record")</f>
        <v/>
      </c>
      <c r="AT612">
        <f>HYPERLINK("http://www.worldcat.org/oclc/14904999","WorldCat Record")</f>
        <v/>
      </c>
      <c r="AU612" t="inlineStr">
        <is>
          <t>8197690:eng</t>
        </is>
      </c>
      <c r="AV612" t="inlineStr">
        <is>
          <t>14904999</t>
        </is>
      </c>
      <c r="AW612" t="inlineStr">
        <is>
          <t>991000965239702656</t>
        </is>
      </c>
      <c r="AX612" t="inlineStr">
        <is>
          <t>991000965239702656</t>
        </is>
      </c>
      <c r="AY612" t="inlineStr">
        <is>
          <t>2266959340002656</t>
        </is>
      </c>
      <c r="AZ612" t="inlineStr">
        <is>
          <t>BOOK</t>
        </is>
      </c>
      <c r="BB612" t="inlineStr">
        <is>
          <t>9780801420115</t>
        </is>
      </c>
      <c r="BC612" t="inlineStr">
        <is>
          <t>32285000030543</t>
        </is>
      </c>
      <c r="BD612" t="inlineStr">
        <is>
          <t>893496717</t>
        </is>
      </c>
    </row>
    <row r="613">
      <c r="A613" t="inlineStr">
        <is>
          <t>No</t>
        </is>
      </c>
      <c r="B613" t="inlineStr">
        <is>
          <t>PS3511.A86 Z9853</t>
        </is>
      </c>
      <c r="C613" t="inlineStr">
        <is>
          <t>0                      PS 3511000A  86                 Z  9853</t>
        </is>
      </c>
      <c r="D613" t="inlineStr">
        <is>
          <t>Faulkner : a collection of critical essays / edited by Robert Penn Warren.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Warren, Robert Penn, 1905-1989 editor.</t>
        </is>
      </c>
      <c r="L613" t="inlineStr">
        <is>
          <t>Englewood Cliffs, N.J. : Prentice-Hall, [1966]</t>
        </is>
      </c>
      <c r="M613" t="inlineStr">
        <is>
          <t>1966</t>
        </is>
      </c>
      <c r="O613" t="inlineStr">
        <is>
          <t>eng</t>
        </is>
      </c>
      <c r="P613" t="inlineStr">
        <is>
          <t>nju</t>
        </is>
      </c>
      <c r="Q613" t="inlineStr">
        <is>
          <t>Twentieth century views</t>
        </is>
      </c>
      <c r="R613" t="inlineStr">
        <is>
          <t xml:space="preserve">PS </t>
        </is>
      </c>
      <c r="S613" t="n">
        <v>5</v>
      </c>
      <c r="T613" t="n">
        <v>5</v>
      </c>
      <c r="U613" t="inlineStr">
        <is>
          <t>2005-04-26</t>
        </is>
      </c>
      <c r="V613" t="inlineStr">
        <is>
          <t>2005-04-26</t>
        </is>
      </c>
      <c r="W613" t="inlineStr">
        <is>
          <t>1990-08-17</t>
        </is>
      </c>
      <c r="X613" t="inlineStr">
        <is>
          <t>1990-08-17</t>
        </is>
      </c>
      <c r="Y613" t="n">
        <v>2459</v>
      </c>
      <c r="Z613" t="n">
        <v>2141</v>
      </c>
      <c r="AA613" t="n">
        <v>2176</v>
      </c>
      <c r="AB613" t="n">
        <v>19</v>
      </c>
      <c r="AC613" t="n">
        <v>19</v>
      </c>
      <c r="AD613" t="n">
        <v>65</v>
      </c>
      <c r="AE613" t="n">
        <v>65</v>
      </c>
      <c r="AF613" t="n">
        <v>28</v>
      </c>
      <c r="AG613" t="n">
        <v>28</v>
      </c>
      <c r="AH613" t="n">
        <v>11</v>
      </c>
      <c r="AI613" t="n">
        <v>11</v>
      </c>
      <c r="AJ613" t="n">
        <v>26</v>
      </c>
      <c r="AK613" t="n">
        <v>26</v>
      </c>
      <c r="AL613" t="n">
        <v>14</v>
      </c>
      <c r="AM613" t="n">
        <v>14</v>
      </c>
      <c r="AN613" t="n">
        <v>0</v>
      </c>
      <c r="AO613" t="n">
        <v>0</v>
      </c>
      <c r="AP613" t="inlineStr">
        <is>
          <t>No</t>
        </is>
      </c>
      <c r="AQ613" t="inlineStr">
        <is>
          <t>Yes</t>
        </is>
      </c>
      <c r="AR613">
        <f>HYPERLINK("http://catalog.hathitrust.org/Record/000389864","HathiTrust Record")</f>
        <v/>
      </c>
      <c r="AS613">
        <f>HYPERLINK("https://creighton-primo.hosted.exlibrisgroup.com/primo-explore/search?tab=default_tab&amp;search_scope=EVERYTHING&amp;vid=01CRU&amp;lang=en_US&amp;offset=0&amp;query=any,contains,991002201309702656","Catalog Record")</f>
        <v/>
      </c>
      <c r="AT613">
        <f>HYPERLINK("http://www.worldcat.org/oclc/284423","WorldCat Record")</f>
        <v/>
      </c>
      <c r="AU613" t="inlineStr">
        <is>
          <t>474381554:eng</t>
        </is>
      </c>
      <c r="AV613" t="inlineStr">
        <is>
          <t>284423</t>
        </is>
      </c>
      <c r="AW613" t="inlineStr">
        <is>
          <t>991002201309702656</t>
        </is>
      </c>
      <c r="AX613" t="inlineStr">
        <is>
          <t>991002201309702656</t>
        </is>
      </c>
      <c r="AY613" t="inlineStr">
        <is>
          <t>2262634220002656</t>
        </is>
      </c>
      <c r="AZ613" t="inlineStr">
        <is>
          <t>BOOK</t>
        </is>
      </c>
      <c r="BC613" t="inlineStr">
        <is>
          <t>32285000283415</t>
        </is>
      </c>
      <c r="BD613" t="inlineStr">
        <is>
          <t>893615817</t>
        </is>
      </c>
    </row>
    <row r="614">
      <c r="A614" t="inlineStr">
        <is>
          <t>No</t>
        </is>
      </c>
      <c r="B614" t="inlineStr">
        <is>
          <t>PS3511.A86 Z9854</t>
        </is>
      </c>
      <c r="C614" t="inlineStr">
        <is>
          <t>0                      PS 3511000A  86                 Z  9854</t>
        </is>
      </c>
      <c r="D614" t="inlineStr">
        <is>
          <t>William Faulkner of Oxford / edited by James W. Webb and A. Wigfall Green.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Webb, James W., editor.</t>
        </is>
      </c>
      <c r="L614" t="inlineStr">
        <is>
          <t>[Baton Rouge] : Louisiana State University Press, [1965]</t>
        </is>
      </c>
      <c r="M614" t="inlineStr">
        <is>
          <t>1965</t>
        </is>
      </c>
      <c r="O614" t="inlineStr">
        <is>
          <t>eng</t>
        </is>
      </c>
      <c r="P614" t="inlineStr">
        <is>
          <t>lau</t>
        </is>
      </c>
      <c r="R614" t="inlineStr">
        <is>
          <t xml:space="preserve">PS </t>
        </is>
      </c>
      <c r="S614" t="n">
        <v>2</v>
      </c>
      <c r="T614" t="n">
        <v>2</v>
      </c>
      <c r="U614" t="inlineStr">
        <is>
          <t>1993-01-24</t>
        </is>
      </c>
      <c r="V614" t="inlineStr">
        <is>
          <t>1993-01-24</t>
        </is>
      </c>
      <c r="W614" t="inlineStr">
        <is>
          <t>1990-08-10</t>
        </is>
      </c>
      <c r="X614" t="inlineStr">
        <is>
          <t>1990-08-10</t>
        </is>
      </c>
      <c r="Y614" t="n">
        <v>1283</v>
      </c>
      <c r="Z614" t="n">
        <v>1178</v>
      </c>
      <c r="AA614" t="n">
        <v>1186</v>
      </c>
      <c r="AB614" t="n">
        <v>9</v>
      </c>
      <c r="AC614" t="n">
        <v>9</v>
      </c>
      <c r="AD614" t="n">
        <v>45</v>
      </c>
      <c r="AE614" t="n">
        <v>45</v>
      </c>
      <c r="AF614" t="n">
        <v>19</v>
      </c>
      <c r="AG614" t="n">
        <v>19</v>
      </c>
      <c r="AH614" t="n">
        <v>7</v>
      </c>
      <c r="AI614" t="n">
        <v>7</v>
      </c>
      <c r="AJ614" t="n">
        <v>23</v>
      </c>
      <c r="AK614" t="n">
        <v>23</v>
      </c>
      <c r="AL614" t="n">
        <v>6</v>
      </c>
      <c r="AM614" t="n">
        <v>6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HYPERLINK("https://creighton-primo.hosted.exlibrisgroup.com/primo-explore/search?tab=default_tab&amp;search_scope=EVERYTHING&amp;vid=01CRU&amp;lang=en_US&amp;offset=0&amp;query=any,contains,991002155959702656","Catalog Record")</f>
        <v/>
      </c>
      <c r="AT614">
        <f>HYPERLINK("http://www.worldcat.org/oclc/272833","WorldCat Record")</f>
        <v/>
      </c>
      <c r="AU614" t="inlineStr">
        <is>
          <t>1403834:eng</t>
        </is>
      </c>
      <c r="AV614" t="inlineStr">
        <is>
          <t>272833</t>
        </is>
      </c>
      <c r="AW614" t="inlineStr">
        <is>
          <t>991002155959702656</t>
        </is>
      </c>
      <c r="AX614" t="inlineStr">
        <is>
          <t>991002155959702656</t>
        </is>
      </c>
      <c r="AY614" t="inlineStr">
        <is>
          <t>2262380520002656</t>
        </is>
      </c>
      <c r="AZ614" t="inlineStr">
        <is>
          <t>BOOK</t>
        </is>
      </c>
      <c r="BC614" t="inlineStr">
        <is>
          <t>32285000254788</t>
        </is>
      </c>
      <c r="BD614" t="inlineStr">
        <is>
          <t>893779479</t>
        </is>
      </c>
    </row>
    <row r="615">
      <c r="A615" t="inlineStr">
        <is>
          <t>No</t>
        </is>
      </c>
      <c r="B615" t="inlineStr">
        <is>
          <t>PS3511.A86 Z9855 1992</t>
        </is>
      </c>
      <c r="C615" t="inlineStr">
        <is>
          <t>0                      PS 3511000A  86                 Z  9855        1992</t>
        </is>
      </c>
      <c r="D615" t="inlineStr">
        <is>
          <t>Faulkner's subject : a cosmos no one owns / Philip M. Weinstein.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K615" t="inlineStr">
        <is>
          <t>Weinstein, Philip M.</t>
        </is>
      </c>
      <c r="L615" t="inlineStr">
        <is>
          <t>Cambridge [England] ; New York, NY, USA : Cambridge University Press, 1992.</t>
        </is>
      </c>
      <c r="M615" t="inlineStr">
        <is>
          <t>1992</t>
        </is>
      </c>
      <c r="O615" t="inlineStr">
        <is>
          <t>eng</t>
        </is>
      </c>
      <c r="P615" t="inlineStr">
        <is>
          <t>enk</t>
        </is>
      </c>
      <c r="Q615" t="inlineStr">
        <is>
          <t>Cambridge studies in American literature and culture ; 56</t>
        </is>
      </c>
      <c r="R615" t="inlineStr">
        <is>
          <t xml:space="preserve">PS </t>
        </is>
      </c>
      <c r="S615" t="n">
        <v>2</v>
      </c>
      <c r="T615" t="n">
        <v>2</v>
      </c>
      <c r="U615" t="inlineStr">
        <is>
          <t>1993-01-14</t>
        </is>
      </c>
      <c r="V615" t="inlineStr">
        <is>
          <t>1993-01-14</t>
        </is>
      </c>
      <c r="W615" t="inlineStr">
        <is>
          <t>1993-01-04</t>
        </is>
      </c>
      <c r="X615" t="inlineStr">
        <is>
          <t>1993-01-04</t>
        </is>
      </c>
      <c r="Y615" t="n">
        <v>466</v>
      </c>
      <c r="Z615" t="n">
        <v>351</v>
      </c>
      <c r="AA615" t="n">
        <v>357</v>
      </c>
      <c r="AB615" t="n">
        <v>3</v>
      </c>
      <c r="AC615" t="n">
        <v>3</v>
      </c>
      <c r="AD615" t="n">
        <v>23</v>
      </c>
      <c r="AE615" t="n">
        <v>23</v>
      </c>
      <c r="AF615" t="n">
        <v>9</v>
      </c>
      <c r="AG615" t="n">
        <v>9</v>
      </c>
      <c r="AH615" t="n">
        <v>4</v>
      </c>
      <c r="AI615" t="n">
        <v>4</v>
      </c>
      <c r="AJ615" t="n">
        <v>14</v>
      </c>
      <c r="AK615" t="n">
        <v>14</v>
      </c>
      <c r="AL615" t="n">
        <v>2</v>
      </c>
      <c r="AM615" t="n">
        <v>2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HYPERLINK("https://creighton-primo.hosted.exlibrisgroup.com/primo-explore/search?tab=default_tab&amp;search_scope=EVERYTHING&amp;vid=01CRU&amp;lang=en_US&amp;offset=0&amp;query=any,contains,991001971089702656","Catalog Record")</f>
        <v/>
      </c>
      <c r="AT615">
        <f>HYPERLINK("http://www.worldcat.org/oclc/25009088","WorldCat Record")</f>
        <v/>
      </c>
      <c r="AU615" t="inlineStr">
        <is>
          <t>806464418:eng</t>
        </is>
      </c>
      <c r="AV615" t="inlineStr">
        <is>
          <t>25009088</t>
        </is>
      </c>
      <c r="AW615" t="inlineStr">
        <is>
          <t>991001971089702656</t>
        </is>
      </c>
      <c r="AX615" t="inlineStr">
        <is>
          <t>991001971089702656</t>
        </is>
      </c>
      <c r="AY615" t="inlineStr">
        <is>
          <t>2269445370002656</t>
        </is>
      </c>
      <c r="AZ615" t="inlineStr">
        <is>
          <t>BOOK</t>
        </is>
      </c>
      <c r="BB615" t="inlineStr">
        <is>
          <t>9780521390477</t>
        </is>
      </c>
      <c r="BC615" t="inlineStr">
        <is>
          <t>32285001403848</t>
        </is>
      </c>
      <c r="BD615" t="inlineStr">
        <is>
          <t>893615534</t>
        </is>
      </c>
    </row>
    <row r="616">
      <c r="A616" t="inlineStr">
        <is>
          <t>No</t>
        </is>
      </c>
      <c r="B616" t="inlineStr">
        <is>
          <t>PS3511.A86 Z985695 1982</t>
        </is>
      </c>
      <c r="C616" t="inlineStr">
        <is>
          <t>0                      PS 3511000A  86                 Z  985695      1982</t>
        </is>
      </c>
      <c r="D616" t="inlineStr">
        <is>
          <t>William Faulkner, critical collection : a guide to critical studies with statements by Faulkner and evaluative essays on his works / edited by Leland H. Cox.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L616" t="inlineStr">
        <is>
          <t>Detroit, Mich. : Gale Research Co., c1982.</t>
        </is>
      </c>
      <c r="M616" t="inlineStr">
        <is>
          <t>1982</t>
        </is>
      </c>
      <c r="O616" t="inlineStr">
        <is>
          <t>eng</t>
        </is>
      </c>
      <c r="P616" t="inlineStr">
        <is>
          <t>miu</t>
        </is>
      </c>
      <c r="Q616" t="inlineStr">
        <is>
          <t>Gale author guide ; 2</t>
        </is>
      </c>
      <c r="R616" t="inlineStr">
        <is>
          <t xml:space="preserve">PS </t>
        </is>
      </c>
      <c r="S616" t="n">
        <v>5</v>
      </c>
      <c r="T616" t="n">
        <v>5</v>
      </c>
      <c r="U616" t="inlineStr">
        <is>
          <t>1997-11-22</t>
        </is>
      </c>
      <c r="V616" t="inlineStr">
        <is>
          <t>1997-11-22</t>
        </is>
      </c>
      <c r="W616" t="inlineStr">
        <is>
          <t>1989-12-08</t>
        </is>
      </c>
      <c r="X616" t="inlineStr">
        <is>
          <t>1989-12-08</t>
        </is>
      </c>
      <c r="Y616" t="n">
        <v>536</v>
      </c>
      <c r="Z616" t="n">
        <v>460</v>
      </c>
      <c r="AA616" t="n">
        <v>465</v>
      </c>
      <c r="AB616" t="n">
        <v>4</v>
      </c>
      <c r="AC616" t="n">
        <v>4</v>
      </c>
      <c r="AD616" t="n">
        <v>23</v>
      </c>
      <c r="AE616" t="n">
        <v>23</v>
      </c>
      <c r="AF616" t="n">
        <v>9</v>
      </c>
      <c r="AG616" t="n">
        <v>9</v>
      </c>
      <c r="AH616" t="n">
        <v>3</v>
      </c>
      <c r="AI616" t="n">
        <v>3</v>
      </c>
      <c r="AJ616" t="n">
        <v>13</v>
      </c>
      <c r="AK616" t="n">
        <v>13</v>
      </c>
      <c r="AL616" t="n">
        <v>3</v>
      </c>
      <c r="AM616" t="n">
        <v>3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HYPERLINK("https://creighton-primo.hosted.exlibrisgroup.com/primo-explore/search?tab=default_tab&amp;search_scope=EVERYTHING&amp;vid=01CRU&amp;lang=en_US&amp;offset=0&amp;query=any,contains,991005248389702656","Catalog Record")</f>
        <v/>
      </c>
      <c r="AT616">
        <f>HYPERLINK("http://www.worldcat.org/oclc/8475415","WorldCat Record")</f>
        <v/>
      </c>
      <c r="AU616" t="inlineStr">
        <is>
          <t>309016847:eng</t>
        </is>
      </c>
      <c r="AV616" t="inlineStr">
        <is>
          <t>8475415</t>
        </is>
      </c>
      <c r="AW616" t="inlineStr">
        <is>
          <t>991005248389702656</t>
        </is>
      </c>
      <c r="AX616" t="inlineStr">
        <is>
          <t>991005248389702656</t>
        </is>
      </c>
      <c r="AY616" t="inlineStr">
        <is>
          <t>2259510090002656</t>
        </is>
      </c>
      <c r="AZ616" t="inlineStr">
        <is>
          <t>BOOK</t>
        </is>
      </c>
      <c r="BB616" t="inlineStr">
        <is>
          <t>9780810311183</t>
        </is>
      </c>
      <c r="BC616" t="inlineStr">
        <is>
          <t>32285000030535</t>
        </is>
      </c>
      <c r="BD616" t="inlineStr">
        <is>
          <t>893713718</t>
        </is>
      </c>
    </row>
    <row r="617">
      <c r="A617" t="inlineStr">
        <is>
          <t>No</t>
        </is>
      </c>
      <c r="B617" t="inlineStr">
        <is>
          <t>PS3511.A86 Z9875 1989</t>
        </is>
      </c>
      <c r="C617" t="inlineStr">
        <is>
          <t>0                      PS 3511000A  86                 Z  9875        1989</t>
        </is>
      </c>
      <c r="D617" t="inlineStr">
        <is>
          <t>The crossing of the ways : William Faulkner, the South, and the modern world / Karl F. Zender.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Zender, Karl F., 1937-</t>
        </is>
      </c>
      <c r="L617" t="inlineStr">
        <is>
          <t>New Brunswick : Rutgers University Press, c1989.</t>
        </is>
      </c>
      <c r="M617" t="inlineStr">
        <is>
          <t>1989</t>
        </is>
      </c>
      <c r="O617" t="inlineStr">
        <is>
          <t>eng</t>
        </is>
      </c>
      <c r="P617" t="inlineStr">
        <is>
          <t>nju</t>
        </is>
      </c>
      <c r="R617" t="inlineStr">
        <is>
          <t xml:space="preserve">PS </t>
        </is>
      </c>
      <c r="S617" t="n">
        <v>1</v>
      </c>
      <c r="T617" t="n">
        <v>1</v>
      </c>
      <c r="U617" t="inlineStr">
        <is>
          <t>2005-04-28</t>
        </is>
      </c>
      <c r="V617" t="inlineStr">
        <is>
          <t>2005-04-28</t>
        </is>
      </c>
      <c r="W617" t="inlineStr">
        <is>
          <t>1989-10-20</t>
        </is>
      </c>
      <c r="X617" t="inlineStr">
        <is>
          <t>1989-10-20</t>
        </is>
      </c>
      <c r="Y617" t="n">
        <v>550</v>
      </c>
      <c r="Z617" t="n">
        <v>457</v>
      </c>
      <c r="AA617" t="n">
        <v>458</v>
      </c>
      <c r="AB617" t="n">
        <v>6</v>
      </c>
      <c r="AC617" t="n">
        <v>6</v>
      </c>
      <c r="AD617" t="n">
        <v>30</v>
      </c>
      <c r="AE617" t="n">
        <v>30</v>
      </c>
      <c r="AF617" t="n">
        <v>11</v>
      </c>
      <c r="AG617" t="n">
        <v>11</v>
      </c>
      <c r="AH617" t="n">
        <v>6</v>
      </c>
      <c r="AI617" t="n">
        <v>6</v>
      </c>
      <c r="AJ617" t="n">
        <v>15</v>
      </c>
      <c r="AK617" t="n">
        <v>15</v>
      </c>
      <c r="AL617" t="n">
        <v>5</v>
      </c>
      <c r="AM617" t="n">
        <v>5</v>
      </c>
      <c r="AN617" t="n">
        <v>0</v>
      </c>
      <c r="AO617" t="n">
        <v>0</v>
      </c>
      <c r="AP617" t="inlineStr">
        <is>
          <t>No</t>
        </is>
      </c>
      <c r="AQ617" t="inlineStr">
        <is>
          <t>No</t>
        </is>
      </c>
      <c r="AS617">
        <f>HYPERLINK("https://creighton-primo.hosted.exlibrisgroup.com/primo-explore/search?tab=default_tab&amp;search_scope=EVERYTHING&amp;vid=01CRU&amp;lang=en_US&amp;offset=0&amp;query=any,contains,991001298419702656","Catalog Record")</f>
        <v/>
      </c>
      <c r="AT617">
        <f>HYPERLINK("http://www.worldcat.org/oclc/18051646","WorldCat Record")</f>
        <v/>
      </c>
      <c r="AU617" t="inlineStr">
        <is>
          <t>16303613:eng</t>
        </is>
      </c>
      <c r="AV617" t="inlineStr">
        <is>
          <t>18051646</t>
        </is>
      </c>
      <c r="AW617" t="inlineStr">
        <is>
          <t>991001298419702656</t>
        </is>
      </c>
      <c r="AX617" t="inlineStr">
        <is>
          <t>991001298419702656</t>
        </is>
      </c>
      <c r="AY617" t="inlineStr">
        <is>
          <t>2267954540002656</t>
        </is>
      </c>
      <c r="AZ617" t="inlineStr">
        <is>
          <t>BOOK</t>
        </is>
      </c>
      <c r="BB617" t="inlineStr">
        <is>
          <t>9780813513768</t>
        </is>
      </c>
      <c r="BC617" t="inlineStr">
        <is>
          <t>32285000001080</t>
        </is>
      </c>
      <c r="BD617" t="inlineStr">
        <is>
          <t>893715354</t>
        </is>
      </c>
    </row>
    <row r="618">
      <c r="A618" t="inlineStr">
        <is>
          <t>No</t>
        </is>
      </c>
      <c r="B618" t="inlineStr">
        <is>
          <t>PS3511.A87 Z57 1993</t>
        </is>
      </c>
      <c r="C618" t="inlineStr">
        <is>
          <t>0                      PS 3511000A  87                 Z  57          1993</t>
        </is>
      </c>
      <c r="D618" t="inlineStr">
        <is>
          <t>Max Brand / by William A. Bloodworth, Jr.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Bloodworth, William A.</t>
        </is>
      </c>
      <c r="L618" t="inlineStr">
        <is>
          <t>Boston : Twayne Publishers, 1993.</t>
        </is>
      </c>
      <c r="M618" t="inlineStr">
        <is>
          <t>1993</t>
        </is>
      </c>
      <c r="O618" t="inlineStr">
        <is>
          <t>eng</t>
        </is>
      </c>
      <c r="P618" t="inlineStr">
        <is>
          <t>mau</t>
        </is>
      </c>
      <c r="Q618" t="inlineStr">
        <is>
          <t>Twayne's United States authors series ; TUSAS 641</t>
        </is>
      </c>
      <c r="R618" t="inlineStr">
        <is>
          <t xml:space="preserve">PS </t>
        </is>
      </c>
      <c r="S618" t="n">
        <v>2</v>
      </c>
      <c r="T618" t="n">
        <v>2</v>
      </c>
      <c r="U618" t="inlineStr">
        <is>
          <t>1994-01-13</t>
        </is>
      </c>
      <c r="V618" t="inlineStr">
        <is>
          <t>1994-01-13</t>
        </is>
      </c>
      <c r="W618" t="inlineStr">
        <is>
          <t>1993-12-28</t>
        </is>
      </c>
      <c r="X618" t="inlineStr">
        <is>
          <t>1993-12-28</t>
        </is>
      </c>
      <c r="Y618" t="n">
        <v>497</v>
      </c>
      <c r="Z618" t="n">
        <v>458</v>
      </c>
      <c r="AA618" t="n">
        <v>562</v>
      </c>
      <c r="AB618" t="n">
        <v>7</v>
      </c>
      <c r="AC618" t="n">
        <v>7</v>
      </c>
      <c r="AD618" t="n">
        <v>22</v>
      </c>
      <c r="AE618" t="n">
        <v>25</v>
      </c>
      <c r="AF618" t="n">
        <v>7</v>
      </c>
      <c r="AG618" t="n">
        <v>8</v>
      </c>
      <c r="AH618" t="n">
        <v>2</v>
      </c>
      <c r="AI618" t="n">
        <v>2</v>
      </c>
      <c r="AJ618" t="n">
        <v>14</v>
      </c>
      <c r="AK618" t="n">
        <v>16</v>
      </c>
      <c r="AL618" t="n">
        <v>5</v>
      </c>
      <c r="AM618" t="n">
        <v>5</v>
      </c>
      <c r="AN618" t="n">
        <v>0</v>
      </c>
      <c r="AO618" t="n">
        <v>0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HYPERLINK("http://catalog.hathitrust.org/Record/002795590","HathiTrust Record")</f>
        <v/>
      </c>
      <c r="AS618">
        <f>HYPERLINK("https://creighton-primo.hosted.exlibrisgroup.com/primo-explore/search?tab=default_tab&amp;search_scope=EVERYTHING&amp;vid=01CRU&amp;lang=en_US&amp;offset=0&amp;query=any,contains,991002228349702656","Catalog Record")</f>
        <v/>
      </c>
      <c r="AT618">
        <f>HYPERLINK("http://www.worldcat.org/oclc/28709558","WorldCat Record")</f>
        <v/>
      </c>
      <c r="AU618" t="inlineStr">
        <is>
          <t>17663748:eng</t>
        </is>
      </c>
      <c r="AV618" t="inlineStr">
        <is>
          <t>28709558</t>
        </is>
      </c>
      <c r="AW618" t="inlineStr">
        <is>
          <t>991002228349702656</t>
        </is>
      </c>
      <c r="AX618" t="inlineStr">
        <is>
          <t>991002228349702656</t>
        </is>
      </c>
      <c r="AY618" t="inlineStr">
        <is>
          <t>2255705570002656</t>
        </is>
      </c>
      <c r="AZ618" t="inlineStr">
        <is>
          <t>BOOK</t>
        </is>
      </c>
      <c r="BB618" t="inlineStr">
        <is>
          <t>9780805776461</t>
        </is>
      </c>
      <c r="BC618" t="inlineStr">
        <is>
          <t>32285001803450</t>
        </is>
      </c>
      <c r="BD618" t="inlineStr">
        <is>
          <t>893773369</t>
        </is>
      </c>
    </row>
    <row r="619">
      <c r="A619" t="inlineStr">
        <is>
          <t>No</t>
        </is>
      </c>
      <c r="B619" t="inlineStr">
        <is>
          <t>PS3511.E115 A6 1977</t>
        </is>
      </c>
      <c r="C619" t="inlineStr">
        <is>
          <t>0                      PS 3511000E  115                A  6           1977</t>
        </is>
      </c>
      <c r="D619" t="inlineStr">
        <is>
          <t>Collected poems of Kenneth Fearing.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Fearing, Kenneth, 1902-1961.</t>
        </is>
      </c>
      <c r="L619" t="inlineStr">
        <is>
          <t>New York : AMS Press, 1977.</t>
        </is>
      </c>
      <c r="M619" t="inlineStr">
        <is>
          <t>1977</t>
        </is>
      </c>
      <c r="O619" t="inlineStr">
        <is>
          <t>eng</t>
        </is>
      </c>
      <c r="P619" t="inlineStr">
        <is>
          <t>nyu</t>
        </is>
      </c>
      <c r="R619" t="inlineStr">
        <is>
          <t xml:space="preserve">PS </t>
        </is>
      </c>
      <c r="S619" t="n">
        <v>3</v>
      </c>
      <c r="T619" t="n">
        <v>3</v>
      </c>
      <c r="U619" t="inlineStr">
        <is>
          <t>1999-12-17</t>
        </is>
      </c>
      <c r="V619" t="inlineStr">
        <is>
          <t>1999-12-17</t>
        </is>
      </c>
      <c r="W619" t="inlineStr">
        <is>
          <t>1997-06-03</t>
        </is>
      </c>
      <c r="X619" t="inlineStr">
        <is>
          <t>1997-06-03</t>
        </is>
      </c>
      <c r="Y619" t="n">
        <v>151</v>
      </c>
      <c r="Z619" t="n">
        <v>130</v>
      </c>
      <c r="AA619" t="n">
        <v>339</v>
      </c>
      <c r="AB619" t="n">
        <v>2</v>
      </c>
      <c r="AC619" t="n">
        <v>4</v>
      </c>
      <c r="AD619" t="n">
        <v>9</v>
      </c>
      <c r="AE619" t="n">
        <v>15</v>
      </c>
      <c r="AF619" t="n">
        <v>5</v>
      </c>
      <c r="AG619" t="n">
        <v>6</v>
      </c>
      <c r="AH619" t="n">
        <v>2</v>
      </c>
      <c r="AI619" t="n">
        <v>3</v>
      </c>
      <c r="AJ619" t="n">
        <v>6</v>
      </c>
      <c r="AK619" t="n">
        <v>9</v>
      </c>
      <c r="AL619" t="n">
        <v>1</v>
      </c>
      <c r="AM619" t="n">
        <v>3</v>
      </c>
      <c r="AN619" t="n">
        <v>0</v>
      </c>
      <c r="AO619" t="n">
        <v>0</v>
      </c>
      <c r="AP619" t="inlineStr">
        <is>
          <t>No</t>
        </is>
      </c>
      <c r="AQ619" t="inlineStr">
        <is>
          <t>Yes</t>
        </is>
      </c>
      <c r="AR619">
        <f>HYPERLINK("http://catalog.hathitrust.org/Record/004440673","HathiTrust Record")</f>
        <v/>
      </c>
      <c r="AS619">
        <f>HYPERLINK("https://creighton-primo.hosted.exlibrisgroup.com/primo-explore/search?tab=default_tab&amp;search_scope=EVERYTHING&amp;vid=01CRU&amp;lang=en_US&amp;offset=0&amp;query=any,contains,991004150079702656","Catalog Record")</f>
        <v/>
      </c>
      <c r="AT619">
        <f>HYPERLINK("http://www.worldcat.org/oclc/2523372","WorldCat Record")</f>
        <v/>
      </c>
      <c r="AU619" t="inlineStr">
        <is>
          <t>196585838:eng</t>
        </is>
      </c>
      <c r="AV619" t="inlineStr">
        <is>
          <t>2523372</t>
        </is>
      </c>
      <c r="AW619" t="inlineStr">
        <is>
          <t>991004150079702656</t>
        </is>
      </c>
      <c r="AX619" t="inlineStr">
        <is>
          <t>991004150079702656</t>
        </is>
      </c>
      <c r="AY619" t="inlineStr">
        <is>
          <t>2270129320002656</t>
        </is>
      </c>
      <c r="AZ619" t="inlineStr">
        <is>
          <t>BOOK</t>
        </is>
      </c>
      <c r="BB619" t="inlineStr">
        <is>
          <t>9780404146610</t>
        </is>
      </c>
      <c r="BC619" t="inlineStr">
        <is>
          <t>32285002783289</t>
        </is>
      </c>
      <c r="BD619" t="inlineStr">
        <is>
          <t>893718546</t>
        </is>
      </c>
    </row>
    <row r="620">
      <c r="A620" t="inlineStr">
        <is>
          <t>No</t>
        </is>
      </c>
      <c r="B620" t="inlineStr">
        <is>
          <t>PS3511.E17 F5 1934</t>
        </is>
      </c>
      <c r="C620" t="inlineStr">
        <is>
          <t>0                      PS 3511000E  17                 F  5           1934</t>
        </is>
      </c>
      <c r="D620" t="inlineStr">
        <is>
          <t>Fish on Friday.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Feeney, Leonard, 1897-1978.</t>
        </is>
      </c>
      <c r="L620" t="inlineStr">
        <is>
          <t>[New York] Sheed &amp; Ward, 1934.</t>
        </is>
      </c>
      <c r="M620" t="inlineStr">
        <is>
          <t>1934</t>
        </is>
      </c>
      <c r="O620" t="inlineStr">
        <is>
          <t>eng</t>
        </is>
      </c>
      <c r="P620" t="inlineStr">
        <is>
          <t xml:space="preserve">xx </t>
        </is>
      </c>
      <c r="R620" t="inlineStr">
        <is>
          <t xml:space="preserve">PS </t>
        </is>
      </c>
      <c r="S620" t="n">
        <v>0</v>
      </c>
      <c r="T620" t="n">
        <v>0</v>
      </c>
      <c r="U620" t="inlineStr">
        <is>
          <t>2001-09-13</t>
        </is>
      </c>
      <c r="V620" t="inlineStr">
        <is>
          <t>2001-09-13</t>
        </is>
      </c>
      <c r="W620" t="inlineStr">
        <is>
          <t>1997-06-03</t>
        </is>
      </c>
      <c r="X620" t="inlineStr">
        <is>
          <t>1997-06-03</t>
        </is>
      </c>
      <c r="Y620" t="n">
        <v>175</v>
      </c>
      <c r="Z620" t="n">
        <v>159</v>
      </c>
      <c r="AA620" t="n">
        <v>159</v>
      </c>
      <c r="AB620" t="n">
        <v>3</v>
      </c>
      <c r="AC620" t="n">
        <v>3</v>
      </c>
      <c r="AD620" t="n">
        <v>24</v>
      </c>
      <c r="AE620" t="n">
        <v>24</v>
      </c>
      <c r="AF620" t="n">
        <v>6</v>
      </c>
      <c r="AG620" t="n">
        <v>6</v>
      </c>
      <c r="AH620" t="n">
        <v>7</v>
      </c>
      <c r="AI620" t="n">
        <v>7</v>
      </c>
      <c r="AJ620" t="n">
        <v>20</v>
      </c>
      <c r="AK620" t="n">
        <v>20</v>
      </c>
      <c r="AL620" t="n">
        <v>0</v>
      </c>
      <c r="AM620" t="n">
        <v>0</v>
      </c>
      <c r="AN620" t="n">
        <v>0</v>
      </c>
      <c r="AO620" t="n">
        <v>0</v>
      </c>
      <c r="AP620" t="inlineStr">
        <is>
          <t>No</t>
        </is>
      </c>
      <c r="AQ620" t="inlineStr">
        <is>
          <t>No</t>
        </is>
      </c>
      <c r="AS620">
        <f>HYPERLINK("https://creighton-primo.hosted.exlibrisgroup.com/primo-explore/search?tab=default_tab&amp;search_scope=EVERYTHING&amp;vid=01CRU&amp;lang=en_US&amp;offset=0&amp;query=any,contains,991002871529702656","Catalog Record")</f>
        <v/>
      </c>
      <c r="AT620">
        <f>HYPERLINK("http://www.worldcat.org/oclc/43932418","WorldCat Record")</f>
        <v/>
      </c>
      <c r="AU620" t="inlineStr">
        <is>
          <t>33571493:eng</t>
        </is>
      </c>
      <c r="AV620" t="inlineStr">
        <is>
          <t>43932418</t>
        </is>
      </c>
      <c r="AW620" t="inlineStr">
        <is>
          <t>991002871529702656</t>
        </is>
      </c>
      <c r="AX620" t="inlineStr">
        <is>
          <t>991002871529702656</t>
        </is>
      </c>
      <c r="AY620" t="inlineStr">
        <is>
          <t>2271280020002656</t>
        </is>
      </c>
      <c r="AZ620" t="inlineStr">
        <is>
          <t>BOOK</t>
        </is>
      </c>
      <c r="BC620" t="inlineStr">
        <is>
          <t>32285002783297</t>
        </is>
      </c>
      <c r="BD620" t="inlineStr">
        <is>
          <t>893421896</t>
        </is>
      </c>
    </row>
    <row r="621">
      <c r="A621" t="inlineStr">
        <is>
          <t>No</t>
        </is>
      </c>
      <c r="B621" t="inlineStr">
        <is>
          <t>PS3511.E391 A7</t>
        </is>
      </c>
      <c r="C621" t="inlineStr">
        <is>
          <t>0                      PS 3511000E  391                A  7</t>
        </is>
      </c>
      <c r="D621" t="inlineStr">
        <is>
          <t>Anne of the thousand days : a novel / by Edward Fenton; based on the screenplay by John Hale and Bridget Boland; adaptation by Richard Sokolove from the play by Maxwell Anderson.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Fenton, Edward, 1917-1995.</t>
        </is>
      </c>
      <c r="L621" t="inlineStr">
        <is>
          <t>New York : New American Library, 1970.</t>
        </is>
      </c>
      <c r="M621" t="inlineStr">
        <is>
          <t>1970</t>
        </is>
      </c>
      <c r="O621" t="inlineStr">
        <is>
          <t>eng</t>
        </is>
      </c>
      <c r="P621" t="inlineStr">
        <is>
          <t>nyu</t>
        </is>
      </c>
      <c r="R621" t="inlineStr">
        <is>
          <t xml:space="preserve">PS </t>
        </is>
      </c>
      <c r="S621" t="n">
        <v>6</v>
      </c>
      <c r="T621" t="n">
        <v>6</v>
      </c>
      <c r="U621" t="inlineStr">
        <is>
          <t>2000-09-12</t>
        </is>
      </c>
      <c r="V621" t="inlineStr">
        <is>
          <t>2000-09-12</t>
        </is>
      </c>
      <c r="W621" t="inlineStr">
        <is>
          <t>1996-02-22</t>
        </is>
      </c>
      <c r="X621" t="inlineStr">
        <is>
          <t>1996-02-22</t>
        </is>
      </c>
      <c r="Y621" t="n">
        <v>158</v>
      </c>
      <c r="Z621" t="n">
        <v>147</v>
      </c>
      <c r="AA621" t="n">
        <v>149</v>
      </c>
      <c r="AB621" t="n">
        <v>1</v>
      </c>
      <c r="AC621" t="n">
        <v>1</v>
      </c>
      <c r="AD621" t="n">
        <v>2</v>
      </c>
      <c r="AE621" t="n">
        <v>2</v>
      </c>
      <c r="AF621" t="n">
        <v>0</v>
      </c>
      <c r="AG621" t="n">
        <v>0</v>
      </c>
      <c r="AH621" t="n">
        <v>0</v>
      </c>
      <c r="AI621" t="n">
        <v>0</v>
      </c>
      <c r="AJ621" t="n">
        <v>2</v>
      </c>
      <c r="AK621" t="n">
        <v>2</v>
      </c>
      <c r="AL621" t="n">
        <v>0</v>
      </c>
      <c r="AM621" t="n">
        <v>0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HYPERLINK("http://catalog.hathitrust.org/Record/012268192","HathiTrust Record")</f>
        <v/>
      </c>
      <c r="AS621">
        <f>HYPERLINK("https://creighton-primo.hosted.exlibrisgroup.com/primo-explore/search?tab=default_tab&amp;search_scope=EVERYTHING&amp;vid=01CRU&amp;lang=en_US&amp;offset=0&amp;query=any,contains,991004814999702656","Catalog Record")</f>
        <v/>
      </c>
      <c r="AT621">
        <f>HYPERLINK("http://www.worldcat.org/oclc/5304560","WorldCat Record")</f>
        <v/>
      </c>
      <c r="AU621" t="inlineStr">
        <is>
          <t>2564889125:eng</t>
        </is>
      </c>
      <c r="AV621" t="inlineStr">
        <is>
          <t>5304560</t>
        </is>
      </c>
      <c r="AW621" t="inlineStr">
        <is>
          <t>991004814999702656</t>
        </is>
      </c>
      <c r="AX621" t="inlineStr">
        <is>
          <t>991004814999702656</t>
        </is>
      </c>
      <c r="AY621" t="inlineStr">
        <is>
          <t>2261159040002656</t>
        </is>
      </c>
      <c r="AZ621" t="inlineStr">
        <is>
          <t>BOOK</t>
        </is>
      </c>
      <c r="BC621" t="inlineStr">
        <is>
          <t>32285002120771</t>
        </is>
      </c>
      <c r="BD621" t="inlineStr">
        <is>
          <t>893254129</t>
        </is>
      </c>
    </row>
    <row r="622">
      <c r="A622" t="inlineStr">
        <is>
          <t>No</t>
        </is>
      </c>
      <c r="B622" t="inlineStr">
        <is>
          <t>PS3511.E46 I4</t>
        </is>
      </c>
      <c r="C622" t="inlineStr">
        <is>
          <t>0                      PS 3511000E  46                 I  4</t>
        </is>
      </c>
      <c r="D622" t="inlineStr">
        <is>
          <t>Ice Palace.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Ferber, Edna, 1887-1968.</t>
        </is>
      </c>
      <c r="L622" t="inlineStr">
        <is>
          <t>Garden City, N.Y., Doubleday, 1958.</t>
        </is>
      </c>
      <c r="M622" t="inlineStr">
        <is>
          <t>1958</t>
        </is>
      </c>
      <c r="N622" t="inlineStr">
        <is>
          <t>[1st ed.]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PS </t>
        </is>
      </c>
      <c r="S622" t="n">
        <v>2</v>
      </c>
      <c r="T622" t="n">
        <v>2</v>
      </c>
      <c r="U622" t="inlineStr">
        <is>
          <t>1999-05-18</t>
        </is>
      </c>
      <c r="V622" t="inlineStr">
        <is>
          <t>1999-05-18</t>
        </is>
      </c>
      <c r="W622" t="inlineStr">
        <is>
          <t>1997-06-03</t>
        </is>
      </c>
      <c r="X622" t="inlineStr">
        <is>
          <t>1997-06-03</t>
        </is>
      </c>
      <c r="Y622" t="n">
        <v>1556</v>
      </c>
      <c r="Z622" t="n">
        <v>1500</v>
      </c>
      <c r="AA622" t="n">
        <v>1925</v>
      </c>
      <c r="AB622" t="n">
        <v>16</v>
      </c>
      <c r="AC622" t="n">
        <v>19</v>
      </c>
      <c r="AD622" t="n">
        <v>25</v>
      </c>
      <c r="AE622" t="n">
        <v>29</v>
      </c>
      <c r="AF622" t="n">
        <v>8</v>
      </c>
      <c r="AG622" t="n">
        <v>10</v>
      </c>
      <c r="AH622" t="n">
        <v>5</v>
      </c>
      <c r="AI622" t="n">
        <v>6</v>
      </c>
      <c r="AJ622" t="n">
        <v>7</v>
      </c>
      <c r="AK622" t="n">
        <v>7</v>
      </c>
      <c r="AL622" t="n">
        <v>8</v>
      </c>
      <c r="AM622" t="n">
        <v>9</v>
      </c>
      <c r="AN622" t="n">
        <v>0</v>
      </c>
      <c r="AO622" t="n">
        <v>0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HYPERLINK("http://catalog.hathitrust.org/Record/000389480","HathiTrust Record")</f>
        <v/>
      </c>
      <c r="AS622">
        <f>HYPERLINK("https://creighton-primo.hosted.exlibrisgroup.com/primo-explore/search?tab=default_tab&amp;search_scope=EVERYTHING&amp;vid=01CRU&amp;lang=en_US&amp;offset=0&amp;query=any,contains,991004040079702656","Catalog Record")</f>
        <v/>
      </c>
      <c r="AT622">
        <f>HYPERLINK("http://www.worldcat.org/oclc/2185537","WorldCat Record")</f>
        <v/>
      </c>
      <c r="AU622" t="inlineStr">
        <is>
          <t>380424:eng</t>
        </is>
      </c>
      <c r="AV622" t="inlineStr">
        <is>
          <t>2185537</t>
        </is>
      </c>
      <c r="AW622" t="inlineStr">
        <is>
          <t>991004040079702656</t>
        </is>
      </c>
      <c r="AX622" t="inlineStr">
        <is>
          <t>991004040079702656</t>
        </is>
      </c>
      <c r="AY622" t="inlineStr">
        <is>
          <t>2258428390002656</t>
        </is>
      </c>
      <c r="AZ622" t="inlineStr">
        <is>
          <t>BOOK</t>
        </is>
      </c>
      <c r="BC622" t="inlineStr">
        <is>
          <t>32285002783446</t>
        </is>
      </c>
      <c r="BD622" t="inlineStr">
        <is>
          <t>893423307</t>
        </is>
      </c>
    </row>
    <row r="623">
      <c r="A623" t="inlineStr">
        <is>
          <t>No</t>
        </is>
      </c>
      <c r="B623" t="inlineStr">
        <is>
          <t>PS3511.I7416 Z87 1982</t>
        </is>
      </c>
      <c r="C623" t="inlineStr">
        <is>
          <t>0                      PS 3511000I  7416               Z  87          1982</t>
        </is>
      </c>
      <c r="D623" t="inlineStr">
        <is>
          <t>Dorothy Canfield Fisher : a biography / Ida H. Washington.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Washington, Ida H.</t>
        </is>
      </c>
      <c r="L623" t="inlineStr">
        <is>
          <t>Shelburne, Vt. : New England Press, c1982.</t>
        </is>
      </c>
      <c r="M623" t="inlineStr">
        <is>
          <t>1982</t>
        </is>
      </c>
      <c r="O623" t="inlineStr">
        <is>
          <t>eng</t>
        </is>
      </c>
      <c r="P623" t="inlineStr">
        <is>
          <t>vtu</t>
        </is>
      </c>
      <c r="R623" t="inlineStr">
        <is>
          <t xml:space="preserve">PS </t>
        </is>
      </c>
      <c r="S623" t="n">
        <v>1</v>
      </c>
      <c r="T623" t="n">
        <v>1</v>
      </c>
      <c r="U623" t="inlineStr">
        <is>
          <t>1994-11-15</t>
        </is>
      </c>
      <c r="V623" t="inlineStr">
        <is>
          <t>1994-11-15</t>
        </is>
      </c>
      <c r="W623" t="inlineStr">
        <is>
          <t>1990-11-08</t>
        </is>
      </c>
      <c r="X623" t="inlineStr">
        <is>
          <t>1990-11-08</t>
        </is>
      </c>
      <c r="Y623" t="n">
        <v>349</v>
      </c>
      <c r="Z623" t="n">
        <v>326</v>
      </c>
      <c r="AA623" t="n">
        <v>333</v>
      </c>
      <c r="AB623" t="n">
        <v>8</v>
      </c>
      <c r="AC623" t="n">
        <v>8</v>
      </c>
      <c r="AD623" t="n">
        <v>11</v>
      </c>
      <c r="AE623" t="n">
        <v>11</v>
      </c>
      <c r="AF623" t="n">
        <v>0</v>
      </c>
      <c r="AG623" t="n">
        <v>0</v>
      </c>
      <c r="AH623" t="n">
        <v>4</v>
      </c>
      <c r="AI623" t="n">
        <v>4</v>
      </c>
      <c r="AJ623" t="n">
        <v>3</v>
      </c>
      <c r="AK623" t="n">
        <v>3</v>
      </c>
      <c r="AL623" t="n">
        <v>6</v>
      </c>
      <c r="AM623" t="n">
        <v>6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HYPERLINK("http://catalog.hathitrust.org/Record/000273817","HathiTrust Record")</f>
        <v/>
      </c>
      <c r="AS623">
        <f>HYPERLINK("https://creighton-primo.hosted.exlibrisgroup.com/primo-explore/search?tab=default_tab&amp;search_scope=EVERYTHING&amp;vid=01CRU&amp;lang=en_US&amp;offset=0&amp;query=any,contains,991005209759702656","Catalog Record")</f>
        <v/>
      </c>
      <c r="AT623">
        <f>HYPERLINK("http://www.worldcat.org/oclc/8153215","WorldCat Record")</f>
        <v/>
      </c>
      <c r="AU623" t="inlineStr">
        <is>
          <t>217990186:eng</t>
        </is>
      </c>
      <c r="AV623" t="inlineStr">
        <is>
          <t>8153215</t>
        </is>
      </c>
      <c r="AW623" t="inlineStr">
        <is>
          <t>991005209759702656</t>
        </is>
      </c>
      <c r="AX623" t="inlineStr">
        <is>
          <t>991005209759702656</t>
        </is>
      </c>
      <c r="AY623" t="inlineStr">
        <is>
          <t>2267498070002656</t>
        </is>
      </c>
      <c r="AZ623" t="inlineStr">
        <is>
          <t>BOOK</t>
        </is>
      </c>
      <c r="BB623" t="inlineStr">
        <is>
          <t>9780933050082</t>
        </is>
      </c>
      <c r="BC623" t="inlineStr">
        <is>
          <t>32285000377779</t>
        </is>
      </c>
      <c r="BD623" t="inlineStr">
        <is>
          <t>893527107</t>
        </is>
      </c>
    </row>
    <row r="624">
      <c r="A624" t="inlineStr">
        <is>
          <t>No</t>
        </is>
      </c>
      <c r="B624" t="inlineStr">
        <is>
          <t>PS3511.I7436 C6 1971</t>
        </is>
      </c>
      <c r="C624" t="inlineStr">
        <is>
          <t>0                      PS 3511000I  7436               C  6           1971</t>
        </is>
      </c>
      <c r="D624" t="inlineStr">
        <is>
          <t>The conjure-man dies, a mystery tale of dark Harlem. Introd., by Stanley Ellin.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Fisher, Rudolph, 1897-1934.</t>
        </is>
      </c>
      <c r="L624" t="inlineStr">
        <is>
          <t>New York, Arno Press, 1971 [c1932]</t>
        </is>
      </c>
      <c r="M624" t="inlineStr">
        <is>
          <t>1971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PS </t>
        </is>
      </c>
      <c r="S624" t="n">
        <v>0</v>
      </c>
      <c r="T624" t="n">
        <v>0</v>
      </c>
      <c r="U624" t="inlineStr">
        <is>
          <t>2002-09-27</t>
        </is>
      </c>
      <c r="V624" t="inlineStr">
        <is>
          <t>2002-09-27</t>
        </is>
      </c>
      <c r="W624" t="inlineStr">
        <is>
          <t>1997-06-03</t>
        </is>
      </c>
      <c r="X624" t="inlineStr">
        <is>
          <t>1997-06-03</t>
        </is>
      </c>
      <c r="Y624" t="n">
        <v>236</v>
      </c>
      <c r="Z624" t="n">
        <v>225</v>
      </c>
      <c r="AA624" t="n">
        <v>486</v>
      </c>
      <c r="AB624" t="n">
        <v>2</v>
      </c>
      <c r="AC624" t="n">
        <v>2</v>
      </c>
      <c r="AD624" t="n">
        <v>8</v>
      </c>
      <c r="AE624" t="n">
        <v>19</v>
      </c>
      <c r="AF624" t="n">
        <v>1</v>
      </c>
      <c r="AG624" t="n">
        <v>6</v>
      </c>
      <c r="AH624" t="n">
        <v>4</v>
      </c>
      <c r="AI624" t="n">
        <v>7</v>
      </c>
      <c r="AJ624" t="n">
        <v>2</v>
      </c>
      <c r="AK624" t="n">
        <v>10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HYPERLINK("https://creighton-primo.hosted.exlibrisgroup.com/primo-explore/search?tab=default_tab&amp;search_scope=EVERYTHING&amp;vid=01CRU&amp;lang=en_US&amp;offset=0&amp;query=any,contains,991000890199702656","Catalog Record")</f>
        <v/>
      </c>
      <c r="AT624">
        <f>HYPERLINK("http://www.worldcat.org/oclc/153679","WorldCat Record")</f>
        <v/>
      </c>
      <c r="AU624" t="inlineStr">
        <is>
          <t>522927:eng</t>
        </is>
      </c>
      <c r="AV624" t="inlineStr">
        <is>
          <t>153679</t>
        </is>
      </c>
      <c r="AW624" t="inlineStr">
        <is>
          <t>991000890199702656</t>
        </is>
      </c>
      <c r="AX624" t="inlineStr">
        <is>
          <t>991000890199702656</t>
        </is>
      </c>
      <c r="AY624" t="inlineStr">
        <is>
          <t>2269640390002656</t>
        </is>
      </c>
      <c r="AZ624" t="inlineStr">
        <is>
          <t>BOOK</t>
        </is>
      </c>
      <c r="BB624" t="inlineStr">
        <is>
          <t>9780405028809</t>
        </is>
      </c>
      <c r="BC624" t="inlineStr">
        <is>
          <t>32285002783594</t>
        </is>
      </c>
      <c r="BD624" t="inlineStr">
        <is>
          <t>893438685</t>
        </is>
      </c>
    </row>
    <row r="625">
      <c r="A625" t="inlineStr">
        <is>
          <t>No</t>
        </is>
      </c>
      <c r="B625" t="inlineStr">
        <is>
          <t>PS3511.I9 Z559</t>
        </is>
      </c>
      <c r="C625" t="inlineStr">
        <is>
          <t>0                      PS 3511000I  9                  Z  559</t>
        </is>
      </c>
      <c r="D625" t="inlineStr">
        <is>
          <t>F. Scott Fitzgerald in his own time : a miscellany / edited by Matthew J. Bruccoli [and] Jackson R. Bryer.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Bruccoli, Matthew Joseph, 1931-2008, compiler.</t>
        </is>
      </c>
      <c r="L625" t="inlineStr">
        <is>
          <t>Kent, Ohio] : Kent State University Press, [1971]</t>
        </is>
      </c>
      <c r="M625" t="inlineStr">
        <is>
          <t>1971</t>
        </is>
      </c>
      <c r="N625" t="inlineStr">
        <is>
          <t>[1st ed.</t>
        </is>
      </c>
      <c r="O625" t="inlineStr">
        <is>
          <t>eng</t>
        </is>
      </c>
      <c r="P625" t="inlineStr">
        <is>
          <t>ohu</t>
        </is>
      </c>
      <c r="R625" t="inlineStr">
        <is>
          <t xml:space="preserve">PS </t>
        </is>
      </c>
      <c r="S625" t="n">
        <v>4</v>
      </c>
      <c r="T625" t="n">
        <v>4</v>
      </c>
      <c r="U625" t="inlineStr">
        <is>
          <t>1992-01-15</t>
        </is>
      </c>
      <c r="V625" t="inlineStr">
        <is>
          <t>1992-01-15</t>
        </is>
      </c>
      <c r="W625" t="inlineStr">
        <is>
          <t>1990-02-27</t>
        </is>
      </c>
      <c r="X625" t="inlineStr">
        <is>
          <t>1990-02-27</t>
        </is>
      </c>
      <c r="Y625" t="n">
        <v>886</v>
      </c>
      <c r="Z625" t="n">
        <v>810</v>
      </c>
      <c r="AA625" t="n">
        <v>849</v>
      </c>
      <c r="AB625" t="n">
        <v>10</v>
      </c>
      <c r="AC625" t="n">
        <v>10</v>
      </c>
      <c r="AD625" t="n">
        <v>42</v>
      </c>
      <c r="AE625" t="n">
        <v>44</v>
      </c>
      <c r="AF625" t="n">
        <v>17</v>
      </c>
      <c r="AG625" t="n">
        <v>18</v>
      </c>
      <c r="AH625" t="n">
        <v>8</v>
      </c>
      <c r="AI625" t="n">
        <v>8</v>
      </c>
      <c r="AJ625" t="n">
        <v>18</v>
      </c>
      <c r="AK625" t="n">
        <v>19</v>
      </c>
      <c r="AL625" t="n">
        <v>9</v>
      </c>
      <c r="AM625" t="n">
        <v>9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HYPERLINK("http://catalog.hathitrust.org/Record/000389304","HathiTrust Record")</f>
        <v/>
      </c>
      <c r="AS625">
        <f>HYPERLINK("https://creighton-primo.hosted.exlibrisgroup.com/primo-explore/search?tab=default_tab&amp;search_scope=EVERYTHING&amp;vid=01CRU&amp;lang=en_US&amp;offset=0&amp;query=any,contains,991000919539702656","Catalog Record")</f>
        <v/>
      </c>
      <c r="AT625">
        <f>HYPERLINK("http://www.worldcat.org/oclc/161197","WorldCat Record")</f>
        <v/>
      </c>
      <c r="AU625" t="inlineStr">
        <is>
          <t>365226846:eng</t>
        </is>
      </c>
      <c r="AV625" t="inlineStr">
        <is>
          <t>161197</t>
        </is>
      </c>
      <c r="AW625" t="inlineStr">
        <is>
          <t>991000919539702656</t>
        </is>
      </c>
      <c r="AX625" t="inlineStr">
        <is>
          <t>991000919539702656</t>
        </is>
      </c>
      <c r="AY625" t="inlineStr">
        <is>
          <t>2269565900002656</t>
        </is>
      </c>
      <c r="AZ625" t="inlineStr">
        <is>
          <t>BOOK</t>
        </is>
      </c>
      <c r="BB625" t="inlineStr">
        <is>
          <t>9780873381086</t>
        </is>
      </c>
      <c r="BC625" t="inlineStr">
        <is>
          <t>32285000061811</t>
        </is>
      </c>
      <c r="BD625" t="inlineStr">
        <is>
          <t>893602171</t>
        </is>
      </c>
    </row>
    <row r="626">
      <c r="A626" t="inlineStr">
        <is>
          <t>No</t>
        </is>
      </c>
      <c r="B626" t="inlineStr">
        <is>
          <t>PS3511.I9 Z57</t>
        </is>
      </c>
      <c r="C626" t="inlineStr">
        <is>
          <t>0                      PS 3511000I  9                  Z  57</t>
        </is>
      </c>
      <c r="D626" t="inlineStr">
        <is>
          <t>The critical reputation of F. Scott Fitzgerald; a bibliographical study, by Jackson R. Bryer.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Bryer, Jackson R.</t>
        </is>
      </c>
      <c r="L626" t="inlineStr">
        <is>
          <t>[Hamden, Conn.] Archon Books, 1967.</t>
        </is>
      </c>
      <c r="M626" t="inlineStr">
        <is>
          <t>1967</t>
        </is>
      </c>
      <c r="O626" t="inlineStr">
        <is>
          <t>eng</t>
        </is>
      </c>
      <c r="P626" t="inlineStr">
        <is>
          <t>ctu</t>
        </is>
      </c>
      <c r="R626" t="inlineStr">
        <is>
          <t xml:space="preserve">PS </t>
        </is>
      </c>
      <c r="S626" t="n">
        <v>2</v>
      </c>
      <c r="T626" t="n">
        <v>2</v>
      </c>
      <c r="U626" t="inlineStr">
        <is>
          <t>1992-02-19</t>
        </is>
      </c>
      <c r="V626" t="inlineStr">
        <is>
          <t>1992-02-19</t>
        </is>
      </c>
      <c r="W626" t="inlineStr">
        <is>
          <t>1991-12-12</t>
        </is>
      </c>
      <c r="X626" t="inlineStr">
        <is>
          <t>1991-12-12</t>
        </is>
      </c>
      <c r="Y626" t="n">
        <v>833</v>
      </c>
      <c r="Z626" t="n">
        <v>730</v>
      </c>
      <c r="AA626" t="n">
        <v>737</v>
      </c>
      <c r="AB626" t="n">
        <v>6</v>
      </c>
      <c r="AC626" t="n">
        <v>6</v>
      </c>
      <c r="AD626" t="n">
        <v>30</v>
      </c>
      <c r="AE626" t="n">
        <v>30</v>
      </c>
      <c r="AF626" t="n">
        <v>9</v>
      </c>
      <c r="AG626" t="n">
        <v>9</v>
      </c>
      <c r="AH626" t="n">
        <v>6</v>
      </c>
      <c r="AI626" t="n">
        <v>6</v>
      </c>
      <c r="AJ626" t="n">
        <v>16</v>
      </c>
      <c r="AK626" t="n">
        <v>16</v>
      </c>
      <c r="AL626" t="n">
        <v>5</v>
      </c>
      <c r="AM626" t="n">
        <v>5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HYPERLINK("http://catalog.hathitrust.org/Record/000338379","HathiTrust Record")</f>
        <v/>
      </c>
      <c r="AS626">
        <f>HYPERLINK("https://creighton-primo.hosted.exlibrisgroup.com/primo-explore/search?tab=default_tab&amp;search_scope=EVERYTHING&amp;vid=01CRU&amp;lang=en_US&amp;offset=0&amp;query=any,contains,991001027289702656","Catalog Record")</f>
        <v/>
      </c>
      <c r="AT626">
        <f>HYPERLINK("http://www.worldcat.org/oclc/174759","WorldCat Record")</f>
        <v/>
      </c>
      <c r="AU626" t="inlineStr">
        <is>
          <t>1306617:eng</t>
        </is>
      </c>
      <c r="AV626" t="inlineStr">
        <is>
          <t>174759</t>
        </is>
      </c>
      <c r="AW626" t="inlineStr">
        <is>
          <t>991001027289702656</t>
        </is>
      </c>
      <c r="AX626" t="inlineStr">
        <is>
          <t>991001027289702656</t>
        </is>
      </c>
      <c r="AY626" t="inlineStr">
        <is>
          <t>2266558050002656</t>
        </is>
      </c>
      <c r="AZ626" t="inlineStr">
        <is>
          <t>BOOK</t>
        </is>
      </c>
      <c r="BC626" t="inlineStr">
        <is>
          <t>32285000887413</t>
        </is>
      </c>
      <c r="BD626" t="inlineStr">
        <is>
          <t>893438810</t>
        </is>
      </c>
    </row>
    <row r="627">
      <c r="A627" t="inlineStr">
        <is>
          <t>No</t>
        </is>
      </c>
      <c r="B627" t="inlineStr">
        <is>
          <t>PS3511.I9 Z574</t>
        </is>
      </c>
      <c r="C627" t="inlineStr">
        <is>
          <t>0                      PS 3511000I  9                  Z  574</t>
        </is>
      </c>
      <c r="D627" t="inlineStr">
        <is>
          <t>The illusions of a nation; myth and history in the novels of F. Scott Fitzgerald [by] John F. Callahan.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Callahan, John F., 1886-1948.</t>
        </is>
      </c>
      <c r="L627" t="inlineStr">
        <is>
          <t>Urbana, University of Illinois Press [1972]</t>
        </is>
      </c>
      <c r="M627" t="inlineStr">
        <is>
          <t>1972</t>
        </is>
      </c>
      <c r="O627" t="inlineStr">
        <is>
          <t>eng</t>
        </is>
      </c>
      <c r="P627" t="inlineStr">
        <is>
          <t>ilu</t>
        </is>
      </c>
      <c r="R627" t="inlineStr">
        <is>
          <t xml:space="preserve">PS </t>
        </is>
      </c>
      <c r="S627" t="n">
        <v>7</v>
      </c>
      <c r="T627" t="n">
        <v>7</v>
      </c>
      <c r="U627" t="inlineStr">
        <is>
          <t>2000-08-23</t>
        </is>
      </c>
      <c r="V627" t="inlineStr">
        <is>
          <t>2000-08-23</t>
        </is>
      </c>
      <c r="W627" t="inlineStr">
        <is>
          <t>1991-12-17</t>
        </is>
      </c>
      <c r="X627" t="inlineStr">
        <is>
          <t>1991-12-17</t>
        </is>
      </c>
      <c r="Y627" t="n">
        <v>815</v>
      </c>
      <c r="Z627" t="n">
        <v>684</v>
      </c>
      <c r="AA627" t="n">
        <v>688</v>
      </c>
      <c r="AB627" t="n">
        <v>4</v>
      </c>
      <c r="AC627" t="n">
        <v>4</v>
      </c>
      <c r="AD627" t="n">
        <v>31</v>
      </c>
      <c r="AE627" t="n">
        <v>31</v>
      </c>
      <c r="AF627" t="n">
        <v>15</v>
      </c>
      <c r="AG627" t="n">
        <v>15</v>
      </c>
      <c r="AH627" t="n">
        <v>6</v>
      </c>
      <c r="AI627" t="n">
        <v>6</v>
      </c>
      <c r="AJ627" t="n">
        <v>15</v>
      </c>
      <c r="AK627" t="n">
        <v>15</v>
      </c>
      <c r="AL627" t="n">
        <v>3</v>
      </c>
      <c r="AM627" t="n">
        <v>3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HYPERLINK("http://catalog.hathitrust.org/Record/000389171","HathiTrust Record")</f>
        <v/>
      </c>
      <c r="AS627">
        <f>HYPERLINK("https://creighton-primo.hosted.exlibrisgroup.com/primo-explore/search?tab=default_tab&amp;search_scope=EVERYTHING&amp;vid=01CRU&amp;lang=en_US&amp;offset=0&amp;query=any,contains,991005354629702656","Catalog Record")</f>
        <v/>
      </c>
      <c r="AT627">
        <f>HYPERLINK("http://www.worldcat.org/oclc/331625","WorldCat Record")</f>
        <v/>
      </c>
      <c r="AU627" t="inlineStr">
        <is>
          <t>303443689:eng</t>
        </is>
      </c>
      <c r="AV627" t="inlineStr">
        <is>
          <t>331625</t>
        </is>
      </c>
      <c r="AW627" t="inlineStr">
        <is>
          <t>991005354629702656</t>
        </is>
      </c>
      <c r="AX627" t="inlineStr">
        <is>
          <t>991005354629702656</t>
        </is>
      </c>
      <c r="AY627" t="inlineStr">
        <is>
          <t>2256416720002656</t>
        </is>
      </c>
      <c r="AZ627" t="inlineStr">
        <is>
          <t>BOOK</t>
        </is>
      </c>
      <c r="BB627" t="inlineStr">
        <is>
          <t>9780252002328</t>
        </is>
      </c>
      <c r="BC627" t="inlineStr">
        <is>
          <t>32285000901602</t>
        </is>
      </c>
      <c r="BD627" t="inlineStr">
        <is>
          <t>893501745</t>
        </is>
      </c>
    </row>
    <row r="628">
      <c r="A628" t="inlineStr">
        <is>
          <t>No</t>
        </is>
      </c>
      <c r="B628" t="inlineStr">
        <is>
          <t>PS3511.I9 Z587 1986</t>
        </is>
      </c>
      <c r="C628" t="inlineStr">
        <is>
          <t>0                      PS 3511000I  9                  Z  587         1986</t>
        </is>
      </c>
      <c r="D628" t="inlineStr">
        <is>
          <t>The cinematic vision of F. Scott Fitzgerald / by Wheeler Winston Dixon.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K628" t="inlineStr">
        <is>
          <t>Dixon, Wheeler W., 1950-</t>
        </is>
      </c>
      <c r="L628" t="inlineStr">
        <is>
          <t>Ann Arbor, Mich. : UMI Research Press, c1986.</t>
        </is>
      </c>
      <c r="M628" t="inlineStr">
        <is>
          <t>1986</t>
        </is>
      </c>
      <c r="O628" t="inlineStr">
        <is>
          <t>eng</t>
        </is>
      </c>
      <c r="P628" t="inlineStr">
        <is>
          <t>miu</t>
        </is>
      </c>
      <c r="Q628" t="inlineStr">
        <is>
          <t>Studies in modern literature ; no. 62</t>
        </is>
      </c>
      <c r="R628" t="inlineStr">
        <is>
          <t xml:space="preserve">PS </t>
        </is>
      </c>
      <c r="S628" t="n">
        <v>9</v>
      </c>
      <c r="T628" t="n">
        <v>9</v>
      </c>
      <c r="U628" t="inlineStr">
        <is>
          <t>2004-03-25</t>
        </is>
      </c>
      <c r="V628" t="inlineStr">
        <is>
          <t>2004-03-25</t>
        </is>
      </c>
      <c r="W628" t="inlineStr">
        <is>
          <t>1990-03-14</t>
        </is>
      </c>
      <c r="X628" t="inlineStr">
        <is>
          <t>1990-03-14</t>
        </is>
      </c>
      <c r="Y628" t="n">
        <v>387</v>
      </c>
      <c r="Z628" t="n">
        <v>326</v>
      </c>
      <c r="AA628" t="n">
        <v>328</v>
      </c>
      <c r="AB628" t="n">
        <v>5</v>
      </c>
      <c r="AC628" t="n">
        <v>5</v>
      </c>
      <c r="AD628" t="n">
        <v>16</v>
      </c>
      <c r="AE628" t="n">
        <v>16</v>
      </c>
      <c r="AF628" t="n">
        <v>5</v>
      </c>
      <c r="AG628" t="n">
        <v>5</v>
      </c>
      <c r="AH628" t="n">
        <v>2</v>
      </c>
      <c r="AI628" t="n">
        <v>2</v>
      </c>
      <c r="AJ628" t="n">
        <v>10</v>
      </c>
      <c r="AK628" t="n">
        <v>10</v>
      </c>
      <c r="AL628" t="n">
        <v>3</v>
      </c>
      <c r="AM628" t="n">
        <v>3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HYPERLINK("http://catalog.hathitrust.org/Record/000404147","HathiTrust Record")</f>
        <v/>
      </c>
      <c r="AS628">
        <f>HYPERLINK("https://creighton-primo.hosted.exlibrisgroup.com/primo-explore/search?tab=default_tab&amp;search_scope=EVERYTHING&amp;vid=01CRU&amp;lang=en_US&amp;offset=0&amp;query=any,contains,991000769329702656","Catalog Record")</f>
        <v/>
      </c>
      <c r="AT628">
        <f>HYPERLINK("http://www.worldcat.org/oclc/13009852","WorldCat Record")</f>
        <v/>
      </c>
      <c r="AU628" t="inlineStr">
        <is>
          <t>5610394142:eng</t>
        </is>
      </c>
      <c r="AV628" t="inlineStr">
        <is>
          <t>13009852</t>
        </is>
      </c>
      <c r="AW628" t="inlineStr">
        <is>
          <t>991000769329702656</t>
        </is>
      </c>
      <c r="AX628" t="inlineStr">
        <is>
          <t>991000769329702656</t>
        </is>
      </c>
      <c r="AY628" t="inlineStr">
        <is>
          <t>2266735660002656</t>
        </is>
      </c>
      <c r="AZ628" t="inlineStr">
        <is>
          <t>BOOK</t>
        </is>
      </c>
      <c r="BB628" t="inlineStr">
        <is>
          <t>9780835717014</t>
        </is>
      </c>
      <c r="BC628" t="inlineStr">
        <is>
          <t>32285000084730</t>
        </is>
      </c>
      <c r="BD628" t="inlineStr">
        <is>
          <t>893871990</t>
        </is>
      </c>
    </row>
    <row r="629">
      <c r="A629" t="inlineStr">
        <is>
          <t>No</t>
        </is>
      </c>
      <c r="B629" t="inlineStr">
        <is>
          <t>PS3511.I9 Z6</t>
        </is>
      </c>
      <c r="C629" t="inlineStr">
        <is>
          <t>0                      PS 3511000I  9                  Z  6</t>
        </is>
      </c>
      <c r="D629" t="inlineStr">
        <is>
          <t>F. Scott Fitzgerald / by Kenneth Eble.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Yes</t>
        </is>
      </c>
      <c r="J629" t="inlineStr">
        <is>
          <t>0</t>
        </is>
      </c>
      <c r="K629" t="inlineStr">
        <is>
          <t>Eble, Kenneth E. (Kenneth Eugene)</t>
        </is>
      </c>
      <c r="L629" t="inlineStr">
        <is>
          <t>New York : Twayne Publishers, [1963]</t>
        </is>
      </c>
      <c r="M629" t="inlineStr">
        <is>
          <t>1963</t>
        </is>
      </c>
      <c r="O629" t="inlineStr">
        <is>
          <t>eng</t>
        </is>
      </c>
      <c r="P629" t="inlineStr">
        <is>
          <t>nyu</t>
        </is>
      </c>
      <c r="Q629" t="inlineStr">
        <is>
          <t>Twayne's United States authors series, 36</t>
        </is>
      </c>
      <c r="R629" t="inlineStr">
        <is>
          <t xml:space="preserve">PS </t>
        </is>
      </c>
      <c r="S629" t="n">
        <v>7</v>
      </c>
      <c r="T629" t="n">
        <v>7</v>
      </c>
      <c r="U629" t="inlineStr">
        <is>
          <t>2004-03-25</t>
        </is>
      </c>
      <c r="V629" t="inlineStr">
        <is>
          <t>2004-03-25</t>
        </is>
      </c>
      <c r="W629" t="inlineStr">
        <is>
          <t>1990-03-15</t>
        </is>
      </c>
      <c r="X629" t="inlineStr">
        <is>
          <t>1990-03-15</t>
        </is>
      </c>
      <c r="Y629" t="n">
        <v>1455</v>
      </c>
      <c r="Z629" t="n">
        <v>1316</v>
      </c>
      <c r="AA629" t="n">
        <v>2493</v>
      </c>
      <c r="AB629" t="n">
        <v>9</v>
      </c>
      <c r="AC629" t="n">
        <v>14</v>
      </c>
      <c r="AD629" t="n">
        <v>31</v>
      </c>
      <c r="AE629" t="n">
        <v>54</v>
      </c>
      <c r="AF629" t="n">
        <v>12</v>
      </c>
      <c r="AG629" t="n">
        <v>26</v>
      </c>
      <c r="AH629" t="n">
        <v>4</v>
      </c>
      <c r="AI629" t="n">
        <v>9</v>
      </c>
      <c r="AJ629" t="n">
        <v>18</v>
      </c>
      <c r="AK629" t="n">
        <v>23</v>
      </c>
      <c r="AL629" t="n">
        <v>5</v>
      </c>
      <c r="AM629" t="n">
        <v>9</v>
      </c>
      <c r="AN629" t="n">
        <v>0</v>
      </c>
      <c r="AO629" t="n">
        <v>0</v>
      </c>
      <c r="AP629" t="inlineStr">
        <is>
          <t>No</t>
        </is>
      </c>
      <c r="AQ629" t="inlineStr">
        <is>
          <t>Yes</t>
        </is>
      </c>
      <c r="AR629">
        <f>HYPERLINK("http://catalog.hathitrust.org/Record/000389176","HathiTrust Record")</f>
        <v/>
      </c>
      <c r="AS629">
        <f>HYPERLINK("https://creighton-primo.hosted.exlibrisgroup.com/primo-explore/search?tab=default_tab&amp;search_scope=EVERYTHING&amp;vid=01CRU&amp;lang=en_US&amp;offset=0&amp;query=any,contains,991002199419702656","Catalog Record")</f>
        <v/>
      </c>
      <c r="AT629">
        <f>HYPERLINK("http://www.worldcat.org/oclc/283851","WorldCat Record")</f>
        <v/>
      </c>
      <c r="AU629" t="inlineStr">
        <is>
          <t>3901031718:eng</t>
        </is>
      </c>
      <c r="AV629" t="inlineStr">
        <is>
          <t>283851</t>
        </is>
      </c>
      <c r="AW629" t="inlineStr">
        <is>
          <t>991002199419702656</t>
        </is>
      </c>
      <c r="AX629" t="inlineStr">
        <is>
          <t>991002199419702656</t>
        </is>
      </c>
      <c r="AY629" t="inlineStr">
        <is>
          <t>2265778240002656</t>
        </is>
      </c>
      <c r="AZ629" t="inlineStr">
        <is>
          <t>BOOK</t>
        </is>
      </c>
      <c r="BC629" t="inlineStr">
        <is>
          <t>32285000084748</t>
        </is>
      </c>
      <c r="BD629" t="inlineStr">
        <is>
          <t>893510421</t>
        </is>
      </c>
    </row>
    <row r="630">
      <c r="A630" t="inlineStr">
        <is>
          <t>No</t>
        </is>
      </c>
      <c r="B630" t="inlineStr">
        <is>
          <t>PS3511.I9 Z61</t>
        </is>
      </c>
      <c r="C630" t="inlineStr">
        <is>
          <t>0                      PS 3511000I  9                  Z  61</t>
        </is>
      </c>
      <c r="D630" t="inlineStr">
        <is>
          <t>F. Scott Fitzgerald and his contemporaries.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K630" t="inlineStr">
        <is>
          <t>Goldhurst, William, 1929-</t>
        </is>
      </c>
      <c r="L630" t="inlineStr">
        <is>
          <t>Cleveland : World Pub. Co., [1963]</t>
        </is>
      </c>
      <c r="M630" t="inlineStr">
        <is>
          <t>1963</t>
        </is>
      </c>
      <c r="N630" t="inlineStr">
        <is>
          <t>[1st ed.]</t>
        </is>
      </c>
      <c r="O630" t="inlineStr">
        <is>
          <t>eng</t>
        </is>
      </c>
      <c r="P630" t="inlineStr">
        <is>
          <t>ohu</t>
        </is>
      </c>
      <c r="R630" t="inlineStr">
        <is>
          <t xml:space="preserve">PS </t>
        </is>
      </c>
      <c r="S630" t="n">
        <v>5</v>
      </c>
      <c r="T630" t="n">
        <v>5</v>
      </c>
      <c r="U630" t="inlineStr">
        <is>
          <t>2000-02-09</t>
        </is>
      </c>
      <c r="V630" t="inlineStr">
        <is>
          <t>2000-02-09</t>
        </is>
      </c>
      <c r="W630" t="inlineStr">
        <is>
          <t>1991-12-11</t>
        </is>
      </c>
      <c r="X630" t="inlineStr">
        <is>
          <t>1991-12-11</t>
        </is>
      </c>
      <c r="Y630" t="n">
        <v>840</v>
      </c>
      <c r="Z630" t="n">
        <v>769</v>
      </c>
      <c r="AA630" t="n">
        <v>777</v>
      </c>
      <c r="AB630" t="n">
        <v>6</v>
      </c>
      <c r="AC630" t="n">
        <v>6</v>
      </c>
      <c r="AD630" t="n">
        <v>30</v>
      </c>
      <c r="AE630" t="n">
        <v>30</v>
      </c>
      <c r="AF630" t="n">
        <v>11</v>
      </c>
      <c r="AG630" t="n">
        <v>11</v>
      </c>
      <c r="AH630" t="n">
        <v>6</v>
      </c>
      <c r="AI630" t="n">
        <v>6</v>
      </c>
      <c r="AJ630" t="n">
        <v>14</v>
      </c>
      <c r="AK630" t="n">
        <v>14</v>
      </c>
      <c r="AL630" t="n">
        <v>5</v>
      </c>
      <c r="AM630" t="n">
        <v>5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HYPERLINK("http://catalog.hathitrust.org/Record/001028546","HathiTrust Record")</f>
        <v/>
      </c>
      <c r="AS630">
        <f>HYPERLINK("https://creighton-primo.hosted.exlibrisgroup.com/primo-explore/search?tab=default_tab&amp;search_scope=EVERYTHING&amp;vid=01CRU&amp;lang=en_US&amp;offset=0&amp;query=any,contains,991002197179702656","Catalog Record")</f>
        <v/>
      </c>
      <c r="AT630">
        <f>HYPERLINK("http://www.worldcat.org/oclc/283471","WorldCat Record")</f>
        <v/>
      </c>
      <c r="AU630" t="inlineStr">
        <is>
          <t>1862636588:eng</t>
        </is>
      </c>
      <c r="AV630" t="inlineStr">
        <is>
          <t>283471</t>
        </is>
      </c>
      <c r="AW630" t="inlineStr">
        <is>
          <t>991002197179702656</t>
        </is>
      </c>
      <c r="AX630" t="inlineStr">
        <is>
          <t>991002197179702656</t>
        </is>
      </c>
      <c r="AY630" t="inlineStr">
        <is>
          <t>2265680780002656</t>
        </is>
      </c>
      <c r="AZ630" t="inlineStr">
        <is>
          <t>BOOK</t>
        </is>
      </c>
      <c r="BC630" t="inlineStr">
        <is>
          <t>32285000849967</t>
        </is>
      </c>
      <c r="BD630" t="inlineStr">
        <is>
          <t>893709977</t>
        </is>
      </c>
    </row>
    <row r="631">
      <c r="A631" t="inlineStr">
        <is>
          <t>No</t>
        </is>
      </c>
      <c r="B631" t="inlineStr">
        <is>
          <t>PS3511.I9 Z642 1976</t>
        </is>
      </c>
      <c r="C631" t="inlineStr">
        <is>
          <t>0                      PS 3511000I  9                  Z  642         1976</t>
        </is>
      </c>
      <c r="D631" t="inlineStr">
        <is>
          <t>The real F. Scott Fitzgerald, thirty-five years later / by Sheilah Graham.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Graham, Sheilah.</t>
        </is>
      </c>
      <c r="L631" t="inlineStr">
        <is>
          <t>New York : Grosset &amp; Dunlap, c1976.</t>
        </is>
      </c>
      <c r="M631" t="inlineStr">
        <is>
          <t>1976</t>
        </is>
      </c>
      <c r="O631" t="inlineStr">
        <is>
          <t>eng</t>
        </is>
      </c>
      <c r="P631" t="inlineStr">
        <is>
          <t>nyu</t>
        </is>
      </c>
      <c r="R631" t="inlineStr">
        <is>
          <t xml:space="preserve">PS </t>
        </is>
      </c>
      <c r="S631" t="n">
        <v>8</v>
      </c>
      <c r="T631" t="n">
        <v>8</v>
      </c>
      <c r="U631" t="inlineStr">
        <is>
          <t>2000-02-09</t>
        </is>
      </c>
      <c r="V631" t="inlineStr">
        <is>
          <t>2000-02-09</t>
        </is>
      </c>
      <c r="W631" t="inlineStr">
        <is>
          <t>1990-06-15</t>
        </is>
      </c>
      <c r="X631" t="inlineStr">
        <is>
          <t>1990-06-15</t>
        </is>
      </c>
      <c r="Y631" t="n">
        <v>813</v>
      </c>
      <c r="Z631" t="n">
        <v>722</v>
      </c>
      <c r="AA631" t="n">
        <v>751</v>
      </c>
      <c r="AB631" t="n">
        <v>7</v>
      </c>
      <c r="AC631" t="n">
        <v>7</v>
      </c>
      <c r="AD631" t="n">
        <v>22</v>
      </c>
      <c r="AE631" t="n">
        <v>24</v>
      </c>
      <c r="AF631" t="n">
        <v>6</v>
      </c>
      <c r="AG631" t="n">
        <v>7</v>
      </c>
      <c r="AH631" t="n">
        <v>4</v>
      </c>
      <c r="AI631" t="n">
        <v>5</v>
      </c>
      <c r="AJ631" t="n">
        <v>12</v>
      </c>
      <c r="AK631" t="n">
        <v>12</v>
      </c>
      <c r="AL631" t="n">
        <v>4</v>
      </c>
      <c r="AM631" t="n">
        <v>4</v>
      </c>
      <c r="AN631" t="n">
        <v>0</v>
      </c>
      <c r="AO631" t="n">
        <v>0</v>
      </c>
      <c r="AP631" t="inlineStr">
        <is>
          <t>No</t>
        </is>
      </c>
      <c r="AQ631" t="inlineStr">
        <is>
          <t>Yes</t>
        </is>
      </c>
      <c r="AR631">
        <f>HYPERLINK("http://catalog.hathitrust.org/Record/000699214","HathiTrust Record")</f>
        <v/>
      </c>
      <c r="AS631">
        <f>HYPERLINK("https://creighton-primo.hosted.exlibrisgroup.com/primo-explore/search?tab=default_tab&amp;search_scope=EVERYTHING&amp;vid=01CRU&amp;lang=en_US&amp;offset=0&amp;query=any,contains,991003997649702656","Catalog Record")</f>
        <v/>
      </c>
      <c r="AT631">
        <f>HYPERLINK("http://www.worldcat.org/oclc/2065500","WorldCat Record")</f>
        <v/>
      </c>
      <c r="AU631" t="inlineStr">
        <is>
          <t>484669:eng</t>
        </is>
      </c>
      <c r="AV631" t="inlineStr">
        <is>
          <t>2065500</t>
        </is>
      </c>
      <c r="AW631" t="inlineStr">
        <is>
          <t>991003997649702656</t>
        </is>
      </c>
      <c r="AX631" t="inlineStr">
        <is>
          <t>991003997649702656</t>
        </is>
      </c>
      <c r="AY631" t="inlineStr">
        <is>
          <t>2263819190002656</t>
        </is>
      </c>
      <c r="AZ631" t="inlineStr">
        <is>
          <t>BOOK</t>
        </is>
      </c>
      <c r="BB631" t="inlineStr">
        <is>
          <t>9780448118758</t>
        </is>
      </c>
      <c r="BC631" t="inlineStr">
        <is>
          <t>32285000197714</t>
        </is>
      </c>
      <c r="BD631" t="inlineStr">
        <is>
          <t>893331088</t>
        </is>
      </c>
    </row>
    <row r="632">
      <c r="A632" t="inlineStr">
        <is>
          <t>No</t>
        </is>
      </c>
      <c r="B632" t="inlineStr">
        <is>
          <t>PS3511.I9 Z688</t>
        </is>
      </c>
      <c r="C632" t="inlineStr">
        <is>
          <t>0                      PS 3511000I  9                  Z  688</t>
        </is>
      </c>
      <c r="D632" t="inlineStr">
        <is>
          <t>F. Scott Fitzgerald, his art and his technique / by James E. Miller, Jr.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Miller, James E. (James Edwin), 1920-2010.</t>
        </is>
      </c>
      <c r="L632" t="inlineStr">
        <is>
          <t>[New York] : New York University Press, 1964.</t>
        </is>
      </c>
      <c r="M632" t="inlineStr">
        <is>
          <t>1964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PS </t>
        </is>
      </c>
      <c r="S632" t="n">
        <v>3</v>
      </c>
      <c r="T632" t="n">
        <v>3</v>
      </c>
      <c r="U632" t="inlineStr">
        <is>
          <t>1997-12-09</t>
        </is>
      </c>
      <c r="V632" t="inlineStr">
        <is>
          <t>1997-12-09</t>
        </is>
      </c>
      <c r="W632" t="inlineStr">
        <is>
          <t>1990-05-22</t>
        </is>
      </c>
      <c r="X632" t="inlineStr">
        <is>
          <t>1990-05-22</t>
        </is>
      </c>
      <c r="Y632" t="n">
        <v>1197</v>
      </c>
      <c r="Z632" t="n">
        <v>1063</v>
      </c>
      <c r="AA632" t="n">
        <v>1076</v>
      </c>
      <c r="AB632" t="n">
        <v>9</v>
      </c>
      <c r="AC632" t="n">
        <v>9</v>
      </c>
      <c r="AD632" t="n">
        <v>45</v>
      </c>
      <c r="AE632" t="n">
        <v>45</v>
      </c>
      <c r="AF632" t="n">
        <v>18</v>
      </c>
      <c r="AG632" t="n">
        <v>18</v>
      </c>
      <c r="AH632" t="n">
        <v>8</v>
      </c>
      <c r="AI632" t="n">
        <v>8</v>
      </c>
      <c r="AJ632" t="n">
        <v>22</v>
      </c>
      <c r="AK632" t="n">
        <v>22</v>
      </c>
      <c r="AL632" t="n">
        <v>8</v>
      </c>
      <c r="AM632" t="n">
        <v>8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HYPERLINK("http://catalog.hathitrust.org/Record/000389190","HathiTrust Record")</f>
        <v/>
      </c>
      <c r="AS632">
        <f>HYPERLINK("https://creighton-primo.hosted.exlibrisgroup.com/primo-explore/search?tab=default_tab&amp;search_scope=EVERYTHING&amp;vid=01CRU&amp;lang=en_US&amp;offset=0&amp;query=any,contains,991002200499702656","Catalog Record")</f>
        <v/>
      </c>
      <c r="AT632">
        <f>HYPERLINK("http://www.worldcat.org/oclc/284224","WorldCat Record")</f>
        <v/>
      </c>
      <c r="AU632" t="inlineStr">
        <is>
          <t>4757680020:eng</t>
        </is>
      </c>
      <c r="AV632" t="inlineStr">
        <is>
          <t>284224</t>
        </is>
      </c>
      <c r="AW632" t="inlineStr">
        <is>
          <t>991002200499702656</t>
        </is>
      </c>
      <c r="AX632" t="inlineStr">
        <is>
          <t>991002200499702656</t>
        </is>
      </c>
      <c r="AY632" t="inlineStr">
        <is>
          <t>2266057360002656</t>
        </is>
      </c>
      <c r="AZ632" t="inlineStr">
        <is>
          <t>BOOK</t>
        </is>
      </c>
      <c r="BC632" t="inlineStr">
        <is>
          <t>32285000157767</t>
        </is>
      </c>
      <c r="BD632" t="inlineStr">
        <is>
          <t>893709980</t>
        </is>
      </c>
    </row>
    <row r="633">
      <c r="A633" t="inlineStr">
        <is>
          <t>No</t>
        </is>
      </c>
      <c r="B633" t="inlineStr">
        <is>
          <t>PS3511.I9 Z73 1988</t>
        </is>
      </c>
      <c r="C633" t="inlineStr">
        <is>
          <t>0                      PS 3511000I  9                  Z  73          1988</t>
        </is>
      </c>
      <c r="D633" t="inlineStr">
        <is>
          <t>Escape into a labyrinth : F. Scott Fitzgerald, Catholic sensibility, and the American way / Benita A. Moore.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Moore, Benita A.</t>
        </is>
      </c>
      <c r="L633" t="inlineStr">
        <is>
          <t>New York : Garland, 1988.</t>
        </is>
      </c>
      <c r="M633" t="inlineStr">
        <is>
          <t>1988</t>
        </is>
      </c>
      <c r="O633" t="inlineStr">
        <is>
          <t>eng</t>
        </is>
      </c>
      <c r="P633" t="inlineStr">
        <is>
          <t>nyu</t>
        </is>
      </c>
      <c r="Q633" t="inlineStr">
        <is>
          <t>The Heritage of American Catholicism</t>
        </is>
      </c>
      <c r="R633" t="inlineStr">
        <is>
          <t xml:space="preserve">PS </t>
        </is>
      </c>
      <c r="S633" t="n">
        <v>5</v>
      </c>
      <c r="T633" t="n">
        <v>5</v>
      </c>
      <c r="U633" t="inlineStr">
        <is>
          <t>2000-02-09</t>
        </is>
      </c>
      <c r="V633" t="inlineStr">
        <is>
          <t>2000-02-09</t>
        </is>
      </c>
      <c r="W633" t="inlineStr">
        <is>
          <t>1990-11-09</t>
        </is>
      </c>
      <c r="X633" t="inlineStr">
        <is>
          <t>1990-11-09</t>
        </is>
      </c>
      <c r="Y633" t="n">
        <v>136</v>
      </c>
      <c r="Z633" t="n">
        <v>114</v>
      </c>
      <c r="AA633" t="n">
        <v>146</v>
      </c>
      <c r="AB633" t="n">
        <v>2</v>
      </c>
      <c r="AC633" t="n">
        <v>2</v>
      </c>
      <c r="AD633" t="n">
        <v>20</v>
      </c>
      <c r="AE633" t="n">
        <v>20</v>
      </c>
      <c r="AF633" t="n">
        <v>6</v>
      </c>
      <c r="AG633" t="n">
        <v>6</v>
      </c>
      <c r="AH633" t="n">
        <v>4</v>
      </c>
      <c r="AI633" t="n">
        <v>4</v>
      </c>
      <c r="AJ633" t="n">
        <v>13</v>
      </c>
      <c r="AK633" t="n">
        <v>13</v>
      </c>
      <c r="AL633" t="n">
        <v>1</v>
      </c>
      <c r="AM633" t="n">
        <v>1</v>
      </c>
      <c r="AN633" t="n">
        <v>0</v>
      </c>
      <c r="AO633" t="n">
        <v>0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HYPERLINK("https://creighton-primo.hosted.exlibrisgroup.com/primo-explore/search?tab=default_tab&amp;search_scope=EVERYTHING&amp;vid=01CRU&amp;lang=en_US&amp;offset=0&amp;query=any,contains,991001250459702656","Catalog Record")</f>
        <v/>
      </c>
      <c r="AT633">
        <f>HYPERLINK("http://www.worldcat.org/oclc/17675333","WorldCat Record")</f>
        <v/>
      </c>
      <c r="AU633" t="inlineStr">
        <is>
          <t>836840219:eng</t>
        </is>
      </c>
      <c r="AV633" t="inlineStr">
        <is>
          <t>17675333</t>
        </is>
      </c>
      <c r="AW633" t="inlineStr">
        <is>
          <t>991001250459702656</t>
        </is>
      </c>
      <c r="AX633" t="inlineStr">
        <is>
          <t>991001250459702656</t>
        </is>
      </c>
      <c r="AY633" t="inlineStr">
        <is>
          <t>2259975880002656</t>
        </is>
      </c>
      <c r="AZ633" t="inlineStr">
        <is>
          <t>BOOK</t>
        </is>
      </c>
      <c r="BB633" t="inlineStr">
        <is>
          <t>9780824040970</t>
        </is>
      </c>
      <c r="BC633" t="inlineStr">
        <is>
          <t>32285000377910</t>
        </is>
      </c>
      <c r="BD633" t="inlineStr">
        <is>
          <t>893496945</t>
        </is>
      </c>
    </row>
    <row r="634">
      <c r="A634" t="inlineStr">
        <is>
          <t>No</t>
        </is>
      </c>
      <c r="B634" t="inlineStr">
        <is>
          <t>PS3511.I9 Z814 1989</t>
        </is>
      </c>
      <c r="C634" t="inlineStr">
        <is>
          <t>0                      PS 3511000I  9                  Z  814         1989</t>
        </is>
      </c>
      <c r="D634" t="inlineStr">
        <is>
          <t>Fitzgerald's craft of short fiction : the collected stories, 1920-1935 / Alice Hall Petry.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Petry, Alice Hall, 1951-</t>
        </is>
      </c>
      <c r="L634" t="inlineStr">
        <is>
          <t>Ann Arbor : UMI Research Press, c1989.</t>
        </is>
      </c>
      <c r="M634" t="inlineStr">
        <is>
          <t>1989</t>
        </is>
      </c>
      <c r="O634" t="inlineStr">
        <is>
          <t>eng</t>
        </is>
      </c>
      <c r="P634" t="inlineStr">
        <is>
          <t>miu</t>
        </is>
      </c>
      <c r="Q634" t="inlineStr">
        <is>
          <t>Studies in modern literature ; no. 103</t>
        </is>
      </c>
      <c r="R634" t="inlineStr">
        <is>
          <t xml:space="preserve">PS </t>
        </is>
      </c>
      <c r="S634" t="n">
        <v>8</v>
      </c>
      <c r="T634" t="n">
        <v>8</v>
      </c>
      <c r="U634" t="inlineStr">
        <is>
          <t>1993-11-18</t>
        </is>
      </c>
      <c r="V634" t="inlineStr">
        <is>
          <t>1993-11-18</t>
        </is>
      </c>
      <c r="W634" t="inlineStr">
        <is>
          <t>1989-11-01</t>
        </is>
      </c>
      <c r="X634" t="inlineStr">
        <is>
          <t>1989-11-01</t>
        </is>
      </c>
      <c r="Y634" t="n">
        <v>588</v>
      </c>
      <c r="Z634" t="n">
        <v>516</v>
      </c>
      <c r="AA634" t="n">
        <v>519</v>
      </c>
      <c r="AB634" t="n">
        <v>3</v>
      </c>
      <c r="AC634" t="n">
        <v>3</v>
      </c>
      <c r="AD634" t="n">
        <v>17</v>
      </c>
      <c r="AE634" t="n">
        <v>17</v>
      </c>
      <c r="AF634" t="n">
        <v>6</v>
      </c>
      <c r="AG634" t="n">
        <v>6</v>
      </c>
      <c r="AH634" t="n">
        <v>4</v>
      </c>
      <c r="AI634" t="n">
        <v>4</v>
      </c>
      <c r="AJ634" t="n">
        <v>10</v>
      </c>
      <c r="AK634" t="n">
        <v>10</v>
      </c>
      <c r="AL634" t="n">
        <v>2</v>
      </c>
      <c r="AM634" t="n">
        <v>2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HYPERLINK("http://catalog.hathitrust.org/Record/001538347","HathiTrust Record")</f>
        <v/>
      </c>
      <c r="AS634">
        <f>HYPERLINK("https://creighton-primo.hosted.exlibrisgroup.com/primo-explore/search?tab=default_tab&amp;search_scope=EVERYTHING&amp;vid=01CRU&amp;lang=en_US&amp;offset=0&amp;query=any,contains,991001491339702656","Catalog Record")</f>
        <v/>
      </c>
      <c r="AT634">
        <f>HYPERLINK("http://www.worldcat.org/oclc/19723527","WorldCat Record")</f>
        <v/>
      </c>
      <c r="AU634" t="inlineStr">
        <is>
          <t>10677818170:eng</t>
        </is>
      </c>
      <c r="AV634" t="inlineStr">
        <is>
          <t>19723527</t>
        </is>
      </c>
      <c r="AW634" t="inlineStr">
        <is>
          <t>991001491339702656</t>
        </is>
      </c>
      <c r="AX634" t="inlineStr">
        <is>
          <t>991001491339702656</t>
        </is>
      </c>
      <c r="AY634" t="inlineStr">
        <is>
          <t>2260659190002656</t>
        </is>
      </c>
      <c r="AZ634" t="inlineStr">
        <is>
          <t>BOOK</t>
        </is>
      </c>
      <c r="BB634" t="inlineStr">
        <is>
          <t>9780835720045</t>
        </is>
      </c>
      <c r="BC634" t="inlineStr">
        <is>
          <t>32285000011303</t>
        </is>
      </c>
      <c r="BD634" t="inlineStr">
        <is>
          <t>893328165</t>
        </is>
      </c>
    </row>
    <row r="635">
      <c r="A635" t="inlineStr">
        <is>
          <t>No</t>
        </is>
      </c>
      <c r="B635" t="inlineStr">
        <is>
          <t>PS3511.I9 Z82</t>
        </is>
      </c>
      <c r="C635" t="inlineStr">
        <is>
          <t>0                      PS 3511000I  9                  Z  82</t>
        </is>
      </c>
      <c r="D635" t="inlineStr">
        <is>
          <t>F. Scott Fitzgerald : a critical portrait.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Piper, Henry Dan.</t>
        </is>
      </c>
      <c r="L635" t="inlineStr">
        <is>
          <t>New York : Holt, Rinehart and Winston, [1965]</t>
        </is>
      </c>
      <c r="M635" t="inlineStr">
        <is>
          <t>1965</t>
        </is>
      </c>
      <c r="N635" t="inlineStr">
        <is>
          <t>[1st ed.]</t>
        </is>
      </c>
      <c r="O635" t="inlineStr">
        <is>
          <t>eng</t>
        </is>
      </c>
      <c r="P635" t="inlineStr">
        <is>
          <t>nyu</t>
        </is>
      </c>
      <c r="R635" t="inlineStr">
        <is>
          <t xml:space="preserve">PS </t>
        </is>
      </c>
      <c r="S635" t="n">
        <v>8</v>
      </c>
      <c r="T635" t="n">
        <v>8</v>
      </c>
      <c r="U635" t="inlineStr">
        <is>
          <t>1993-05-04</t>
        </is>
      </c>
      <c r="V635" t="inlineStr">
        <is>
          <t>1993-05-04</t>
        </is>
      </c>
      <c r="W635" t="inlineStr">
        <is>
          <t>1990-02-24</t>
        </is>
      </c>
      <c r="X635" t="inlineStr">
        <is>
          <t>1990-02-24</t>
        </is>
      </c>
      <c r="Y635" t="n">
        <v>847</v>
      </c>
      <c r="Z635" t="n">
        <v>757</v>
      </c>
      <c r="AA635" t="n">
        <v>929</v>
      </c>
      <c r="AB635" t="n">
        <v>4</v>
      </c>
      <c r="AC635" t="n">
        <v>5</v>
      </c>
      <c r="AD635" t="n">
        <v>25</v>
      </c>
      <c r="AE635" t="n">
        <v>34</v>
      </c>
      <c r="AF635" t="n">
        <v>10</v>
      </c>
      <c r="AG635" t="n">
        <v>13</v>
      </c>
      <c r="AH635" t="n">
        <v>4</v>
      </c>
      <c r="AI635" t="n">
        <v>6</v>
      </c>
      <c r="AJ635" t="n">
        <v>15</v>
      </c>
      <c r="AK635" t="n">
        <v>18</v>
      </c>
      <c r="AL635" t="n">
        <v>3</v>
      </c>
      <c r="AM635" t="n">
        <v>4</v>
      </c>
      <c r="AN635" t="n">
        <v>0</v>
      </c>
      <c r="AO635" t="n">
        <v>0</v>
      </c>
      <c r="AP635" t="inlineStr">
        <is>
          <t>No</t>
        </is>
      </c>
      <c r="AQ635" t="inlineStr">
        <is>
          <t>Yes</t>
        </is>
      </c>
      <c r="AR635">
        <f>HYPERLINK("http://catalog.hathitrust.org/Record/000389638","HathiTrust Record")</f>
        <v/>
      </c>
      <c r="AS635">
        <f>HYPERLINK("https://creighton-primo.hosted.exlibrisgroup.com/primo-explore/search?tab=default_tab&amp;search_scope=EVERYTHING&amp;vid=01CRU&amp;lang=en_US&amp;offset=0&amp;query=any,contains,991000948619702656","Catalog Record")</f>
        <v/>
      </c>
      <c r="AT635">
        <f>HYPERLINK("http://www.worldcat.org/oclc/167506","WorldCat Record")</f>
        <v/>
      </c>
      <c r="AU635" t="inlineStr">
        <is>
          <t>1287628:eng</t>
        </is>
      </c>
      <c r="AV635" t="inlineStr">
        <is>
          <t>167506</t>
        </is>
      </c>
      <c r="AW635" t="inlineStr">
        <is>
          <t>991000948619702656</t>
        </is>
      </c>
      <c r="AX635" t="inlineStr">
        <is>
          <t>991000948619702656</t>
        </is>
      </c>
      <c r="AY635" t="inlineStr">
        <is>
          <t>2272633160002656</t>
        </is>
      </c>
      <c r="AZ635" t="inlineStr">
        <is>
          <t>BOOK</t>
        </is>
      </c>
      <c r="BC635" t="inlineStr">
        <is>
          <t>32285000061290</t>
        </is>
      </c>
      <c r="BD635" t="inlineStr">
        <is>
          <t>893897356</t>
        </is>
      </c>
    </row>
    <row r="636">
      <c r="A636" t="inlineStr">
        <is>
          <t>No</t>
        </is>
      </c>
      <c r="B636" t="inlineStr">
        <is>
          <t>PS3511.I9 Z86</t>
        </is>
      </c>
      <c r="C636" t="inlineStr">
        <is>
          <t>0                      PS 3511000I  9                  Z  86</t>
        </is>
      </c>
      <c r="D636" t="inlineStr">
        <is>
          <t>F. Scott Fitzgerald, the last Laocoön..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Sklar, Robert.</t>
        </is>
      </c>
      <c r="L636" t="inlineStr">
        <is>
          <t>New York : Oxford University Press, 1967.</t>
        </is>
      </c>
      <c r="M636" t="inlineStr">
        <is>
          <t>1967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PS </t>
        </is>
      </c>
      <c r="S636" t="n">
        <v>1</v>
      </c>
      <c r="T636" t="n">
        <v>1</v>
      </c>
      <c r="U636" t="inlineStr">
        <is>
          <t>1992-01-15</t>
        </is>
      </c>
      <c r="V636" t="inlineStr">
        <is>
          <t>1992-01-15</t>
        </is>
      </c>
      <c r="W636" t="inlineStr">
        <is>
          <t>1990-08-17</t>
        </is>
      </c>
      <c r="X636" t="inlineStr">
        <is>
          <t>1990-08-17</t>
        </is>
      </c>
      <c r="Y636" t="n">
        <v>1396</v>
      </c>
      <c r="Z636" t="n">
        <v>1243</v>
      </c>
      <c r="AA636" t="n">
        <v>1322</v>
      </c>
      <c r="AB636" t="n">
        <v>10</v>
      </c>
      <c r="AC636" t="n">
        <v>10</v>
      </c>
      <c r="AD636" t="n">
        <v>50</v>
      </c>
      <c r="AE636" t="n">
        <v>52</v>
      </c>
      <c r="AF636" t="n">
        <v>24</v>
      </c>
      <c r="AG636" t="n">
        <v>25</v>
      </c>
      <c r="AH636" t="n">
        <v>7</v>
      </c>
      <c r="AI636" t="n">
        <v>8</v>
      </c>
      <c r="AJ636" t="n">
        <v>22</v>
      </c>
      <c r="AK636" t="n">
        <v>23</v>
      </c>
      <c r="AL636" t="n">
        <v>9</v>
      </c>
      <c r="AM636" t="n">
        <v>9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HYPERLINK("http://catalog.hathitrust.org/Record/000389655","HathiTrust Record")</f>
        <v/>
      </c>
      <c r="AS636">
        <f>HYPERLINK("https://creighton-primo.hosted.exlibrisgroup.com/primo-explore/search?tab=default_tab&amp;search_scope=EVERYTHING&amp;vid=01CRU&amp;lang=en_US&amp;offset=0&amp;query=any,contains,991002200729702656","Catalog Record")</f>
        <v/>
      </c>
      <c r="AT636">
        <f>HYPERLINK("http://www.worldcat.org/oclc/284263","WorldCat Record")</f>
        <v/>
      </c>
      <c r="AU636" t="inlineStr">
        <is>
          <t>309024330:eng</t>
        </is>
      </c>
      <c r="AV636" t="inlineStr">
        <is>
          <t>284263</t>
        </is>
      </c>
      <c r="AW636" t="inlineStr">
        <is>
          <t>991002200729702656</t>
        </is>
      </c>
      <c r="AX636" t="inlineStr">
        <is>
          <t>991002200729702656</t>
        </is>
      </c>
      <c r="AY636" t="inlineStr">
        <is>
          <t>2262610380002656</t>
        </is>
      </c>
      <c r="AZ636" t="inlineStr">
        <is>
          <t>BOOK</t>
        </is>
      </c>
      <c r="BC636" t="inlineStr">
        <is>
          <t>32285000283365</t>
        </is>
      </c>
      <c r="BD636" t="inlineStr">
        <is>
          <t>893622011</t>
        </is>
      </c>
    </row>
    <row r="637">
      <c r="A637" t="inlineStr">
        <is>
          <t>No</t>
        </is>
      </c>
      <c r="B637" t="inlineStr">
        <is>
          <t>PS3511.L285 Z77 2000</t>
        </is>
      </c>
      <c r="C637" t="inlineStr">
        <is>
          <t>0                      PS 3511000L  285                Z  77          2000</t>
        </is>
      </c>
      <c r="D637" t="inlineStr">
        <is>
          <t>Janet, my mother, and me : a memoir of growing up with Janet Flanner and Natalia Danesi Murray / William Murray.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Murray, William, 1926-2005.</t>
        </is>
      </c>
      <c r="L637" t="inlineStr">
        <is>
          <t>New York : Simon &amp; Schuster, c2000.</t>
        </is>
      </c>
      <c r="M637" t="inlineStr">
        <is>
          <t>2000</t>
        </is>
      </c>
      <c r="O637" t="inlineStr">
        <is>
          <t>eng</t>
        </is>
      </c>
      <c r="P637" t="inlineStr">
        <is>
          <t>nyu</t>
        </is>
      </c>
      <c r="R637" t="inlineStr">
        <is>
          <t xml:space="preserve">PS </t>
        </is>
      </c>
      <c r="S637" t="n">
        <v>1</v>
      </c>
      <c r="T637" t="n">
        <v>1</v>
      </c>
      <c r="U637" t="inlineStr">
        <is>
          <t>2001-09-05</t>
        </is>
      </c>
      <c r="V637" t="inlineStr">
        <is>
          <t>2001-09-05</t>
        </is>
      </c>
      <c r="W637" t="inlineStr">
        <is>
          <t>2001-09-05</t>
        </is>
      </c>
      <c r="X637" t="inlineStr">
        <is>
          <t>2001-09-05</t>
        </is>
      </c>
      <c r="Y637" t="n">
        <v>392</v>
      </c>
      <c r="Z637" t="n">
        <v>370</v>
      </c>
      <c r="AA637" t="n">
        <v>377</v>
      </c>
      <c r="AB637" t="n">
        <v>4</v>
      </c>
      <c r="AC637" t="n">
        <v>4</v>
      </c>
      <c r="AD637" t="n">
        <v>9</v>
      </c>
      <c r="AE637" t="n">
        <v>9</v>
      </c>
      <c r="AF637" t="n">
        <v>2</v>
      </c>
      <c r="AG637" t="n">
        <v>2</v>
      </c>
      <c r="AH637" t="n">
        <v>2</v>
      </c>
      <c r="AI637" t="n">
        <v>2</v>
      </c>
      <c r="AJ637" t="n">
        <v>4</v>
      </c>
      <c r="AK637" t="n">
        <v>4</v>
      </c>
      <c r="AL637" t="n">
        <v>3</v>
      </c>
      <c r="AM637" t="n">
        <v>3</v>
      </c>
      <c r="AN637" t="n">
        <v>0</v>
      </c>
      <c r="AO637" t="n">
        <v>0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HYPERLINK("http://catalog.hathitrust.org/Record/004073319","HathiTrust Record")</f>
        <v/>
      </c>
      <c r="AS637">
        <f>HYPERLINK("https://creighton-primo.hosted.exlibrisgroup.com/primo-explore/search?tab=default_tab&amp;search_scope=EVERYTHING&amp;vid=01CRU&amp;lang=en_US&amp;offset=0&amp;query=any,contains,991003588579702656","Catalog Record")</f>
        <v/>
      </c>
      <c r="AT637">
        <f>HYPERLINK("http://www.worldcat.org/oclc/42290960","WorldCat Record")</f>
        <v/>
      </c>
      <c r="AU637" t="inlineStr">
        <is>
          <t>476463776:eng</t>
        </is>
      </c>
      <c r="AV637" t="inlineStr">
        <is>
          <t>42290960</t>
        </is>
      </c>
      <c r="AW637" t="inlineStr">
        <is>
          <t>991003588579702656</t>
        </is>
      </c>
      <c r="AX637" t="inlineStr">
        <is>
          <t>991003588579702656</t>
        </is>
      </c>
      <c r="AY637" t="inlineStr">
        <is>
          <t>2259699590002656</t>
        </is>
      </c>
      <c r="AZ637" t="inlineStr">
        <is>
          <t>BOOK</t>
        </is>
      </c>
      <c r="BB637" t="inlineStr">
        <is>
          <t>9780684809663</t>
        </is>
      </c>
      <c r="BC637" t="inlineStr">
        <is>
          <t>32285004384979</t>
        </is>
      </c>
      <c r="BD637" t="inlineStr">
        <is>
          <t>893705396</t>
        </is>
      </c>
    </row>
    <row r="638">
      <c r="A638" t="inlineStr">
        <is>
          <t>No</t>
        </is>
      </c>
      <c r="B638" t="inlineStr">
        <is>
          <t>PS3511.R94 A6 1951</t>
        </is>
      </c>
      <c r="C638" t="inlineStr">
        <is>
          <t>0                      PS 3511000R  94                 A  6           1951</t>
        </is>
      </c>
      <c r="D638" t="inlineStr">
        <is>
          <t>The road not taken : an introduction to Robert Frost : a selection of Robert Frost's poems / with a biographical pref. and running commentary by Louis Untermeyer. Illus. by John O'Hara Cosgrave II.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Frost, Robert, 1874-1963.</t>
        </is>
      </c>
      <c r="L638" t="inlineStr">
        <is>
          <t>New York : Holt, [1951]</t>
        </is>
      </c>
      <c r="M638" t="inlineStr">
        <is>
          <t>1951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PS </t>
        </is>
      </c>
      <c r="S638" t="n">
        <v>7</v>
      </c>
      <c r="T638" t="n">
        <v>7</v>
      </c>
      <c r="U638" t="inlineStr">
        <is>
          <t>2001-09-04</t>
        </is>
      </c>
      <c r="V638" t="inlineStr">
        <is>
          <t>2001-09-04</t>
        </is>
      </c>
      <c r="W638" t="inlineStr">
        <is>
          <t>1990-03-15</t>
        </is>
      </c>
      <c r="X638" t="inlineStr">
        <is>
          <t>1990-03-15</t>
        </is>
      </c>
      <c r="Y638" t="n">
        <v>898</v>
      </c>
      <c r="Z638" t="n">
        <v>862</v>
      </c>
      <c r="AA638" t="n">
        <v>1152</v>
      </c>
      <c r="AB638" t="n">
        <v>12</v>
      </c>
      <c r="AC638" t="n">
        <v>12</v>
      </c>
      <c r="AD638" t="n">
        <v>24</v>
      </c>
      <c r="AE638" t="n">
        <v>28</v>
      </c>
      <c r="AF638" t="n">
        <v>11</v>
      </c>
      <c r="AG638" t="n">
        <v>13</v>
      </c>
      <c r="AH638" t="n">
        <v>1</v>
      </c>
      <c r="AI638" t="n">
        <v>3</v>
      </c>
      <c r="AJ638" t="n">
        <v>10</v>
      </c>
      <c r="AK638" t="n">
        <v>12</v>
      </c>
      <c r="AL638" t="n">
        <v>7</v>
      </c>
      <c r="AM638" t="n">
        <v>7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HYPERLINK("http://catalog.hathitrust.org/Record/000432486","HathiTrust Record")</f>
        <v/>
      </c>
      <c r="AS638">
        <f>HYPERLINK("https://creighton-primo.hosted.exlibrisgroup.com/primo-explore/search?tab=default_tab&amp;search_scope=EVERYTHING&amp;vid=01CRU&amp;lang=en_US&amp;offset=0&amp;query=any,contains,991001646599702656","Catalog Record")</f>
        <v/>
      </c>
      <c r="AT638">
        <f>HYPERLINK("http://www.worldcat.org/oclc/233835","WorldCat Record")</f>
        <v/>
      </c>
      <c r="AU638" t="inlineStr">
        <is>
          <t>9349345826:eng</t>
        </is>
      </c>
      <c r="AV638" t="inlineStr">
        <is>
          <t>233835</t>
        </is>
      </c>
      <c r="AW638" t="inlineStr">
        <is>
          <t>991001646599702656</t>
        </is>
      </c>
      <c r="AX638" t="inlineStr">
        <is>
          <t>991001646599702656</t>
        </is>
      </c>
      <c r="AY638" t="inlineStr">
        <is>
          <t>2259167510002656</t>
        </is>
      </c>
      <c r="AZ638" t="inlineStr">
        <is>
          <t>BOOK</t>
        </is>
      </c>
      <c r="BC638" t="inlineStr">
        <is>
          <t>32285000084771</t>
        </is>
      </c>
      <c r="BD638" t="inlineStr">
        <is>
          <t>893872663</t>
        </is>
      </c>
    </row>
    <row r="639">
      <c r="A639" t="inlineStr">
        <is>
          <t>No</t>
        </is>
      </c>
      <c r="B639" t="inlineStr">
        <is>
          <t>PS3511.R94 Z4598 1974</t>
        </is>
      </c>
      <c r="C639" t="inlineStr">
        <is>
          <t>0                      PS 3511000R  94                 Z  4598        1974</t>
        </is>
      </c>
      <c r="D639" t="inlineStr">
        <is>
          <t>The critical reception of Robert Frost.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Van Egmond, Peter.</t>
        </is>
      </c>
      <c r="L639" t="inlineStr">
        <is>
          <t>Boston, G. K. Hall, 1974.</t>
        </is>
      </c>
      <c r="M639" t="inlineStr">
        <is>
          <t>1974</t>
        </is>
      </c>
      <c r="O639" t="inlineStr">
        <is>
          <t>eng</t>
        </is>
      </c>
      <c r="P639" t="inlineStr">
        <is>
          <t>mau</t>
        </is>
      </c>
      <c r="Q639" t="inlineStr">
        <is>
          <t>Research bibliographies in American literature ; no. 1</t>
        </is>
      </c>
      <c r="R639" t="inlineStr">
        <is>
          <t xml:space="preserve">PS </t>
        </is>
      </c>
      <c r="S639" t="n">
        <v>4</v>
      </c>
      <c r="T639" t="n">
        <v>4</v>
      </c>
      <c r="U639" t="inlineStr">
        <is>
          <t>1999-11-22</t>
        </is>
      </c>
      <c r="V639" t="inlineStr">
        <is>
          <t>1999-11-22</t>
        </is>
      </c>
      <c r="W639" t="inlineStr">
        <is>
          <t>1992-01-28</t>
        </is>
      </c>
      <c r="X639" t="inlineStr">
        <is>
          <t>1992-01-28</t>
        </is>
      </c>
      <c r="Y639" t="n">
        <v>681</v>
      </c>
      <c r="Z639" t="n">
        <v>601</v>
      </c>
      <c r="AA639" t="n">
        <v>614</v>
      </c>
      <c r="AB639" t="n">
        <v>7</v>
      </c>
      <c r="AC639" t="n">
        <v>7</v>
      </c>
      <c r="AD639" t="n">
        <v>34</v>
      </c>
      <c r="AE639" t="n">
        <v>34</v>
      </c>
      <c r="AF639" t="n">
        <v>14</v>
      </c>
      <c r="AG639" t="n">
        <v>14</v>
      </c>
      <c r="AH639" t="n">
        <v>5</v>
      </c>
      <c r="AI639" t="n">
        <v>5</v>
      </c>
      <c r="AJ639" t="n">
        <v>18</v>
      </c>
      <c r="AK639" t="n">
        <v>18</v>
      </c>
      <c r="AL639" t="n">
        <v>6</v>
      </c>
      <c r="AM639" t="n">
        <v>6</v>
      </c>
      <c r="AN639" t="n">
        <v>0</v>
      </c>
      <c r="AO639" t="n">
        <v>0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HYPERLINK("http://catalog.hathitrust.org/Record/000014233","HathiTrust Record")</f>
        <v/>
      </c>
      <c r="AS639">
        <f>HYPERLINK("https://creighton-primo.hosted.exlibrisgroup.com/primo-explore/search?tab=default_tab&amp;search_scope=EVERYTHING&amp;vid=01CRU&amp;lang=en_US&amp;offset=0&amp;query=any,contains,991003364849702656","Catalog Record")</f>
        <v/>
      </c>
      <c r="AT639">
        <f>HYPERLINK("http://www.worldcat.org/oclc/901063","WorldCat Record")</f>
        <v/>
      </c>
      <c r="AU639" t="inlineStr">
        <is>
          <t>1834656:eng</t>
        </is>
      </c>
      <c r="AV639" t="inlineStr">
        <is>
          <t>901063</t>
        </is>
      </c>
      <c r="AW639" t="inlineStr">
        <is>
          <t>991003364849702656</t>
        </is>
      </c>
      <c r="AX639" t="inlineStr">
        <is>
          <t>991003364849702656</t>
        </is>
      </c>
      <c r="AY639" t="inlineStr">
        <is>
          <t>2265587970002656</t>
        </is>
      </c>
      <c r="AZ639" t="inlineStr">
        <is>
          <t>BOOK</t>
        </is>
      </c>
      <c r="BB639" t="inlineStr">
        <is>
          <t>9780816111053</t>
        </is>
      </c>
      <c r="BC639" t="inlineStr">
        <is>
          <t>32285000898774</t>
        </is>
      </c>
      <c r="BD639" t="inlineStr">
        <is>
          <t>893505509</t>
        </is>
      </c>
    </row>
    <row r="640">
      <c r="A640" t="inlineStr">
        <is>
          <t>No</t>
        </is>
      </c>
      <c r="B640" t="inlineStr">
        <is>
          <t>PS3511.R94 Z549</t>
        </is>
      </c>
      <c r="C640" t="inlineStr">
        <is>
          <t>0                      PS 3511000R  94                 Z  549</t>
        </is>
      </c>
      <c r="D640" t="inlineStr">
        <is>
          <t>Robert Frost / Elaine Barry.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Barry, Elaine, 1937-</t>
        </is>
      </c>
      <c r="L640" t="inlineStr">
        <is>
          <t>New York : Ungar, [1973]</t>
        </is>
      </c>
      <c r="M640" t="inlineStr">
        <is>
          <t>1973</t>
        </is>
      </c>
      <c r="O640" t="inlineStr">
        <is>
          <t>eng</t>
        </is>
      </c>
      <c r="P640" t="inlineStr">
        <is>
          <t>nyu</t>
        </is>
      </c>
      <c r="Q640" t="inlineStr">
        <is>
          <t>Modern literature monographs</t>
        </is>
      </c>
      <c r="R640" t="inlineStr">
        <is>
          <t xml:space="preserve">PS </t>
        </is>
      </c>
      <c r="S640" t="n">
        <v>6</v>
      </c>
      <c r="T640" t="n">
        <v>6</v>
      </c>
      <c r="U640" t="inlineStr">
        <is>
          <t>1993-05-03</t>
        </is>
      </c>
      <c r="V640" t="inlineStr">
        <is>
          <t>1993-05-03</t>
        </is>
      </c>
      <c r="W640" t="inlineStr">
        <is>
          <t>1990-03-15</t>
        </is>
      </c>
      <c r="X640" t="inlineStr">
        <is>
          <t>1990-03-15</t>
        </is>
      </c>
      <c r="Y640" t="n">
        <v>1002</v>
      </c>
      <c r="Z640" t="n">
        <v>898</v>
      </c>
      <c r="AA640" t="n">
        <v>944</v>
      </c>
      <c r="AB640" t="n">
        <v>6</v>
      </c>
      <c r="AC640" t="n">
        <v>6</v>
      </c>
      <c r="AD640" t="n">
        <v>22</v>
      </c>
      <c r="AE640" t="n">
        <v>24</v>
      </c>
      <c r="AF640" t="n">
        <v>7</v>
      </c>
      <c r="AG640" t="n">
        <v>9</v>
      </c>
      <c r="AH640" t="n">
        <v>5</v>
      </c>
      <c r="AI640" t="n">
        <v>5</v>
      </c>
      <c r="AJ640" t="n">
        <v>12</v>
      </c>
      <c r="AK640" t="n">
        <v>12</v>
      </c>
      <c r="AL640" t="n">
        <v>4</v>
      </c>
      <c r="AM640" t="n">
        <v>4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HYPERLINK("http://catalog.hathitrust.org/Record/000012831","HathiTrust Record")</f>
        <v/>
      </c>
      <c r="AS640">
        <f>HYPERLINK("https://creighton-primo.hosted.exlibrisgroup.com/primo-explore/search?tab=default_tab&amp;search_scope=EVERYTHING&amp;vid=01CRU&amp;lang=en_US&amp;offset=0&amp;query=any,contains,991003249059702656","Catalog Record")</f>
        <v/>
      </c>
      <c r="AT640">
        <f>HYPERLINK("http://www.worldcat.org/oclc/773897","WorldCat Record")</f>
        <v/>
      </c>
      <c r="AU640" t="inlineStr">
        <is>
          <t>1909197537:eng</t>
        </is>
      </c>
      <c r="AV640" t="inlineStr">
        <is>
          <t>773897</t>
        </is>
      </c>
      <c r="AW640" t="inlineStr">
        <is>
          <t>991003249059702656</t>
        </is>
      </c>
      <c r="AX640" t="inlineStr">
        <is>
          <t>991003249059702656</t>
        </is>
      </c>
      <c r="AY640" t="inlineStr">
        <is>
          <t>2265951910002656</t>
        </is>
      </c>
      <c r="AZ640" t="inlineStr">
        <is>
          <t>BOOK</t>
        </is>
      </c>
      <c r="BB640" t="inlineStr">
        <is>
          <t>9780804420167</t>
        </is>
      </c>
      <c r="BC640" t="inlineStr">
        <is>
          <t>32285000084789</t>
        </is>
      </c>
      <c r="BD640" t="inlineStr">
        <is>
          <t>893686360</t>
        </is>
      </c>
    </row>
    <row r="641">
      <c r="A641" t="inlineStr">
        <is>
          <t>No</t>
        </is>
      </c>
      <c r="B641" t="inlineStr">
        <is>
          <t>PS3511.R94 Z558 1986</t>
        </is>
      </c>
      <c r="C641" t="inlineStr">
        <is>
          <t>0                      PS 3511000R  94                 Z  558         1986</t>
        </is>
      </c>
      <c r="D641" t="inlineStr">
        <is>
          <t>Robert Frost himself / Stanley Burnshaw.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Burnshaw, Stanley, 1906-2005.</t>
        </is>
      </c>
      <c r="L641" t="inlineStr">
        <is>
          <t>New York : G. Braziller, 1986.</t>
        </is>
      </c>
      <c r="M641" t="inlineStr">
        <is>
          <t>1986</t>
        </is>
      </c>
      <c r="O641" t="inlineStr">
        <is>
          <t>eng</t>
        </is>
      </c>
      <c r="P641" t="inlineStr">
        <is>
          <t>nyu</t>
        </is>
      </c>
      <c r="R641" t="inlineStr">
        <is>
          <t xml:space="preserve">PS </t>
        </is>
      </c>
      <c r="S641" t="n">
        <v>6</v>
      </c>
      <c r="T641" t="n">
        <v>6</v>
      </c>
      <c r="U641" t="inlineStr">
        <is>
          <t>1995-01-23</t>
        </is>
      </c>
      <c r="V641" t="inlineStr">
        <is>
          <t>1995-01-23</t>
        </is>
      </c>
      <c r="W641" t="inlineStr">
        <is>
          <t>1991-12-06</t>
        </is>
      </c>
      <c r="X641" t="inlineStr">
        <is>
          <t>1991-12-06</t>
        </is>
      </c>
      <c r="Y641" t="n">
        <v>1406</v>
      </c>
      <c r="Z641" t="n">
        <v>1311</v>
      </c>
      <c r="AA641" t="n">
        <v>1317</v>
      </c>
      <c r="AB641" t="n">
        <v>8</v>
      </c>
      <c r="AC641" t="n">
        <v>8</v>
      </c>
      <c r="AD641" t="n">
        <v>44</v>
      </c>
      <c r="AE641" t="n">
        <v>44</v>
      </c>
      <c r="AF641" t="n">
        <v>20</v>
      </c>
      <c r="AG641" t="n">
        <v>20</v>
      </c>
      <c r="AH641" t="n">
        <v>8</v>
      </c>
      <c r="AI641" t="n">
        <v>8</v>
      </c>
      <c r="AJ641" t="n">
        <v>20</v>
      </c>
      <c r="AK641" t="n">
        <v>20</v>
      </c>
      <c r="AL641" t="n">
        <v>6</v>
      </c>
      <c r="AM641" t="n">
        <v>6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HYPERLINK("http://catalog.hathitrust.org/Record/000555610","HathiTrust Record")</f>
        <v/>
      </c>
      <c r="AS641">
        <f>HYPERLINK("https://creighton-primo.hosted.exlibrisgroup.com/primo-explore/search?tab=default_tab&amp;search_scope=EVERYTHING&amp;vid=01CRU&amp;lang=en_US&amp;offset=0&amp;query=any,contains,991000905989702656","Catalog Record")</f>
        <v/>
      </c>
      <c r="AT641">
        <f>HYPERLINK("http://www.worldcat.org/oclc/14098388","WorldCat Record")</f>
        <v/>
      </c>
      <c r="AU641" t="inlineStr">
        <is>
          <t>8060443:eng</t>
        </is>
      </c>
      <c r="AV641" t="inlineStr">
        <is>
          <t>14098388</t>
        </is>
      </c>
      <c r="AW641" t="inlineStr">
        <is>
          <t>991000905989702656</t>
        </is>
      </c>
      <c r="AX641" t="inlineStr">
        <is>
          <t>991000905989702656</t>
        </is>
      </c>
      <c r="AY641" t="inlineStr">
        <is>
          <t>2264852730002656</t>
        </is>
      </c>
      <c r="AZ641" t="inlineStr">
        <is>
          <t>BOOK</t>
        </is>
      </c>
      <c r="BB641" t="inlineStr">
        <is>
          <t>9780807611647</t>
        </is>
      </c>
      <c r="BC641" t="inlineStr">
        <is>
          <t>32285000828995</t>
        </is>
      </c>
      <c r="BD641" t="inlineStr">
        <is>
          <t>893683848</t>
        </is>
      </c>
    </row>
    <row r="642">
      <c r="A642" t="inlineStr">
        <is>
          <t>No</t>
        </is>
      </c>
      <c r="B642" t="inlineStr">
        <is>
          <t>PS3511.R94 Z585</t>
        </is>
      </c>
      <c r="C642" t="inlineStr">
        <is>
          <t>0                      PS 3511000R  94                 Z  585</t>
        </is>
      </c>
      <c r="D642" t="inlineStr">
        <is>
          <t>The dimensions of Robert Frost.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Cook, Reginald Lansing, 1903-1984.</t>
        </is>
      </c>
      <c r="L642" t="inlineStr">
        <is>
          <t>New York : Rinehart, [1958]</t>
        </is>
      </c>
      <c r="M642" t="inlineStr">
        <is>
          <t>1958</t>
        </is>
      </c>
      <c r="O642" t="inlineStr">
        <is>
          <t>eng</t>
        </is>
      </c>
      <c r="P642" t="inlineStr">
        <is>
          <t>nyu</t>
        </is>
      </c>
      <c r="R642" t="inlineStr">
        <is>
          <t xml:space="preserve">PS </t>
        </is>
      </c>
      <c r="S642" t="n">
        <v>5</v>
      </c>
      <c r="T642" t="n">
        <v>5</v>
      </c>
      <c r="U642" t="inlineStr">
        <is>
          <t>1993-03-16</t>
        </is>
      </c>
      <c r="V642" t="inlineStr">
        <is>
          <t>1993-03-16</t>
        </is>
      </c>
      <c r="W642" t="inlineStr">
        <is>
          <t>1990-03-28</t>
        </is>
      </c>
      <c r="X642" t="inlineStr">
        <is>
          <t>1990-03-28</t>
        </is>
      </c>
      <c r="Y642" t="n">
        <v>664</v>
      </c>
      <c r="Z642" t="n">
        <v>606</v>
      </c>
      <c r="AA642" t="n">
        <v>839</v>
      </c>
      <c r="AB642" t="n">
        <v>8</v>
      </c>
      <c r="AC642" t="n">
        <v>8</v>
      </c>
      <c r="AD642" t="n">
        <v>30</v>
      </c>
      <c r="AE642" t="n">
        <v>40</v>
      </c>
      <c r="AF642" t="n">
        <v>10</v>
      </c>
      <c r="AG642" t="n">
        <v>17</v>
      </c>
      <c r="AH642" t="n">
        <v>3</v>
      </c>
      <c r="AI642" t="n">
        <v>5</v>
      </c>
      <c r="AJ642" t="n">
        <v>15</v>
      </c>
      <c r="AK642" t="n">
        <v>18</v>
      </c>
      <c r="AL642" t="n">
        <v>7</v>
      </c>
      <c r="AM642" t="n">
        <v>7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R642">
        <f>HYPERLINK("http://catalog.hathitrust.org/Record/000394902","HathiTrust Record")</f>
        <v/>
      </c>
      <c r="AS642">
        <f>HYPERLINK("https://creighton-primo.hosted.exlibrisgroup.com/primo-explore/search?tab=default_tab&amp;search_scope=EVERYTHING&amp;vid=01CRU&amp;lang=en_US&amp;offset=0&amp;query=any,contains,991002155899702656","Catalog Record")</f>
        <v/>
      </c>
      <c r="AT642">
        <f>HYPERLINK("http://www.worldcat.org/oclc/272829","WorldCat Record")</f>
        <v/>
      </c>
      <c r="AU642" t="inlineStr">
        <is>
          <t>1403829:eng</t>
        </is>
      </c>
      <c r="AV642" t="inlineStr">
        <is>
          <t>272829</t>
        </is>
      </c>
      <c r="AW642" t="inlineStr">
        <is>
          <t>991002155899702656</t>
        </is>
      </c>
      <c r="AX642" t="inlineStr">
        <is>
          <t>991002155899702656</t>
        </is>
      </c>
      <c r="AY642" t="inlineStr">
        <is>
          <t>2262381760002656</t>
        </is>
      </c>
      <c r="AZ642" t="inlineStr">
        <is>
          <t>BOOK</t>
        </is>
      </c>
      <c r="BC642" t="inlineStr">
        <is>
          <t>32285000094044</t>
        </is>
      </c>
      <c r="BD642" t="inlineStr">
        <is>
          <t>893597083</t>
        </is>
      </c>
    </row>
    <row r="643">
      <c r="A643" t="inlineStr">
        <is>
          <t>No</t>
        </is>
      </c>
      <c r="B643" t="inlineStr">
        <is>
          <t>PS3511.R94 Z588</t>
        </is>
      </c>
      <c r="C643" t="inlineStr">
        <is>
          <t>0                      PS 3511000R  94                 Z  588</t>
        </is>
      </c>
      <c r="D643" t="inlineStr">
        <is>
          <t>Robert Frost : a collection of critical essays / edited by James M. Cox.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Cox, James M. (James Melville), 1925-2012 editor.</t>
        </is>
      </c>
      <c r="L643" t="inlineStr">
        <is>
          <t>Englewood Cliffs, N.J. : Prentice-Hall, [1962]</t>
        </is>
      </c>
      <c r="M643" t="inlineStr">
        <is>
          <t>1962</t>
        </is>
      </c>
      <c r="O643" t="inlineStr">
        <is>
          <t>eng</t>
        </is>
      </c>
      <c r="P643" t="inlineStr">
        <is>
          <t>nju</t>
        </is>
      </c>
      <c r="Q643" t="inlineStr">
        <is>
          <t>A Spectrum book: Twentieth century views, S-TC-3</t>
        </is>
      </c>
      <c r="R643" t="inlineStr">
        <is>
          <t xml:space="preserve">PS </t>
        </is>
      </c>
      <c r="S643" t="n">
        <v>5</v>
      </c>
      <c r="T643" t="n">
        <v>5</v>
      </c>
      <c r="U643" t="inlineStr">
        <is>
          <t>1993-04-17</t>
        </is>
      </c>
      <c r="V643" t="inlineStr">
        <is>
          <t>1993-04-17</t>
        </is>
      </c>
      <c r="W643" t="inlineStr">
        <is>
          <t>1990-02-21</t>
        </is>
      </c>
      <c r="X643" t="inlineStr">
        <is>
          <t>1990-02-21</t>
        </is>
      </c>
      <c r="Y643" t="n">
        <v>2400</v>
      </c>
      <c r="Z643" t="n">
        <v>2136</v>
      </c>
      <c r="AA643" t="n">
        <v>2149</v>
      </c>
      <c r="AB643" t="n">
        <v>16</v>
      </c>
      <c r="AC643" t="n">
        <v>16</v>
      </c>
      <c r="AD643" t="n">
        <v>58</v>
      </c>
      <c r="AE643" t="n">
        <v>58</v>
      </c>
      <c r="AF643" t="n">
        <v>26</v>
      </c>
      <c r="AG643" t="n">
        <v>26</v>
      </c>
      <c r="AH643" t="n">
        <v>8</v>
      </c>
      <c r="AI643" t="n">
        <v>8</v>
      </c>
      <c r="AJ643" t="n">
        <v>23</v>
      </c>
      <c r="AK643" t="n">
        <v>23</v>
      </c>
      <c r="AL643" t="n">
        <v>13</v>
      </c>
      <c r="AM643" t="n">
        <v>13</v>
      </c>
      <c r="AN643" t="n">
        <v>0</v>
      </c>
      <c r="AO643" t="n">
        <v>0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HYPERLINK("http://catalog.hathitrust.org/Record/000394910","HathiTrust Record")</f>
        <v/>
      </c>
      <c r="AS643">
        <f>HYPERLINK("https://creighton-primo.hosted.exlibrisgroup.com/primo-explore/search?tab=default_tab&amp;search_scope=EVERYTHING&amp;vid=01CRU&amp;lang=en_US&amp;offset=0&amp;query=any,contains,991003568879702656","Catalog Record")</f>
        <v/>
      </c>
      <c r="AT643">
        <f>HYPERLINK("http://www.worldcat.org/oclc/1143441","WorldCat Record")</f>
        <v/>
      </c>
      <c r="AU643" t="inlineStr">
        <is>
          <t>457761:eng</t>
        </is>
      </c>
      <c r="AV643" t="inlineStr">
        <is>
          <t>1143441</t>
        </is>
      </c>
      <c r="AW643" t="inlineStr">
        <is>
          <t>991003568879702656</t>
        </is>
      </c>
      <c r="AX643" t="inlineStr">
        <is>
          <t>991003568879702656</t>
        </is>
      </c>
      <c r="AY643" t="inlineStr">
        <is>
          <t>2260740630002656</t>
        </is>
      </c>
      <c r="AZ643" t="inlineStr">
        <is>
          <t>BOOK</t>
        </is>
      </c>
      <c r="BC643" t="inlineStr">
        <is>
          <t>32285000048800</t>
        </is>
      </c>
      <c r="BD643" t="inlineStr">
        <is>
          <t>893781139</t>
        </is>
      </c>
    </row>
    <row r="644">
      <c r="A644" t="inlineStr">
        <is>
          <t>No</t>
        </is>
      </c>
      <c r="B644" t="inlineStr">
        <is>
          <t>PS3511.R94 Z68</t>
        </is>
      </c>
      <c r="C644" t="inlineStr">
        <is>
          <t>0                      PS 3511000R  94                 Z  68</t>
        </is>
      </c>
      <c r="D644" t="inlineStr">
        <is>
          <t>Robert Frost : the aim was song.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Gould, Jean, 1909-1993.</t>
        </is>
      </c>
      <c r="L644" t="inlineStr">
        <is>
          <t>New York : Dodd, Mead, [1964]</t>
        </is>
      </c>
      <c r="M644" t="inlineStr">
        <is>
          <t>1964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PS </t>
        </is>
      </c>
      <c r="S644" t="n">
        <v>5</v>
      </c>
      <c r="T644" t="n">
        <v>5</v>
      </c>
      <c r="U644" t="inlineStr">
        <is>
          <t>1999-02-11</t>
        </is>
      </c>
      <c r="V644" t="inlineStr">
        <is>
          <t>1999-02-11</t>
        </is>
      </c>
      <c r="W644" t="inlineStr">
        <is>
          <t>1990-07-16</t>
        </is>
      </c>
      <c r="X644" t="inlineStr">
        <is>
          <t>1990-07-16</t>
        </is>
      </c>
      <c r="Y644" t="n">
        <v>1629</v>
      </c>
      <c r="Z644" t="n">
        <v>1534</v>
      </c>
      <c r="AA644" t="n">
        <v>1543</v>
      </c>
      <c r="AB644" t="n">
        <v>10</v>
      </c>
      <c r="AC644" t="n">
        <v>10</v>
      </c>
      <c r="AD644" t="n">
        <v>32</v>
      </c>
      <c r="AE644" t="n">
        <v>32</v>
      </c>
      <c r="AF644" t="n">
        <v>15</v>
      </c>
      <c r="AG644" t="n">
        <v>15</v>
      </c>
      <c r="AH644" t="n">
        <v>7</v>
      </c>
      <c r="AI644" t="n">
        <v>7</v>
      </c>
      <c r="AJ644" t="n">
        <v>12</v>
      </c>
      <c r="AK644" t="n">
        <v>12</v>
      </c>
      <c r="AL644" t="n">
        <v>5</v>
      </c>
      <c r="AM644" t="n">
        <v>5</v>
      </c>
      <c r="AN644" t="n">
        <v>0</v>
      </c>
      <c r="AO644" t="n">
        <v>0</v>
      </c>
      <c r="AP644" t="inlineStr">
        <is>
          <t>No</t>
        </is>
      </c>
      <c r="AQ644" t="inlineStr">
        <is>
          <t>Yes</t>
        </is>
      </c>
      <c r="AR644">
        <f>HYPERLINK("http://catalog.hathitrust.org/Record/000394969","HathiTrust Record")</f>
        <v/>
      </c>
      <c r="AS644">
        <f>HYPERLINK("https://creighton-primo.hosted.exlibrisgroup.com/primo-explore/search?tab=default_tab&amp;search_scope=EVERYTHING&amp;vid=01CRU&amp;lang=en_US&amp;offset=0&amp;query=any,contains,991003594249702656","Catalog Record")</f>
        <v/>
      </c>
      <c r="AT644">
        <f>HYPERLINK("http://www.worldcat.org/oclc/1175496","WorldCat Record")</f>
        <v/>
      </c>
      <c r="AU644" t="inlineStr">
        <is>
          <t>292347435:eng</t>
        </is>
      </c>
      <c r="AV644" t="inlineStr">
        <is>
          <t>1175496</t>
        </is>
      </c>
      <c r="AW644" t="inlineStr">
        <is>
          <t>991003594249702656</t>
        </is>
      </c>
      <c r="AX644" t="inlineStr">
        <is>
          <t>991003594249702656</t>
        </is>
      </c>
      <c r="AY644" t="inlineStr">
        <is>
          <t>2271826600002656</t>
        </is>
      </c>
      <c r="AZ644" t="inlineStr">
        <is>
          <t>BOOK</t>
        </is>
      </c>
      <c r="BC644" t="inlineStr">
        <is>
          <t>32285000231331</t>
        </is>
      </c>
      <c r="BD644" t="inlineStr">
        <is>
          <t>893686693</t>
        </is>
      </c>
    </row>
    <row r="645">
      <c r="A645" t="inlineStr">
        <is>
          <t>No</t>
        </is>
      </c>
      <c r="B645" t="inlineStr">
        <is>
          <t>PS3511.R94 Z7</t>
        </is>
      </c>
      <c r="C645" t="inlineStr">
        <is>
          <t>0                      PS 3511000R  94                 Z  7</t>
        </is>
      </c>
      <c r="D645" t="inlineStr">
        <is>
          <t>Robert Frost, an introduction / edited by Robert A. Greenberg and James G. Hepburn.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Greenberg, Robert A. editor.</t>
        </is>
      </c>
      <c r="L645" t="inlineStr">
        <is>
          <t>New York : Holt, Rinehart and Winston, [1961]</t>
        </is>
      </c>
      <c r="M645" t="inlineStr">
        <is>
          <t>1961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PS </t>
        </is>
      </c>
      <c r="S645" t="n">
        <v>16</v>
      </c>
      <c r="T645" t="n">
        <v>16</v>
      </c>
      <c r="U645" t="inlineStr">
        <is>
          <t>2004-11-10</t>
        </is>
      </c>
      <c r="V645" t="inlineStr">
        <is>
          <t>2004-11-10</t>
        </is>
      </c>
      <c r="W645" t="inlineStr">
        <is>
          <t>1992-02-27</t>
        </is>
      </c>
      <c r="X645" t="inlineStr">
        <is>
          <t>1992-02-27</t>
        </is>
      </c>
      <c r="Y645" t="n">
        <v>663</v>
      </c>
      <c r="Z645" t="n">
        <v>595</v>
      </c>
      <c r="AA645" t="n">
        <v>602</v>
      </c>
      <c r="AB645" t="n">
        <v>5</v>
      </c>
      <c r="AC645" t="n">
        <v>5</v>
      </c>
      <c r="AD645" t="n">
        <v>28</v>
      </c>
      <c r="AE645" t="n">
        <v>28</v>
      </c>
      <c r="AF645" t="n">
        <v>9</v>
      </c>
      <c r="AG645" t="n">
        <v>9</v>
      </c>
      <c r="AH645" t="n">
        <v>6</v>
      </c>
      <c r="AI645" t="n">
        <v>6</v>
      </c>
      <c r="AJ645" t="n">
        <v>13</v>
      </c>
      <c r="AK645" t="n">
        <v>13</v>
      </c>
      <c r="AL645" t="n">
        <v>4</v>
      </c>
      <c r="AM645" t="n">
        <v>4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HYPERLINK("http://catalog.hathitrust.org/Record/000394972","HathiTrust Record")</f>
        <v/>
      </c>
      <c r="AS645">
        <f>HYPERLINK("https://creighton-primo.hosted.exlibrisgroup.com/primo-explore/search?tab=default_tab&amp;search_scope=EVERYTHING&amp;vid=01CRU&amp;lang=en_US&amp;offset=0&amp;query=any,contains,991002155859702656","Catalog Record")</f>
        <v/>
      </c>
      <c r="AT645">
        <f>HYPERLINK("http://www.worldcat.org/oclc/272827","WorldCat Record")</f>
        <v/>
      </c>
      <c r="AU645" t="inlineStr">
        <is>
          <t>489181486:eng</t>
        </is>
      </c>
      <c r="AV645" t="inlineStr">
        <is>
          <t>272827</t>
        </is>
      </c>
      <c r="AW645" t="inlineStr">
        <is>
          <t>991002155859702656</t>
        </is>
      </c>
      <c r="AX645" t="inlineStr">
        <is>
          <t>991002155859702656</t>
        </is>
      </c>
      <c r="AY645" t="inlineStr">
        <is>
          <t>2262391960002656</t>
        </is>
      </c>
      <c r="AZ645" t="inlineStr">
        <is>
          <t>BOOK</t>
        </is>
      </c>
      <c r="BC645" t="inlineStr">
        <is>
          <t>32285000977032</t>
        </is>
      </c>
      <c r="BD645" t="inlineStr">
        <is>
          <t>893873163</t>
        </is>
      </c>
    </row>
    <row r="646">
      <c r="A646" t="inlineStr">
        <is>
          <t>No</t>
        </is>
      </c>
      <c r="B646" t="inlineStr">
        <is>
          <t>PS3511.R94 Z73</t>
        </is>
      </c>
      <c r="C646" t="inlineStr">
        <is>
          <t>0                      PS 3511000R  94                 Z  73</t>
        </is>
      </c>
      <c r="D646" t="inlineStr">
        <is>
          <t>Robert Frost / [by] Donald J. Greiner.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Greiner, Donald J.</t>
        </is>
      </c>
      <c r="L646" t="inlineStr">
        <is>
          <t>Chicago : American Library Association, 1974.</t>
        </is>
      </c>
      <c r="M646" t="inlineStr">
        <is>
          <t>1974</t>
        </is>
      </c>
      <c r="O646" t="inlineStr">
        <is>
          <t>eng</t>
        </is>
      </c>
      <c r="P646" t="inlineStr">
        <is>
          <t>ilu</t>
        </is>
      </c>
      <c r="Q646" t="inlineStr">
        <is>
          <t>The Poet and his critics</t>
        </is>
      </c>
      <c r="R646" t="inlineStr">
        <is>
          <t xml:space="preserve">PS </t>
        </is>
      </c>
      <c r="S646" t="n">
        <v>5</v>
      </c>
      <c r="T646" t="n">
        <v>5</v>
      </c>
      <c r="U646" t="inlineStr">
        <is>
          <t>1998-05-05</t>
        </is>
      </c>
      <c r="V646" t="inlineStr">
        <is>
          <t>1998-05-05</t>
        </is>
      </c>
      <c r="W646" t="inlineStr">
        <is>
          <t>1990-02-23</t>
        </is>
      </c>
      <c r="X646" t="inlineStr">
        <is>
          <t>1990-02-23</t>
        </is>
      </c>
      <c r="Y646" t="n">
        <v>1104</v>
      </c>
      <c r="Z646" t="n">
        <v>985</v>
      </c>
      <c r="AA646" t="n">
        <v>1000</v>
      </c>
      <c r="AB646" t="n">
        <v>9</v>
      </c>
      <c r="AC646" t="n">
        <v>9</v>
      </c>
      <c r="AD646" t="n">
        <v>39</v>
      </c>
      <c r="AE646" t="n">
        <v>39</v>
      </c>
      <c r="AF646" t="n">
        <v>18</v>
      </c>
      <c r="AG646" t="n">
        <v>18</v>
      </c>
      <c r="AH646" t="n">
        <v>9</v>
      </c>
      <c r="AI646" t="n">
        <v>9</v>
      </c>
      <c r="AJ646" t="n">
        <v>16</v>
      </c>
      <c r="AK646" t="n">
        <v>16</v>
      </c>
      <c r="AL646" t="n">
        <v>8</v>
      </c>
      <c r="AM646" t="n">
        <v>8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HYPERLINK("http://catalog.hathitrust.org/Record/000433214","HathiTrust Record")</f>
        <v/>
      </c>
      <c r="AS646">
        <f>HYPERLINK("https://creighton-primo.hosted.exlibrisgroup.com/primo-explore/search?tab=default_tab&amp;search_scope=EVERYTHING&amp;vid=01CRU&amp;lang=en_US&amp;offset=0&amp;query=any,contains,991003502329702656","Catalog Record")</f>
        <v/>
      </c>
      <c r="AT646">
        <f>HYPERLINK("http://www.worldcat.org/oclc/1054328","WorldCat Record")</f>
        <v/>
      </c>
      <c r="AU646" t="inlineStr">
        <is>
          <t>503787:eng</t>
        </is>
      </c>
      <c r="AV646" t="inlineStr">
        <is>
          <t>1054328</t>
        </is>
      </c>
      <c r="AW646" t="inlineStr">
        <is>
          <t>991003502329702656</t>
        </is>
      </c>
      <c r="AX646" t="inlineStr">
        <is>
          <t>991003502329702656</t>
        </is>
      </c>
      <c r="AY646" t="inlineStr">
        <is>
          <t>2269236250002656</t>
        </is>
      </c>
      <c r="AZ646" t="inlineStr">
        <is>
          <t>BOOK</t>
        </is>
      </c>
      <c r="BB646" t="inlineStr">
        <is>
          <t>9780838901915</t>
        </is>
      </c>
      <c r="BC646" t="inlineStr">
        <is>
          <t>32285000060664</t>
        </is>
      </c>
      <c r="BD646" t="inlineStr">
        <is>
          <t>893705289</t>
        </is>
      </c>
    </row>
    <row r="647">
      <c r="A647" t="inlineStr">
        <is>
          <t>No</t>
        </is>
      </c>
      <c r="B647" t="inlineStr">
        <is>
          <t>PS3511.R94 Z77</t>
        </is>
      </c>
      <c r="C647" t="inlineStr">
        <is>
          <t>0                      PS 3511000R  94                 Z  77</t>
        </is>
      </c>
      <c r="D647" t="inlineStr">
        <is>
          <t>The pastoral art of Robert Frost / by John F. Lynen.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Lynen, John F.</t>
        </is>
      </c>
      <c r="L647" t="inlineStr">
        <is>
          <t>New Haven : Yale University Press, 1960.</t>
        </is>
      </c>
      <c r="M647" t="inlineStr">
        <is>
          <t>1960</t>
        </is>
      </c>
      <c r="O647" t="inlineStr">
        <is>
          <t>eng</t>
        </is>
      </c>
      <c r="P647" t="inlineStr">
        <is>
          <t>ctu</t>
        </is>
      </c>
      <c r="Q647" t="inlineStr">
        <is>
          <t>Yale studies in English ; 147</t>
        </is>
      </c>
      <c r="R647" t="inlineStr">
        <is>
          <t xml:space="preserve">PS </t>
        </is>
      </c>
      <c r="S647" t="n">
        <v>2</v>
      </c>
      <c r="T647" t="n">
        <v>2</v>
      </c>
      <c r="U647" t="inlineStr">
        <is>
          <t>1993-02-25</t>
        </is>
      </c>
      <c r="V647" t="inlineStr">
        <is>
          <t>1993-02-25</t>
        </is>
      </c>
      <c r="W647" t="inlineStr">
        <is>
          <t>1990-03-05</t>
        </is>
      </c>
      <c r="X647" t="inlineStr">
        <is>
          <t>1990-03-05</t>
        </is>
      </c>
      <c r="Y647" t="n">
        <v>1038</v>
      </c>
      <c r="Z647" t="n">
        <v>910</v>
      </c>
      <c r="AA647" t="n">
        <v>1115</v>
      </c>
      <c r="AB647" t="n">
        <v>9</v>
      </c>
      <c r="AC647" t="n">
        <v>11</v>
      </c>
      <c r="AD647" t="n">
        <v>38</v>
      </c>
      <c r="AE647" t="n">
        <v>45</v>
      </c>
      <c r="AF647" t="n">
        <v>17</v>
      </c>
      <c r="AG647" t="n">
        <v>20</v>
      </c>
      <c r="AH647" t="n">
        <v>5</v>
      </c>
      <c r="AI647" t="n">
        <v>6</v>
      </c>
      <c r="AJ647" t="n">
        <v>15</v>
      </c>
      <c r="AK647" t="n">
        <v>17</v>
      </c>
      <c r="AL647" t="n">
        <v>8</v>
      </c>
      <c r="AM647" t="n">
        <v>10</v>
      </c>
      <c r="AN647" t="n">
        <v>0</v>
      </c>
      <c r="AO647" t="n">
        <v>0</v>
      </c>
      <c r="AP647" t="inlineStr">
        <is>
          <t>No</t>
        </is>
      </c>
      <c r="AQ647" t="inlineStr">
        <is>
          <t>No</t>
        </is>
      </c>
      <c r="AR647">
        <f>HYPERLINK("http://catalog.hathitrust.org/Record/000394986","HathiTrust Record")</f>
        <v/>
      </c>
      <c r="AS647">
        <f>HYPERLINK("https://creighton-primo.hosted.exlibrisgroup.com/primo-explore/search?tab=default_tab&amp;search_scope=EVERYTHING&amp;vid=01CRU&amp;lang=en_US&amp;offset=0&amp;query=any,contains,991002156019702656","Catalog Record")</f>
        <v/>
      </c>
      <c r="AT647">
        <f>HYPERLINK("http://www.worldcat.org/oclc/272845","WorldCat Record")</f>
        <v/>
      </c>
      <c r="AU647" t="inlineStr">
        <is>
          <t>9463432613:eng</t>
        </is>
      </c>
      <c r="AV647" t="inlineStr">
        <is>
          <t>272845</t>
        </is>
      </c>
      <c r="AW647" t="inlineStr">
        <is>
          <t>991002156019702656</t>
        </is>
      </c>
      <c r="AX647" t="inlineStr">
        <is>
          <t>991002156019702656</t>
        </is>
      </c>
      <c r="AY647" t="inlineStr">
        <is>
          <t>2262397580002656</t>
        </is>
      </c>
      <c r="AZ647" t="inlineStr">
        <is>
          <t>BOOK</t>
        </is>
      </c>
      <c r="BC647" t="inlineStr">
        <is>
          <t>32285000064658</t>
        </is>
      </c>
      <c r="BD647" t="inlineStr">
        <is>
          <t>893523257</t>
        </is>
      </c>
    </row>
    <row r="648">
      <c r="A648" t="inlineStr">
        <is>
          <t>No</t>
        </is>
      </c>
      <c r="B648" t="inlineStr">
        <is>
          <t>PS3511.R94 Z85 1960</t>
        </is>
      </c>
      <c r="C648" t="inlineStr">
        <is>
          <t>0                      PS 3511000R  94                 Z  85          1960</t>
        </is>
      </c>
      <c r="D648" t="inlineStr">
        <is>
          <t>Human values in the poetry of Robert Frost : a study of a poet's convictions.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Nitchie, George W., 1921-2011.</t>
        </is>
      </c>
      <c r="L648" t="inlineStr">
        <is>
          <t>Durham, N.C. : Duke University Press, 1960.</t>
        </is>
      </c>
      <c r="M648" t="inlineStr">
        <is>
          <t>1960</t>
        </is>
      </c>
      <c r="O648" t="inlineStr">
        <is>
          <t>eng</t>
        </is>
      </c>
      <c r="P648" t="inlineStr">
        <is>
          <t>ncu</t>
        </is>
      </c>
      <c r="R648" t="inlineStr">
        <is>
          <t xml:space="preserve">PS </t>
        </is>
      </c>
      <c r="S648" t="n">
        <v>8</v>
      </c>
      <c r="T648" t="n">
        <v>8</v>
      </c>
      <c r="U648" t="inlineStr">
        <is>
          <t>2001-09-04</t>
        </is>
      </c>
      <c r="V648" t="inlineStr">
        <is>
          <t>2001-09-04</t>
        </is>
      </c>
      <c r="W648" t="inlineStr">
        <is>
          <t>1991-12-13</t>
        </is>
      </c>
      <c r="X648" t="inlineStr">
        <is>
          <t>1991-12-13</t>
        </is>
      </c>
      <c r="Y648" t="n">
        <v>1090</v>
      </c>
      <c r="Z648" t="n">
        <v>987</v>
      </c>
      <c r="AA648" t="n">
        <v>1099</v>
      </c>
      <c r="AB648" t="n">
        <v>11</v>
      </c>
      <c r="AC648" t="n">
        <v>11</v>
      </c>
      <c r="AD648" t="n">
        <v>48</v>
      </c>
      <c r="AE648" t="n">
        <v>51</v>
      </c>
      <c r="AF648" t="n">
        <v>22</v>
      </c>
      <c r="AG648" t="n">
        <v>25</v>
      </c>
      <c r="AH648" t="n">
        <v>6</v>
      </c>
      <c r="AI648" t="n">
        <v>7</v>
      </c>
      <c r="AJ648" t="n">
        <v>20</v>
      </c>
      <c r="AK648" t="n">
        <v>21</v>
      </c>
      <c r="AL648" t="n">
        <v>9</v>
      </c>
      <c r="AM648" t="n">
        <v>9</v>
      </c>
      <c r="AN648" t="n">
        <v>0</v>
      </c>
      <c r="AO648" t="n">
        <v>0</v>
      </c>
      <c r="AP648" t="inlineStr">
        <is>
          <t>Yes</t>
        </is>
      </c>
      <c r="AQ648" t="inlineStr">
        <is>
          <t>No</t>
        </is>
      </c>
      <c r="AR648">
        <f>HYPERLINK("http://catalog.hathitrust.org/Record/000431819","HathiTrust Record")</f>
        <v/>
      </c>
      <c r="AS648">
        <f>HYPERLINK("https://creighton-primo.hosted.exlibrisgroup.com/primo-explore/search?tab=default_tab&amp;search_scope=EVERYTHING&amp;vid=01CRU&amp;lang=en_US&amp;offset=0&amp;query=any,contains,991002200849702656","Catalog Record")</f>
        <v/>
      </c>
      <c r="AT648">
        <f>HYPERLINK("http://www.worldcat.org/oclc/284280","WorldCat Record")</f>
        <v/>
      </c>
      <c r="AU648" t="inlineStr">
        <is>
          <t>137956493:eng</t>
        </is>
      </c>
      <c r="AV648" t="inlineStr">
        <is>
          <t>284280</t>
        </is>
      </c>
      <c r="AW648" t="inlineStr">
        <is>
          <t>991002200849702656</t>
        </is>
      </c>
      <c r="AX648" t="inlineStr">
        <is>
          <t>991002200849702656</t>
        </is>
      </c>
      <c r="AY648" t="inlineStr">
        <is>
          <t>2262614350002656</t>
        </is>
      </c>
      <c r="AZ648" t="inlineStr">
        <is>
          <t>BOOK</t>
        </is>
      </c>
      <c r="BC648" t="inlineStr">
        <is>
          <t>32285000876887</t>
        </is>
      </c>
      <c r="BD648" t="inlineStr">
        <is>
          <t>893809349</t>
        </is>
      </c>
    </row>
    <row r="649">
      <c r="A649" t="inlineStr">
        <is>
          <t>No</t>
        </is>
      </c>
      <c r="B649" t="inlineStr">
        <is>
          <t>PS3511.R94 Z856 1991</t>
        </is>
      </c>
      <c r="C649" t="inlineStr">
        <is>
          <t>0                      PS 3511000R  94                 Z  856         1991</t>
        </is>
      </c>
      <c r="D649" t="inlineStr">
        <is>
          <t>On Frost / edited by Edwin H. Cady and Louis J. Budd.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L649" t="inlineStr">
        <is>
          <t>Durham : Duke University Press, 1991.</t>
        </is>
      </c>
      <c r="M649" t="inlineStr">
        <is>
          <t>1991</t>
        </is>
      </c>
      <c r="O649" t="inlineStr">
        <is>
          <t>eng</t>
        </is>
      </c>
      <c r="P649" t="inlineStr">
        <is>
          <t>ncu</t>
        </is>
      </c>
      <c r="Q649" t="inlineStr">
        <is>
          <t>The Best from American literature</t>
        </is>
      </c>
      <c r="R649" t="inlineStr">
        <is>
          <t xml:space="preserve">PS </t>
        </is>
      </c>
      <c r="S649" t="n">
        <v>6</v>
      </c>
      <c r="T649" t="n">
        <v>6</v>
      </c>
      <c r="U649" t="inlineStr">
        <is>
          <t>1995-09-11</t>
        </is>
      </c>
      <c r="V649" t="inlineStr">
        <is>
          <t>1995-09-11</t>
        </is>
      </c>
      <c r="W649" t="inlineStr">
        <is>
          <t>1992-03-25</t>
        </is>
      </c>
      <c r="X649" t="inlineStr">
        <is>
          <t>1992-03-25</t>
        </is>
      </c>
      <c r="Y649" t="n">
        <v>348</v>
      </c>
      <c r="Z649" t="n">
        <v>301</v>
      </c>
      <c r="AA649" t="n">
        <v>314</v>
      </c>
      <c r="AB649" t="n">
        <v>2</v>
      </c>
      <c r="AC649" t="n">
        <v>3</v>
      </c>
      <c r="AD649" t="n">
        <v>15</v>
      </c>
      <c r="AE649" t="n">
        <v>17</v>
      </c>
      <c r="AF649" t="n">
        <v>5</v>
      </c>
      <c r="AG649" t="n">
        <v>5</v>
      </c>
      <c r="AH649" t="n">
        <v>3</v>
      </c>
      <c r="AI649" t="n">
        <v>4</v>
      </c>
      <c r="AJ649" t="n">
        <v>11</v>
      </c>
      <c r="AK649" t="n">
        <v>11</v>
      </c>
      <c r="AL649" t="n">
        <v>1</v>
      </c>
      <c r="AM649" t="n">
        <v>2</v>
      </c>
      <c r="AN649" t="n">
        <v>0</v>
      </c>
      <c r="AO649" t="n">
        <v>0</v>
      </c>
      <c r="AP649" t="inlineStr">
        <is>
          <t>Yes</t>
        </is>
      </c>
      <c r="AQ649" t="inlineStr">
        <is>
          <t>No</t>
        </is>
      </c>
      <c r="AR649">
        <f>HYPERLINK("http://catalog.hathitrust.org/Record/002482016","HathiTrust Record")</f>
        <v/>
      </c>
      <c r="AS649">
        <f>HYPERLINK("https://creighton-primo.hosted.exlibrisgroup.com/primo-explore/search?tab=default_tab&amp;search_scope=EVERYTHING&amp;vid=01CRU&amp;lang=en_US&amp;offset=0&amp;query=any,contains,991001843229702656","Catalog Record")</f>
        <v/>
      </c>
      <c r="AT649">
        <f>HYPERLINK("http://www.worldcat.org/oclc/23144496","WorldCat Record")</f>
        <v/>
      </c>
      <c r="AU649" t="inlineStr">
        <is>
          <t>3856720254:eng</t>
        </is>
      </c>
      <c r="AV649" t="inlineStr">
        <is>
          <t>23144496</t>
        </is>
      </c>
      <c r="AW649" t="inlineStr">
        <is>
          <t>991001843229702656</t>
        </is>
      </c>
      <c r="AX649" t="inlineStr">
        <is>
          <t>991001843229702656</t>
        </is>
      </c>
      <c r="AY649" t="inlineStr">
        <is>
          <t>2266415580002656</t>
        </is>
      </c>
      <c r="AZ649" t="inlineStr">
        <is>
          <t>BOOK</t>
        </is>
      </c>
      <c r="BB649" t="inlineStr">
        <is>
          <t>9780822311591</t>
        </is>
      </c>
      <c r="BC649" t="inlineStr">
        <is>
          <t>32285001006658</t>
        </is>
      </c>
      <c r="BD649" t="inlineStr">
        <is>
          <t>893238373</t>
        </is>
      </c>
    </row>
    <row r="650">
      <c r="A650" t="inlineStr">
        <is>
          <t>No</t>
        </is>
      </c>
      <c r="B650" t="inlineStr">
        <is>
          <t>PS3511.R94 Z87</t>
        </is>
      </c>
      <c r="C650" t="inlineStr">
        <is>
          <t>0                      PS 3511000R  94                 Z  87</t>
        </is>
      </c>
      <c r="D650" t="inlineStr">
        <is>
          <t>Robert Frost : the work of knowing / Richard Poirier.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Poirier, Richard.</t>
        </is>
      </c>
      <c r="L650" t="inlineStr">
        <is>
          <t>New York : Oxford University Press, 1977.</t>
        </is>
      </c>
      <c r="M650" t="inlineStr">
        <is>
          <t>1977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PS </t>
        </is>
      </c>
      <c r="S650" t="n">
        <v>5</v>
      </c>
      <c r="T650" t="n">
        <v>5</v>
      </c>
      <c r="U650" t="inlineStr">
        <is>
          <t>1993-02-22</t>
        </is>
      </c>
      <c r="V650" t="inlineStr">
        <is>
          <t>1993-02-22</t>
        </is>
      </c>
      <c r="W650" t="inlineStr">
        <is>
          <t>1990-07-16</t>
        </is>
      </c>
      <c r="X650" t="inlineStr">
        <is>
          <t>1990-07-16</t>
        </is>
      </c>
      <c r="Y650" t="n">
        <v>1621</v>
      </c>
      <c r="Z650" t="n">
        <v>1378</v>
      </c>
      <c r="AA650" t="n">
        <v>1567</v>
      </c>
      <c r="AB650" t="n">
        <v>11</v>
      </c>
      <c r="AC650" t="n">
        <v>11</v>
      </c>
      <c r="AD650" t="n">
        <v>48</v>
      </c>
      <c r="AE650" t="n">
        <v>55</v>
      </c>
      <c r="AF650" t="n">
        <v>19</v>
      </c>
      <c r="AG650" t="n">
        <v>23</v>
      </c>
      <c r="AH650" t="n">
        <v>10</v>
      </c>
      <c r="AI650" t="n">
        <v>11</v>
      </c>
      <c r="AJ650" t="n">
        <v>21</v>
      </c>
      <c r="AK650" t="n">
        <v>25</v>
      </c>
      <c r="AL650" t="n">
        <v>9</v>
      </c>
      <c r="AM650" t="n">
        <v>9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HYPERLINK("http://catalog.hathitrust.org/Record/000251686","HathiTrust Record")</f>
        <v/>
      </c>
      <c r="AS650">
        <f>HYPERLINK("https://creighton-primo.hosted.exlibrisgroup.com/primo-explore/search?tab=default_tab&amp;search_scope=EVERYTHING&amp;vid=01CRU&amp;lang=en_US&amp;offset=0&amp;query=any,contains,991004318829702656","Catalog Record")</f>
        <v/>
      </c>
      <c r="AT650">
        <f>HYPERLINK("http://www.worldcat.org/oclc/3015720","WorldCat Record")</f>
        <v/>
      </c>
      <c r="AU650" t="inlineStr">
        <is>
          <t>7081788:eng</t>
        </is>
      </c>
      <c r="AV650" t="inlineStr">
        <is>
          <t>3015720</t>
        </is>
      </c>
      <c r="AW650" t="inlineStr">
        <is>
          <t>991004318829702656</t>
        </is>
      </c>
      <c r="AX650" t="inlineStr">
        <is>
          <t>991004318829702656</t>
        </is>
      </c>
      <c r="AY650" t="inlineStr">
        <is>
          <t>2270912300002656</t>
        </is>
      </c>
      <c r="AZ650" t="inlineStr">
        <is>
          <t>BOOK</t>
        </is>
      </c>
      <c r="BB650" t="inlineStr">
        <is>
          <t>9780195022162</t>
        </is>
      </c>
      <c r="BC650" t="inlineStr">
        <is>
          <t>32285000231323</t>
        </is>
      </c>
      <c r="BD650" t="inlineStr">
        <is>
          <t>893599692</t>
        </is>
      </c>
    </row>
    <row r="651">
      <c r="A651" t="inlineStr">
        <is>
          <t>No</t>
        </is>
      </c>
      <c r="B651" t="inlineStr">
        <is>
          <t>PS3511.R94 Z89 1984</t>
        </is>
      </c>
      <c r="C651" t="inlineStr">
        <is>
          <t>0                      PS 3511000R  94                 Z  89          1984</t>
        </is>
      </c>
      <c r="D651" t="inlineStr">
        <is>
          <t>Frost : a literary life reconsidered / William H. Pritchard.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Pritchard, William H.</t>
        </is>
      </c>
      <c r="L651" t="inlineStr">
        <is>
          <t>New York : Oxford University Press, 1984.</t>
        </is>
      </c>
      <c r="M651" t="inlineStr">
        <is>
          <t>1984</t>
        </is>
      </c>
      <c r="O651" t="inlineStr">
        <is>
          <t>eng</t>
        </is>
      </c>
      <c r="P651" t="inlineStr">
        <is>
          <t>nyu</t>
        </is>
      </c>
      <c r="R651" t="inlineStr">
        <is>
          <t xml:space="preserve">PS </t>
        </is>
      </c>
      <c r="S651" t="n">
        <v>6</v>
      </c>
      <c r="T651" t="n">
        <v>6</v>
      </c>
      <c r="U651" t="inlineStr">
        <is>
          <t>2001-09-04</t>
        </is>
      </c>
      <c r="V651" t="inlineStr">
        <is>
          <t>2001-09-04</t>
        </is>
      </c>
      <c r="W651" t="inlineStr">
        <is>
          <t>1990-02-22</t>
        </is>
      </c>
      <c r="X651" t="inlineStr">
        <is>
          <t>1990-02-22</t>
        </is>
      </c>
      <c r="Y651" t="n">
        <v>1748</v>
      </c>
      <c r="Z651" t="n">
        <v>1555</v>
      </c>
      <c r="AA651" t="n">
        <v>1704</v>
      </c>
      <c r="AB651" t="n">
        <v>10</v>
      </c>
      <c r="AC651" t="n">
        <v>11</v>
      </c>
      <c r="AD651" t="n">
        <v>47</v>
      </c>
      <c r="AE651" t="n">
        <v>51</v>
      </c>
      <c r="AF651" t="n">
        <v>22</v>
      </c>
      <c r="AG651" t="n">
        <v>24</v>
      </c>
      <c r="AH651" t="n">
        <v>7</v>
      </c>
      <c r="AI651" t="n">
        <v>8</v>
      </c>
      <c r="AJ651" t="n">
        <v>21</v>
      </c>
      <c r="AK651" t="n">
        <v>24</v>
      </c>
      <c r="AL651" t="n">
        <v>7</v>
      </c>
      <c r="AM651" t="n">
        <v>7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HYPERLINK("http://catalog.hathitrust.org/Record/000287141","HathiTrust Record")</f>
        <v/>
      </c>
      <c r="AS651">
        <f>HYPERLINK("https://creighton-primo.hosted.exlibrisgroup.com/primo-explore/search?tab=default_tab&amp;search_scope=EVERYTHING&amp;vid=01CRU&amp;lang=en_US&amp;offset=0&amp;query=any,contains,991000429419702656","Catalog Record")</f>
        <v/>
      </c>
      <c r="AT651">
        <f>HYPERLINK("http://www.worldcat.org/oclc/10777739","WorldCat Record")</f>
        <v/>
      </c>
      <c r="AU651" t="inlineStr">
        <is>
          <t>2849714:eng</t>
        </is>
      </c>
      <c r="AV651" t="inlineStr">
        <is>
          <t>10777739</t>
        </is>
      </c>
      <c r="AW651" t="inlineStr">
        <is>
          <t>991000429419702656</t>
        </is>
      </c>
      <c r="AX651" t="inlineStr">
        <is>
          <t>991000429419702656</t>
        </is>
      </c>
      <c r="AY651" t="inlineStr">
        <is>
          <t>2267621380002656</t>
        </is>
      </c>
      <c r="AZ651" t="inlineStr">
        <is>
          <t>BOOK</t>
        </is>
      </c>
      <c r="BB651" t="inlineStr">
        <is>
          <t>9780195034622</t>
        </is>
      </c>
      <c r="BC651" t="inlineStr">
        <is>
          <t>32285000049436</t>
        </is>
      </c>
      <c r="BD651" t="inlineStr">
        <is>
          <t>893345649</t>
        </is>
      </c>
    </row>
    <row r="652">
      <c r="A652" t="inlineStr">
        <is>
          <t>No</t>
        </is>
      </c>
      <c r="B652" t="inlineStr">
        <is>
          <t>PS3511.R94 Z9</t>
        </is>
      </c>
      <c r="C652" t="inlineStr">
        <is>
          <t>0                      PS 3511000R  94                 Z  9</t>
        </is>
      </c>
      <c r="D652" t="inlineStr">
        <is>
          <t>Recognition of Robert Frost; twenty-fifth anniversary, edited by Richard Thornton.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L652" t="inlineStr">
        <is>
          <t>New York, H. Holt and Company [c1937]</t>
        </is>
      </c>
      <c r="M652" t="inlineStr">
        <is>
          <t>1937</t>
        </is>
      </c>
      <c r="O652" t="inlineStr">
        <is>
          <t>eng</t>
        </is>
      </c>
      <c r="P652" t="inlineStr">
        <is>
          <t>nyu</t>
        </is>
      </c>
      <c r="R652" t="inlineStr">
        <is>
          <t xml:space="preserve">PS </t>
        </is>
      </c>
      <c r="S652" t="n">
        <v>3</v>
      </c>
      <c r="T652" t="n">
        <v>3</v>
      </c>
      <c r="U652" t="inlineStr">
        <is>
          <t>1993-02-22</t>
        </is>
      </c>
      <c r="V652" t="inlineStr">
        <is>
          <t>1993-02-22</t>
        </is>
      </c>
      <c r="W652" t="inlineStr">
        <is>
          <t>1991-12-12</t>
        </is>
      </c>
      <c r="X652" t="inlineStr">
        <is>
          <t>1991-12-12</t>
        </is>
      </c>
      <c r="Y652" t="n">
        <v>563</v>
      </c>
      <c r="Z652" t="n">
        <v>533</v>
      </c>
      <c r="AA652" t="n">
        <v>542</v>
      </c>
      <c r="AB652" t="n">
        <v>5</v>
      </c>
      <c r="AC652" t="n">
        <v>5</v>
      </c>
      <c r="AD652" t="n">
        <v>33</v>
      </c>
      <c r="AE652" t="n">
        <v>33</v>
      </c>
      <c r="AF652" t="n">
        <v>14</v>
      </c>
      <c r="AG652" t="n">
        <v>14</v>
      </c>
      <c r="AH652" t="n">
        <v>7</v>
      </c>
      <c r="AI652" t="n">
        <v>7</v>
      </c>
      <c r="AJ652" t="n">
        <v>16</v>
      </c>
      <c r="AK652" t="n">
        <v>16</v>
      </c>
      <c r="AL652" t="n">
        <v>4</v>
      </c>
      <c r="AM652" t="n">
        <v>4</v>
      </c>
      <c r="AN652" t="n">
        <v>0</v>
      </c>
      <c r="AO652" t="n">
        <v>0</v>
      </c>
      <c r="AP652" t="inlineStr">
        <is>
          <t>No</t>
        </is>
      </c>
      <c r="AQ652" t="inlineStr">
        <is>
          <t>No</t>
        </is>
      </c>
      <c r="AS652">
        <f>HYPERLINK("https://creighton-primo.hosted.exlibrisgroup.com/primo-explore/search?tab=default_tab&amp;search_scope=EVERYTHING&amp;vid=01CRU&amp;lang=en_US&amp;offset=0&amp;query=any,contains,991003170759702656","Catalog Record")</f>
        <v/>
      </c>
      <c r="AT652">
        <f>HYPERLINK("http://www.worldcat.org/oclc/706931","WorldCat Record")</f>
        <v/>
      </c>
      <c r="AU652" t="inlineStr">
        <is>
          <t>53999728:eng</t>
        </is>
      </c>
      <c r="AV652" t="inlineStr">
        <is>
          <t>706931</t>
        </is>
      </c>
      <c r="AW652" t="inlineStr">
        <is>
          <t>991003170759702656</t>
        </is>
      </c>
      <c r="AX652" t="inlineStr">
        <is>
          <t>991003170759702656</t>
        </is>
      </c>
      <c r="AY652" t="inlineStr">
        <is>
          <t>2270756840002656</t>
        </is>
      </c>
      <c r="AZ652" t="inlineStr">
        <is>
          <t>BOOK</t>
        </is>
      </c>
      <c r="BC652" t="inlineStr">
        <is>
          <t>32285000878164</t>
        </is>
      </c>
      <c r="BD652" t="inlineStr">
        <is>
          <t>893899690</t>
        </is>
      </c>
    </row>
    <row r="653">
      <c r="A653" t="inlineStr">
        <is>
          <t>No</t>
        </is>
      </c>
      <c r="B653" t="inlineStr">
        <is>
          <t>PS3511.R94 Z922</t>
        </is>
      </c>
      <c r="C653" t="inlineStr">
        <is>
          <t>0                      PS 3511000R  94                 Z  922</t>
        </is>
      </c>
      <c r="D653" t="inlineStr">
        <is>
          <t>Robert Frost's poetic style / by T.R.S. Sharma.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Sharma, T. R. S.</t>
        </is>
      </c>
      <c r="L653" t="inlineStr">
        <is>
          <t>Atlantic Highlands, N.J. : Humanities Press, c1981.</t>
        </is>
      </c>
      <c r="M653" t="inlineStr">
        <is>
          <t>1981</t>
        </is>
      </c>
      <c r="O653" t="inlineStr">
        <is>
          <t>eng</t>
        </is>
      </c>
      <c r="P653" t="inlineStr">
        <is>
          <t>nju</t>
        </is>
      </c>
      <c r="R653" t="inlineStr">
        <is>
          <t xml:space="preserve">PS </t>
        </is>
      </c>
      <c r="S653" t="n">
        <v>10</v>
      </c>
      <c r="T653" t="n">
        <v>10</v>
      </c>
      <c r="U653" t="inlineStr">
        <is>
          <t>1998-05-05</t>
        </is>
      </c>
      <c r="V653" t="inlineStr">
        <is>
          <t>1998-05-05</t>
        </is>
      </c>
      <c r="W653" t="inlineStr">
        <is>
          <t>1990-11-09</t>
        </is>
      </c>
      <c r="X653" t="inlineStr">
        <is>
          <t>1990-11-09</t>
        </is>
      </c>
      <c r="Y653" t="n">
        <v>193</v>
      </c>
      <c r="Z653" t="n">
        <v>173</v>
      </c>
      <c r="AA653" t="n">
        <v>261</v>
      </c>
      <c r="AB653" t="n">
        <v>2</v>
      </c>
      <c r="AC653" t="n">
        <v>3</v>
      </c>
      <c r="AD653" t="n">
        <v>5</v>
      </c>
      <c r="AE653" t="n">
        <v>7</v>
      </c>
      <c r="AF653" t="n">
        <v>2</v>
      </c>
      <c r="AG653" t="n">
        <v>2</v>
      </c>
      <c r="AH653" t="n">
        <v>2</v>
      </c>
      <c r="AI653" t="n">
        <v>3</v>
      </c>
      <c r="AJ653" t="n">
        <v>3</v>
      </c>
      <c r="AK653" t="n">
        <v>4</v>
      </c>
      <c r="AL653" t="n">
        <v>1</v>
      </c>
      <c r="AM653" t="n">
        <v>2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HYPERLINK("http://catalog.hathitrust.org/Record/007117234","HathiTrust Record")</f>
        <v/>
      </c>
      <c r="AS653">
        <f>HYPERLINK("https://creighton-primo.hosted.exlibrisgroup.com/primo-explore/search?tab=default_tab&amp;search_scope=EVERYTHING&amp;vid=01CRU&amp;lang=en_US&amp;offset=0&amp;query=any,contains,991005125909702656","Catalog Record")</f>
        <v/>
      </c>
      <c r="AT653">
        <f>HYPERLINK("http://www.worldcat.org/oclc/7553547","WorldCat Record")</f>
        <v/>
      </c>
      <c r="AU653" t="inlineStr">
        <is>
          <t>28561021:eng</t>
        </is>
      </c>
      <c r="AV653" t="inlineStr">
        <is>
          <t>7553547</t>
        </is>
      </c>
      <c r="AW653" t="inlineStr">
        <is>
          <t>991005125909702656</t>
        </is>
      </c>
      <c r="AX653" t="inlineStr">
        <is>
          <t>991005125909702656</t>
        </is>
      </c>
      <c r="AY653" t="inlineStr">
        <is>
          <t>2262533040002656</t>
        </is>
      </c>
      <c r="AZ653" t="inlineStr">
        <is>
          <t>BOOK</t>
        </is>
      </c>
      <c r="BB653" t="inlineStr">
        <is>
          <t>9780391023154</t>
        </is>
      </c>
      <c r="BC653" t="inlineStr">
        <is>
          <t>32285000378033</t>
        </is>
      </c>
      <c r="BD653" t="inlineStr">
        <is>
          <t>893619491</t>
        </is>
      </c>
    </row>
    <row r="654">
      <c r="A654" t="inlineStr">
        <is>
          <t>No</t>
        </is>
      </c>
      <c r="B654" t="inlineStr">
        <is>
          <t>PS3511.R94 Z9254</t>
        </is>
      </c>
      <c r="C654" t="inlineStr">
        <is>
          <t>0                      PS 3511000R  94                 Z  9254</t>
        </is>
      </c>
      <c r="D654" t="inlineStr">
        <is>
          <t>Robert Frost : the individual and society / by Peter J. Stanlis.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Stanlis, Peter J. (Peter James), 1920-</t>
        </is>
      </c>
      <c r="L654" t="inlineStr">
        <is>
          <t>[Rockford, Conn. : Rockford College, 1973]</t>
        </is>
      </c>
      <c r="M654" t="inlineStr">
        <is>
          <t>1973</t>
        </is>
      </c>
      <c r="O654" t="inlineStr">
        <is>
          <t>eng</t>
        </is>
      </c>
      <c r="P654" t="inlineStr">
        <is>
          <t>ctu</t>
        </is>
      </c>
      <c r="R654" t="inlineStr">
        <is>
          <t xml:space="preserve">PS </t>
        </is>
      </c>
      <c r="S654" t="n">
        <v>3</v>
      </c>
      <c r="T654" t="n">
        <v>3</v>
      </c>
      <c r="U654" t="inlineStr">
        <is>
          <t>1998-05-05</t>
        </is>
      </c>
      <c r="V654" t="inlineStr">
        <is>
          <t>1998-05-05</t>
        </is>
      </c>
      <c r="W654" t="inlineStr">
        <is>
          <t>1992-02-19</t>
        </is>
      </c>
      <c r="X654" t="inlineStr">
        <is>
          <t>1992-02-19</t>
        </is>
      </c>
      <c r="Y654" t="n">
        <v>164</v>
      </c>
      <c r="Z654" t="n">
        <v>159</v>
      </c>
      <c r="AA654" t="n">
        <v>160</v>
      </c>
      <c r="AB654" t="n">
        <v>1</v>
      </c>
      <c r="AC654" t="n">
        <v>1</v>
      </c>
      <c r="AD654" t="n">
        <v>6</v>
      </c>
      <c r="AE654" t="n">
        <v>6</v>
      </c>
      <c r="AF654" t="n">
        <v>2</v>
      </c>
      <c r="AG654" t="n">
        <v>2</v>
      </c>
      <c r="AH654" t="n">
        <v>1</v>
      </c>
      <c r="AI654" t="n">
        <v>1</v>
      </c>
      <c r="AJ654" t="n">
        <v>4</v>
      </c>
      <c r="AK654" t="n">
        <v>4</v>
      </c>
      <c r="AL654" t="n">
        <v>0</v>
      </c>
      <c r="AM654" t="n">
        <v>0</v>
      </c>
      <c r="AN654" t="n">
        <v>0</v>
      </c>
      <c r="AO654" t="n">
        <v>0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HYPERLINK("https://creighton-primo.hosted.exlibrisgroup.com/primo-explore/search?tab=default_tab&amp;search_scope=EVERYTHING&amp;vid=01CRU&amp;lang=en_US&amp;offset=0&amp;query=any,contains,991003275849702656","Catalog Record")</f>
        <v/>
      </c>
      <c r="AT654">
        <f>HYPERLINK("http://www.worldcat.org/oclc/799928","WorldCat Record")</f>
        <v/>
      </c>
      <c r="AU654" t="inlineStr">
        <is>
          <t>3768814369:eng</t>
        </is>
      </c>
      <c r="AV654" t="inlineStr">
        <is>
          <t>799928</t>
        </is>
      </c>
      <c r="AW654" t="inlineStr">
        <is>
          <t>991003275849702656</t>
        </is>
      </c>
      <c r="AX654" t="inlineStr">
        <is>
          <t>991003275849702656</t>
        </is>
      </c>
      <c r="AY654" t="inlineStr">
        <is>
          <t>2266902200002656</t>
        </is>
      </c>
      <c r="AZ654" t="inlineStr">
        <is>
          <t>BOOK</t>
        </is>
      </c>
      <c r="BC654" t="inlineStr">
        <is>
          <t>32285000971134</t>
        </is>
      </c>
      <c r="BD654" t="inlineStr">
        <is>
          <t>893518324</t>
        </is>
      </c>
    </row>
    <row r="655">
      <c r="A655" t="inlineStr">
        <is>
          <t>No</t>
        </is>
      </c>
      <c r="B655" t="inlineStr">
        <is>
          <t>PS3511.R94 Z95</t>
        </is>
      </c>
      <c r="C655" t="inlineStr">
        <is>
          <t>0                      PS 3511000R  94                 Z  95</t>
        </is>
      </c>
      <c r="D655" t="inlineStr">
        <is>
          <t>Robert Frost.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Yes</t>
        </is>
      </c>
      <c r="J655" t="inlineStr">
        <is>
          <t>0</t>
        </is>
      </c>
      <c r="K655" t="inlineStr">
        <is>
          <t>Thompson, Lawrance, 1906-1973.</t>
        </is>
      </c>
      <c r="L655" t="inlineStr">
        <is>
          <t>Minneapolis : University of Minnesota Press, [1959]</t>
        </is>
      </c>
      <c r="M655" t="inlineStr">
        <is>
          <t>1959</t>
        </is>
      </c>
      <c r="O655" t="inlineStr">
        <is>
          <t>eng</t>
        </is>
      </c>
      <c r="P655" t="inlineStr">
        <is>
          <t>mnu</t>
        </is>
      </c>
      <c r="Q655" t="inlineStr">
        <is>
          <t>University of Minnesota pamphlets on American writers ; no. 2</t>
        </is>
      </c>
      <c r="R655" t="inlineStr">
        <is>
          <t xml:space="preserve">PS </t>
        </is>
      </c>
      <c r="S655" t="n">
        <v>3</v>
      </c>
      <c r="T655" t="n">
        <v>3</v>
      </c>
      <c r="U655" t="inlineStr">
        <is>
          <t>1992-02-11</t>
        </is>
      </c>
      <c r="V655" t="inlineStr">
        <is>
          <t>1992-02-11</t>
        </is>
      </c>
      <c r="W655" t="inlineStr">
        <is>
          <t>1991-12-13</t>
        </is>
      </c>
      <c r="X655" t="inlineStr">
        <is>
          <t>1991-12-13</t>
        </is>
      </c>
      <c r="Y655" t="n">
        <v>1233</v>
      </c>
      <c r="Z655" t="n">
        <v>1103</v>
      </c>
      <c r="AA655" t="n">
        <v>2626</v>
      </c>
      <c r="AB655" t="n">
        <v>8</v>
      </c>
      <c r="AC655" t="n">
        <v>22</v>
      </c>
      <c r="AD655" t="n">
        <v>29</v>
      </c>
      <c r="AE655" t="n">
        <v>72</v>
      </c>
      <c r="AF655" t="n">
        <v>13</v>
      </c>
      <c r="AG655" t="n">
        <v>28</v>
      </c>
      <c r="AH655" t="n">
        <v>3</v>
      </c>
      <c r="AI655" t="n">
        <v>11</v>
      </c>
      <c r="AJ655" t="n">
        <v>14</v>
      </c>
      <c r="AK655" t="n">
        <v>29</v>
      </c>
      <c r="AL655" t="n">
        <v>5</v>
      </c>
      <c r="AM655" t="n">
        <v>17</v>
      </c>
      <c r="AN655" t="n">
        <v>0</v>
      </c>
      <c r="AO655" t="n">
        <v>1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HYPERLINK("http://catalog.hathitrust.org/Record/000431886","HathiTrust Record")</f>
        <v/>
      </c>
      <c r="AS655">
        <f>HYPERLINK("https://creighton-primo.hosted.exlibrisgroup.com/primo-explore/search?tab=default_tab&amp;search_scope=EVERYTHING&amp;vid=01CRU&amp;lang=en_US&amp;offset=0&amp;query=any,contains,991002205599702656","Catalog Record")</f>
        <v/>
      </c>
      <c r="AT655">
        <f>HYPERLINK("http://www.worldcat.org/oclc/285675","WorldCat Record")</f>
        <v/>
      </c>
      <c r="AU655" t="inlineStr">
        <is>
          <t>1378859:eng</t>
        </is>
      </c>
      <c r="AV655" t="inlineStr">
        <is>
          <t>285675</t>
        </is>
      </c>
      <c r="AW655" t="inlineStr">
        <is>
          <t>991002205599702656</t>
        </is>
      </c>
      <c r="AX655" t="inlineStr">
        <is>
          <t>991002205599702656</t>
        </is>
      </c>
      <c r="AY655" t="inlineStr">
        <is>
          <t>2263291780002656</t>
        </is>
      </c>
      <c r="AZ655" t="inlineStr">
        <is>
          <t>BOOK</t>
        </is>
      </c>
      <c r="BC655" t="inlineStr">
        <is>
          <t>32285000876879</t>
        </is>
      </c>
      <c r="BD655" t="inlineStr">
        <is>
          <t>893804343</t>
        </is>
      </c>
    </row>
    <row r="656">
      <c r="A656" t="inlineStr">
        <is>
          <t>No</t>
        </is>
      </c>
      <c r="B656" t="inlineStr">
        <is>
          <t>PS3511.R94 Z985 1988</t>
        </is>
      </c>
      <c r="C656" t="inlineStr">
        <is>
          <t>0                      PS 3511000R  94                 Z  985         1988</t>
        </is>
      </c>
      <c r="D656" t="inlineStr">
        <is>
          <t>Into my own : the English years of Robert Frost, 1912-1915 / John Evangelist Walsh.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Walsh, John Evangelist, 1927-2015.</t>
        </is>
      </c>
      <c r="L656" t="inlineStr">
        <is>
          <t>New York : Grove Press, 1988.</t>
        </is>
      </c>
      <c r="M656" t="inlineStr">
        <is>
          <t>1988</t>
        </is>
      </c>
      <c r="N656" t="inlineStr">
        <is>
          <t>1st ed.</t>
        </is>
      </c>
      <c r="O656" t="inlineStr">
        <is>
          <t>eng</t>
        </is>
      </c>
      <c r="P656" t="inlineStr">
        <is>
          <t>nyu</t>
        </is>
      </c>
      <c r="R656" t="inlineStr">
        <is>
          <t xml:space="preserve">PS </t>
        </is>
      </c>
      <c r="S656" t="n">
        <v>4</v>
      </c>
      <c r="T656" t="n">
        <v>4</v>
      </c>
      <c r="U656" t="inlineStr">
        <is>
          <t>1995-09-11</t>
        </is>
      </c>
      <c r="V656" t="inlineStr">
        <is>
          <t>1995-09-11</t>
        </is>
      </c>
      <c r="W656" t="inlineStr">
        <is>
          <t>1990-02-22</t>
        </is>
      </c>
      <c r="X656" t="inlineStr">
        <is>
          <t>1990-02-22</t>
        </is>
      </c>
      <c r="Y656" t="n">
        <v>981</v>
      </c>
      <c r="Z656" t="n">
        <v>904</v>
      </c>
      <c r="AA656" t="n">
        <v>913</v>
      </c>
      <c r="AB656" t="n">
        <v>5</v>
      </c>
      <c r="AC656" t="n">
        <v>5</v>
      </c>
      <c r="AD656" t="n">
        <v>29</v>
      </c>
      <c r="AE656" t="n">
        <v>29</v>
      </c>
      <c r="AF656" t="n">
        <v>15</v>
      </c>
      <c r="AG656" t="n">
        <v>15</v>
      </c>
      <c r="AH656" t="n">
        <v>6</v>
      </c>
      <c r="AI656" t="n">
        <v>6</v>
      </c>
      <c r="AJ656" t="n">
        <v>14</v>
      </c>
      <c r="AK656" t="n">
        <v>14</v>
      </c>
      <c r="AL656" t="n">
        <v>3</v>
      </c>
      <c r="AM656" t="n">
        <v>3</v>
      </c>
      <c r="AN656" t="n">
        <v>0</v>
      </c>
      <c r="AO656" t="n">
        <v>0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HYPERLINK("https://creighton-primo.hosted.exlibrisgroup.com/primo-explore/search?tab=default_tab&amp;search_scope=EVERYTHING&amp;vid=01CRU&amp;lang=en_US&amp;offset=0&amp;query=any,contains,991001231109702656","Catalog Record")</f>
        <v/>
      </c>
      <c r="AT656">
        <f>HYPERLINK("http://www.worldcat.org/oclc/17546989","WorldCat Record")</f>
        <v/>
      </c>
      <c r="AU656" t="inlineStr">
        <is>
          <t>16129604:eng</t>
        </is>
      </c>
      <c r="AV656" t="inlineStr">
        <is>
          <t>17546989</t>
        </is>
      </c>
      <c r="AW656" t="inlineStr">
        <is>
          <t>991001231109702656</t>
        </is>
      </c>
      <c r="AX656" t="inlineStr">
        <is>
          <t>991001231109702656</t>
        </is>
      </c>
      <c r="AY656" t="inlineStr">
        <is>
          <t>2267871610002656</t>
        </is>
      </c>
      <c r="AZ656" t="inlineStr">
        <is>
          <t>BOOK</t>
        </is>
      </c>
      <c r="BB656" t="inlineStr">
        <is>
          <t>9780802110459</t>
        </is>
      </c>
      <c r="BC656" t="inlineStr">
        <is>
          <t>32285000049444</t>
        </is>
      </c>
      <c r="BD656" t="inlineStr">
        <is>
          <t>893621183</t>
        </is>
      </c>
    </row>
    <row r="657">
      <c r="A657" t="inlineStr">
        <is>
          <t>No</t>
        </is>
      </c>
      <c r="B657" t="inlineStr">
        <is>
          <t>PS3513.I2824 G52 1983</t>
        </is>
      </c>
      <c r="C657" t="inlineStr">
        <is>
          <t>0                      PS 3513000I  2824               G  52          1983</t>
        </is>
      </c>
      <c r="D657" t="inlineStr">
        <is>
          <t>Monday after the miracle : a play in three acts / by William Gibson.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K657" t="inlineStr">
        <is>
          <t>Gibson, William, 1914-2008.</t>
        </is>
      </c>
      <c r="L657" t="inlineStr">
        <is>
          <t>New York : Atheneum, c1983.</t>
        </is>
      </c>
      <c r="M657" t="inlineStr">
        <is>
          <t>1983</t>
        </is>
      </c>
      <c r="O657" t="inlineStr">
        <is>
          <t>eng</t>
        </is>
      </c>
      <c r="P657" t="inlineStr">
        <is>
          <t>nyu</t>
        </is>
      </c>
      <c r="R657" t="inlineStr">
        <is>
          <t xml:space="preserve">PS </t>
        </is>
      </c>
      <c r="S657" t="n">
        <v>4</v>
      </c>
      <c r="T657" t="n">
        <v>4</v>
      </c>
      <c r="U657" t="inlineStr">
        <is>
          <t>1999-04-25</t>
        </is>
      </c>
      <c r="V657" t="inlineStr">
        <is>
          <t>1999-04-25</t>
        </is>
      </c>
      <c r="W657" t="inlineStr">
        <is>
          <t>1990-11-13</t>
        </is>
      </c>
      <c r="X657" t="inlineStr">
        <is>
          <t>1990-11-13</t>
        </is>
      </c>
      <c r="Y657" t="n">
        <v>401</v>
      </c>
      <c r="Z657" t="n">
        <v>369</v>
      </c>
      <c r="AA657" t="n">
        <v>478</v>
      </c>
      <c r="AB657" t="n">
        <v>3</v>
      </c>
      <c r="AC657" t="n">
        <v>3</v>
      </c>
      <c r="AD657" t="n">
        <v>10</v>
      </c>
      <c r="AE657" t="n">
        <v>14</v>
      </c>
      <c r="AF657" t="n">
        <v>3</v>
      </c>
      <c r="AG657" t="n">
        <v>6</v>
      </c>
      <c r="AH657" t="n">
        <v>0</v>
      </c>
      <c r="AI657" t="n">
        <v>1</v>
      </c>
      <c r="AJ657" t="n">
        <v>5</v>
      </c>
      <c r="AK657" t="n">
        <v>6</v>
      </c>
      <c r="AL657" t="n">
        <v>2</v>
      </c>
      <c r="AM657" t="n">
        <v>2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HYPERLINK("http://catalog.hathitrust.org/Record/009510658","HathiTrust Record")</f>
        <v/>
      </c>
      <c r="AS657">
        <f>HYPERLINK("https://creighton-primo.hosted.exlibrisgroup.com/primo-explore/search?tab=default_tab&amp;search_scope=EVERYTHING&amp;vid=01CRU&amp;lang=en_US&amp;offset=0&amp;query=any,contains,991000290519702656","Catalog Record")</f>
        <v/>
      </c>
      <c r="AT657">
        <f>HYPERLINK("http://www.worldcat.org/oclc/9963051","WorldCat Record")</f>
        <v/>
      </c>
      <c r="AU657" t="inlineStr">
        <is>
          <t>796476994:eng</t>
        </is>
      </c>
      <c r="AV657" t="inlineStr">
        <is>
          <t>9963051</t>
        </is>
      </c>
      <c r="AW657" t="inlineStr">
        <is>
          <t>991000290519702656</t>
        </is>
      </c>
      <c r="AX657" t="inlineStr">
        <is>
          <t>991000290519702656</t>
        </is>
      </c>
      <c r="AY657" t="inlineStr">
        <is>
          <t>2266913810002656</t>
        </is>
      </c>
      <c r="AZ657" t="inlineStr">
        <is>
          <t>BOOK</t>
        </is>
      </c>
      <c r="BB657" t="inlineStr">
        <is>
          <t>9780689113963</t>
        </is>
      </c>
      <c r="BC657" t="inlineStr">
        <is>
          <t>32285000378181</t>
        </is>
      </c>
      <c r="BD657" t="inlineStr">
        <is>
          <t>893796546</t>
        </is>
      </c>
    </row>
    <row r="658">
      <c r="A658" t="inlineStr">
        <is>
          <t>No</t>
        </is>
      </c>
      <c r="B658" t="inlineStr">
        <is>
          <t>PS3513.I4 A7</t>
        </is>
      </c>
      <c r="C658" t="inlineStr">
        <is>
          <t>0                      PS 3513000I  4                  A  7</t>
        </is>
      </c>
      <c r="D658" t="inlineStr">
        <is>
          <t>Arctic venture; illustrated by Clifford N. Geary.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Gilbert, Kenneth, 1889-1973.</t>
        </is>
      </c>
      <c r="L658" t="inlineStr">
        <is>
          <t>New York, Holt [1950]</t>
        </is>
      </c>
      <c r="M658" t="inlineStr">
        <is>
          <t>1950</t>
        </is>
      </c>
      <c r="O658" t="inlineStr">
        <is>
          <t>eng</t>
        </is>
      </c>
      <c r="P658" t="inlineStr">
        <is>
          <t>nyu</t>
        </is>
      </c>
      <c r="R658" t="inlineStr">
        <is>
          <t xml:space="preserve">PS </t>
        </is>
      </c>
      <c r="S658" t="n">
        <v>3</v>
      </c>
      <c r="T658" t="n">
        <v>3</v>
      </c>
      <c r="U658" t="inlineStr">
        <is>
          <t>2000-01-20</t>
        </is>
      </c>
      <c r="V658" t="inlineStr">
        <is>
          <t>2000-01-20</t>
        </is>
      </c>
      <c r="W658" t="inlineStr">
        <is>
          <t>1997-06-05</t>
        </is>
      </c>
      <c r="X658" t="inlineStr">
        <is>
          <t>1997-06-05</t>
        </is>
      </c>
      <c r="Y658" t="n">
        <v>76</v>
      </c>
      <c r="Z658" t="n">
        <v>66</v>
      </c>
      <c r="AA658" t="n">
        <v>73</v>
      </c>
      <c r="AB658" t="n">
        <v>1</v>
      </c>
      <c r="AC658" t="n">
        <v>1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0</v>
      </c>
      <c r="AM658" t="n">
        <v>0</v>
      </c>
      <c r="AN658" t="n">
        <v>0</v>
      </c>
      <c r="AO658" t="n">
        <v>0</v>
      </c>
      <c r="AP658" t="inlineStr">
        <is>
          <t>No</t>
        </is>
      </c>
      <c r="AQ658" t="inlineStr">
        <is>
          <t>Yes</t>
        </is>
      </c>
      <c r="AR658">
        <f>HYPERLINK("http://catalog.hathitrust.org/Record/009926607","HathiTrust Record")</f>
        <v/>
      </c>
      <c r="AS658">
        <f>HYPERLINK("https://creighton-primo.hosted.exlibrisgroup.com/primo-explore/search?tab=default_tab&amp;search_scope=EVERYTHING&amp;vid=01CRU&amp;lang=en_US&amp;offset=0&amp;query=any,contains,991003857849702656","Catalog Record")</f>
        <v/>
      </c>
      <c r="AT658">
        <f>HYPERLINK("http://www.worldcat.org/oclc/1659263","WorldCat Record")</f>
        <v/>
      </c>
      <c r="AU658" t="inlineStr">
        <is>
          <t>2466441:eng</t>
        </is>
      </c>
      <c r="AV658" t="inlineStr">
        <is>
          <t>1659263</t>
        </is>
      </c>
      <c r="AW658" t="inlineStr">
        <is>
          <t>991003857849702656</t>
        </is>
      </c>
      <c r="AX658" t="inlineStr">
        <is>
          <t>991003857849702656</t>
        </is>
      </c>
      <c r="AY658" t="inlineStr">
        <is>
          <t>2257047660002656</t>
        </is>
      </c>
      <c r="AZ658" t="inlineStr">
        <is>
          <t>BOOK</t>
        </is>
      </c>
      <c r="BC658" t="inlineStr">
        <is>
          <t>32285002784055</t>
        </is>
      </c>
      <c r="BD658" t="inlineStr">
        <is>
          <t>893525321</t>
        </is>
      </c>
    </row>
    <row r="659">
      <c r="A659" t="inlineStr">
        <is>
          <t>No</t>
        </is>
      </c>
      <c r="B659" t="inlineStr">
        <is>
          <t>PS3513.I6437 S87</t>
        </is>
      </c>
      <c r="C659" t="inlineStr">
        <is>
          <t>0                      PS 3513000I  6437               S  87</t>
        </is>
      </c>
      <c r="D659" t="inlineStr">
        <is>
          <t>About those roses ; or, How not to do a play and succeed, and the text of The subject was roses / [by] Frank D. Gilroy.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Gilroy, Frank D. (Frank Daniel), 1925-2015.</t>
        </is>
      </c>
      <c r="L659" t="inlineStr">
        <is>
          <t>New York : Random House, [1965]</t>
        </is>
      </c>
      <c r="M659" t="inlineStr">
        <is>
          <t>1965</t>
        </is>
      </c>
      <c r="O659" t="inlineStr">
        <is>
          <t>eng</t>
        </is>
      </c>
      <c r="P659" t="inlineStr">
        <is>
          <t>nyu</t>
        </is>
      </c>
      <c r="R659" t="inlineStr">
        <is>
          <t xml:space="preserve">PS </t>
        </is>
      </c>
      <c r="S659" t="n">
        <v>6</v>
      </c>
      <c r="T659" t="n">
        <v>6</v>
      </c>
      <c r="U659" t="inlineStr">
        <is>
          <t>1993-05-02</t>
        </is>
      </c>
      <c r="V659" t="inlineStr">
        <is>
          <t>1993-05-02</t>
        </is>
      </c>
      <c r="W659" t="inlineStr">
        <is>
          <t>1993-03-15</t>
        </is>
      </c>
      <c r="X659" t="inlineStr">
        <is>
          <t>1993-03-15</t>
        </is>
      </c>
      <c r="Y659" t="n">
        <v>989</v>
      </c>
      <c r="Z659" t="n">
        <v>941</v>
      </c>
      <c r="AA659" t="n">
        <v>949</v>
      </c>
      <c r="AB659" t="n">
        <v>6</v>
      </c>
      <c r="AC659" t="n">
        <v>6</v>
      </c>
      <c r="AD659" t="n">
        <v>34</v>
      </c>
      <c r="AE659" t="n">
        <v>34</v>
      </c>
      <c r="AF659" t="n">
        <v>15</v>
      </c>
      <c r="AG659" t="n">
        <v>15</v>
      </c>
      <c r="AH659" t="n">
        <v>4</v>
      </c>
      <c r="AI659" t="n">
        <v>4</v>
      </c>
      <c r="AJ659" t="n">
        <v>14</v>
      </c>
      <c r="AK659" t="n">
        <v>14</v>
      </c>
      <c r="AL659" t="n">
        <v>5</v>
      </c>
      <c r="AM659" t="n">
        <v>5</v>
      </c>
      <c r="AN659" t="n">
        <v>0</v>
      </c>
      <c r="AO659" t="n">
        <v>0</v>
      </c>
      <c r="AP659" t="inlineStr">
        <is>
          <t>No</t>
        </is>
      </c>
      <c r="AQ659" t="inlineStr">
        <is>
          <t>Yes</t>
        </is>
      </c>
      <c r="AR659">
        <f>HYPERLINK("http://catalog.hathitrust.org/Record/001028592","HathiTrust Record")</f>
        <v/>
      </c>
      <c r="AS659">
        <f>HYPERLINK("https://creighton-primo.hosted.exlibrisgroup.com/primo-explore/search?tab=default_tab&amp;search_scope=EVERYTHING&amp;vid=01CRU&amp;lang=en_US&amp;offset=0&amp;query=any,contains,991001900039702656","Catalog Record")</f>
        <v/>
      </c>
      <c r="AT659">
        <f>HYPERLINK("http://www.worldcat.org/oclc/239174","WorldCat Record")</f>
        <v/>
      </c>
      <c r="AU659" t="inlineStr">
        <is>
          <t>3856762374:eng</t>
        </is>
      </c>
      <c r="AV659" t="inlineStr">
        <is>
          <t>239174</t>
        </is>
      </c>
      <c r="AW659" t="inlineStr">
        <is>
          <t>991001900039702656</t>
        </is>
      </c>
      <c r="AX659" t="inlineStr">
        <is>
          <t>991001900039702656</t>
        </is>
      </c>
      <c r="AY659" t="inlineStr">
        <is>
          <t>2256930400002656</t>
        </is>
      </c>
      <c r="AZ659" t="inlineStr">
        <is>
          <t>BOOK</t>
        </is>
      </c>
      <c r="BC659" t="inlineStr">
        <is>
          <t>32285001572543</t>
        </is>
      </c>
      <c r="BD659" t="inlineStr">
        <is>
          <t>893866562</t>
        </is>
      </c>
    </row>
    <row r="660">
      <c r="A660" t="inlineStr">
        <is>
          <t>No</t>
        </is>
      </c>
      <c r="B660" t="inlineStr">
        <is>
          <t>PS3513.I74 Z74</t>
        </is>
      </c>
      <c r="C660" t="inlineStr">
        <is>
          <t>0                      PS 3513000I  74                 Z  74</t>
        </is>
      </c>
      <c r="D660" t="inlineStr">
        <is>
          <t>Allen Ginsberg / by Thomas F. Merrill.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Yes</t>
        </is>
      </c>
      <c r="J660" t="inlineStr">
        <is>
          <t>0</t>
        </is>
      </c>
      <c r="K660" t="inlineStr">
        <is>
          <t>Merrill, Thomas F.</t>
        </is>
      </c>
      <c r="L660" t="inlineStr">
        <is>
          <t>New York : Twayne Publishers, [c1969]</t>
        </is>
      </c>
      <c r="M660" t="inlineStr">
        <is>
          <t>1969</t>
        </is>
      </c>
      <c r="O660" t="inlineStr">
        <is>
          <t>eng</t>
        </is>
      </c>
      <c r="P660" t="inlineStr">
        <is>
          <t>nyu</t>
        </is>
      </c>
      <c r="Q660" t="inlineStr">
        <is>
          <t>Twayne's United States author series, 161</t>
        </is>
      </c>
      <c r="R660" t="inlineStr">
        <is>
          <t xml:space="preserve">PS </t>
        </is>
      </c>
      <c r="S660" t="n">
        <v>11</v>
      </c>
      <c r="T660" t="n">
        <v>11</v>
      </c>
      <c r="U660" t="inlineStr">
        <is>
          <t>2000-05-01</t>
        </is>
      </c>
      <c r="V660" t="inlineStr">
        <is>
          <t>2000-05-01</t>
        </is>
      </c>
      <c r="W660" t="inlineStr">
        <is>
          <t>1990-02-19</t>
        </is>
      </c>
      <c r="X660" t="inlineStr">
        <is>
          <t>1990-02-19</t>
        </is>
      </c>
      <c r="Y660" t="n">
        <v>1136</v>
      </c>
      <c r="Z660" t="n">
        <v>1010</v>
      </c>
      <c r="AA660" t="n">
        <v>1430</v>
      </c>
      <c r="AB660" t="n">
        <v>10</v>
      </c>
      <c r="AC660" t="n">
        <v>12</v>
      </c>
      <c r="AD660" t="n">
        <v>38</v>
      </c>
      <c r="AE660" t="n">
        <v>51</v>
      </c>
      <c r="AF660" t="n">
        <v>14</v>
      </c>
      <c r="AG660" t="n">
        <v>22</v>
      </c>
      <c r="AH660" t="n">
        <v>8</v>
      </c>
      <c r="AI660" t="n">
        <v>9</v>
      </c>
      <c r="AJ660" t="n">
        <v>17</v>
      </c>
      <c r="AK660" t="n">
        <v>23</v>
      </c>
      <c r="AL660" t="n">
        <v>8</v>
      </c>
      <c r="AM660" t="n">
        <v>10</v>
      </c>
      <c r="AN660" t="n">
        <v>0</v>
      </c>
      <c r="AO660" t="n">
        <v>0</v>
      </c>
      <c r="AP660" t="inlineStr">
        <is>
          <t>No</t>
        </is>
      </c>
      <c r="AQ660" t="inlineStr">
        <is>
          <t>Yes</t>
        </is>
      </c>
      <c r="AR660">
        <f>HYPERLINK("http://catalog.hathitrust.org/Record/000393071","HathiTrust Record")</f>
        <v/>
      </c>
      <c r="AS660">
        <f>HYPERLINK("https://creighton-primo.hosted.exlibrisgroup.com/primo-explore/search?tab=default_tab&amp;search_scope=EVERYTHING&amp;vid=01CRU&amp;lang=en_US&amp;offset=0&amp;query=any,contains,991005352869702656","Catalog Record")</f>
        <v/>
      </c>
      <c r="AT660">
        <f>HYPERLINK("http://www.worldcat.org/oclc/53627","WorldCat Record")</f>
        <v/>
      </c>
      <c r="AU660" t="inlineStr">
        <is>
          <t>1178964:eng</t>
        </is>
      </c>
      <c r="AV660" t="inlineStr">
        <is>
          <t>53627</t>
        </is>
      </c>
      <c r="AW660" t="inlineStr">
        <is>
          <t>991005352869702656</t>
        </is>
      </c>
      <c r="AX660" t="inlineStr">
        <is>
          <t>991005352869702656</t>
        </is>
      </c>
      <c r="AY660" t="inlineStr">
        <is>
          <t>2257414440002656</t>
        </is>
      </c>
      <c r="AZ660" t="inlineStr">
        <is>
          <t>BOOK</t>
        </is>
      </c>
      <c r="BC660" t="inlineStr">
        <is>
          <t>32285000042530</t>
        </is>
      </c>
      <c r="BD660" t="inlineStr">
        <is>
          <t>893796018</t>
        </is>
      </c>
    </row>
    <row r="661">
      <c r="A661" t="inlineStr">
        <is>
          <t>No</t>
        </is>
      </c>
      <c r="B661" t="inlineStr">
        <is>
          <t>PS3513.L34 Z9 1982</t>
        </is>
      </c>
      <c r="C661" t="inlineStr">
        <is>
          <t>0                      PS 3513000L  34                 Z  9           1982</t>
        </is>
      </c>
      <c r="D661" t="inlineStr">
        <is>
          <t>Ellen Glasgow / Marcelle Thiebaux.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Thiébaux, Marcelle.</t>
        </is>
      </c>
      <c r="L661" t="inlineStr">
        <is>
          <t>New York : F. Ungar Pub. Co., c1982.</t>
        </is>
      </c>
      <c r="M661" t="inlineStr">
        <is>
          <t>1982</t>
        </is>
      </c>
      <c r="O661" t="inlineStr">
        <is>
          <t>eng</t>
        </is>
      </c>
      <c r="P661" t="inlineStr">
        <is>
          <t>nyu</t>
        </is>
      </c>
      <c r="Q661" t="inlineStr">
        <is>
          <t>Modern literature series</t>
        </is>
      </c>
      <c r="R661" t="inlineStr">
        <is>
          <t xml:space="preserve">PS </t>
        </is>
      </c>
      <c r="S661" t="n">
        <v>1</v>
      </c>
      <c r="T661" t="n">
        <v>1</v>
      </c>
      <c r="U661" t="inlineStr">
        <is>
          <t>1992-04-09</t>
        </is>
      </c>
      <c r="V661" t="inlineStr">
        <is>
          <t>1992-04-09</t>
        </is>
      </c>
      <c r="W661" t="inlineStr">
        <is>
          <t>1990-11-13</t>
        </is>
      </c>
      <c r="X661" t="inlineStr">
        <is>
          <t>1990-11-13</t>
        </is>
      </c>
      <c r="Y661" t="n">
        <v>696</v>
      </c>
      <c r="Z661" t="n">
        <v>634</v>
      </c>
      <c r="AA661" t="n">
        <v>641</v>
      </c>
      <c r="AB661" t="n">
        <v>5</v>
      </c>
      <c r="AC661" t="n">
        <v>5</v>
      </c>
      <c r="AD661" t="n">
        <v>29</v>
      </c>
      <c r="AE661" t="n">
        <v>29</v>
      </c>
      <c r="AF661" t="n">
        <v>15</v>
      </c>
      <c r="AG661" t="n">
        <v>15</v>
      </c>
      <c r="AH661" t="n">
        <v>7</v>
      </c>
      <c r="AI661" t="n">
        <v>7</v>
      </c>
      <c r="AJ661" t="n">
        <v>13</v>
      </c>
      <c r="AK661" t="n">
        <v>13</v>
      </c>
      <c r="AL661" t="n">
        <v>4</v>
      </c>
      <c r="AM661" t="n">
        <v>4</v>
      </c>
      <c r="AN661" t="n">
        <v>0</v>
      </c>
      <c r="AO661" t="n">
        <v>0</v>
      </c>
      <c r="AP661" t="inlineStr">
        <is>
          <t>No</t>
        </is>
      </c>
      <c r="AQ661" t="inlineStr">
        <is>
          <t>Yes</t>
        </is>
      </c>
      <c r="AR661">
        <f>HYPERLINK("http://catalog.hathitrust.org/Record/000189670","HathiTrust Record")</f>
        <v/>
      </c>
      <c r="AS661">
        <f>HYPERLINK("https://creighton-primo.hosted.exlibrisgroup.com/primo-explore/search?tab=default_tab&amp;search_scope=EVERYTHING&amp;vid=01CRU&amp;lang=en_US&amp;offset=0&amp;query=any,contains,991005221059702656","Catalog Record")</f>
        <v/>
      </c>
      <c r="AT661">
        <f>HYPERLINK("http://www.worldcat.org/oclc/8222609","WorldCat Record")</f>
        <v/>
      </c>
      <c r="AU661" t="inlineStr">
        <is>
          <t>457966:eng</t>
        </is>
      </c>
      <c r="AV661" t="inlineStr">
        <is>
          <t>8222609</t>
        </is>
      </c>
      <c r="AW661" t="inlineStr">
        <is>
          <t>991005221059702656</t>
        </is>
      </c>
      <c r="AX661" t="inlineStr">
        <is>
          <t>991005221059702656</t>
        </is>
      </c>
      <c r="AY661" t="inlineStr">
        <is>
          <t>2266774880002656</t>
        </is>
      </c>
      <c r="AZ661" t="inlineStr">
        <is>
          <t>BOOK</t>
        </is>
      </c>
      <c r="BB661" t="inlineStr">
        <is>
          <t>9780804428729</t>
        </is>
      </c>
      <c r="BC661" t="inlineStr">
        <is>
          <t>32285000378215</t>
        </is>
      </c>
      <c r="BD661" t="inlineStr">
        <is>
          <t>893514250</t>
        </is>
      </c>
    </row>
    <row r="662">
      <c r="A662" t="inlineStr">
        <is>
          <t>No</t>
        </is>
      </c>
      <c r="B662" t="inlineStr">
        <is>
          <t>PS3513.L35 Z59 1979</t>
        </is>
      </c>
      <c r="C662" t="inlineStr">
        <is>
          <t>0                      PS 3513000L  35                 Z  59          1979</t>
        </is>
      </c>
      <c r="D662" t="inlineStr">
        <is>
          <t>Susan Glaspell und die Provincetown players : d. Anfänge d. modernen amerikan. Dramas u. Theaters / Gerhard Bach.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Bach, Gerhard, 1943-</t>
        </is>
      </c>
      <c r="L662" t="inlineStr">
        <is>
          <t>Frankfurt am Main ; Bern ; Cirencester/U.K. : Lang, 1979.</t>
        </is>
      </c>
      <c r="M662" t="inlineStr">
        <is>
          <t>1979</t>
        </is>
      </c>
      <c r="O662" t="inlineStr">
        <is>
          <t>ger</t>
        </is>
      </c>
      <c r="P662" t="inlineStr">
        <is>
          <t xml:space="preserve">gw </t>
        </is>
      </c>
      <c r="Q662" t="inlineStr">
        <is>
          <t>Europäische Hochschulschriften : Reihe 14, Angelsächsische Sprache und Literatur ; Bd. 70</t>
        </is>
      </c>
      <c r="R662" t="inlineStr">
        <is>
          <t xml:space="preserve">PS </t>
        </is>
      </c>
      <c r="S662" t="n">
        <v>2</v>
      </c>
      <c r="T662" t="n">
        <v>2</v>
      </c>
      <c r="U662" t="inlineStr">
        <is>
          <t>2000-03-21</t>
        </is>
      </c>
      <c r="V662" t="inlineStr">
        <is>
          <t>2000-03-21</t>
        </is>
      </c>
      <c r="W662" t="inlineStr">
        <is>
          <t>1990-06-06</t>
        </is>
      </c>
      <c r="X662" t="inlineStr">
        <is>
          <t>1990-06-06</t>
        </is>
      </c>
      <c r="Y662" t="n">
        <v>60</v>
      </c>
      <c r="Z662" t="n">
        <v>27</v>
      </c>
      <c r="AA662" t="n">
        <v>28</v>
      </c>
      <c r="AB662" t="n">
        <v>1</v>
      </c>
      <c r="AC662" t="n">
        <v>1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0</v>
      </c>
      <c r="AM662" t="n">
        <v>0</v>
      </c>
      <c r="AN662" t="n">
        <v>0</v>
      </c>
      <c r="AO662" t="n">
        <v>0</v>
      </c>
      <c r="AP662" t="inlineStr">
        <is>
          <t>No</t>
        </is>
      </c>
      <c r="AQ662" t="inlineStr">
        <is>
          <t>Yes</t>
        </is>
      </c>
      <c r="AR662">
        <f>HYPERLINK("http://catalog.hathitrust.org/Record/000087106","HathiTrust Record")</f>
        <v/>
      </c>
      <c r="AS662">
        <f>HYPERLINK("https://creighton-primo.hosted.exlibrisgroup.com/primo-explore/search?tab=default_tab&amp;search_scope=EVERYTHING&amp;vid=01CRU&amp;lang=en_US&amp;offset=0&amp;query=any,contains,991005045089702656","Catalog Record")</f>
        <v/>
      </c>
      <c r="AT662">
        <f>HYPERLINK("http://www.worldcat.org/oclc/6816245","WorldCat Record")</f>
        <v/>
      </c>
      <c r="AU662" t="inlineStr">
        <is>
          <t>23921281:ger</t>
        </is>
      </c>
      <c r="AV662" t="inlineStr">
        <is>
          <t>6816245</t>
        </is>
      </c>
      <c r="AW662" t="inlineStr">
        <is>
          <t>991005045089702656</t>
        </is>
      </c>
      <c r="AX662" t="inlineStr">
        <is>
          <t>991005045089702656</t>
        </is>
      </c>
      <c r="AY662" t="inlineStr">
        <is>
          <t>2258420920002656</t>
        </is>
      </c>
      <c r="AZ662" t="inlineStr">
        <is>
          <t>BOOK</t>
        </is>
      </c>
      <c r="BB662" t="inlineStr">
        <is>
          <t>9783820465495</t>
        </is>
      </c>
      <c r="BC662" t="inlineStr">
        <is>
          <t>32285000183011</t>
        </is>
      </c>
      <c r="BD662" t="inlineStr">
        <is>
          <t>893526806</t>
        </is>
      </c>
    </row>
    <row r="663">
      <c r="A663" t="inlineStr">
        <is>
          <t>No</t>
        </is>
      </c>
      <c r="B663" t="inlineStr">
        <is>
          <t>PS3513.L35 Z93</t>
        </is>
      </c>
      <c r="C663" t="inlineStr">
        <is>
          <t>0                      PS 3513000L  35                 Z  93</t>
        </is>
      </c>
      <c r="D663" t="inlineStr">
        <is>
          <t>Susan Glaspell / by Arthur E. Waterman.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Waterman, Arthur E., 1926-</t>
        </is>
      </c>
      <c r="L663" t="inlineStr">
        <is>
          <t>New York : Twayne Publishers, [1966]</t>
        </is>
      </c>
      <c r="M663" t="inlineStr">
        <is>
          <t>1966</t>
        </is>
      </c>
      <c r="O663" t="inlineStr">
        <is>
          <t>eng</t>
        </is>
      </c>
      <c r="P663" t="inlineStr">
        <is>
          <t>nyu</t>
        </is>
      </c>
      <c r="Q663" t="inlineStr">
        <is>
          <t>Twayne's United States authors series, 101</t>
        </is>
      </c>
      <c r="R663" t="inlineStr">
        <is>
          <t xml:space="preserve">PS </t>
        </is>
      </c>
      <c r="S663" t="n">
        <v>4</v>
      </c>
      <c r="T663" t="n">
        <v>4</v>
      </c>
      <c r="U663" t="inlineStr">
        <is>
          <t>1998-03-29</t>
        </is>
      </c>
      <c r="V663" t="inlineStr">
        <is>
          <t>1998-03-29</t>
        </is>
      </c>
      <c r="W663" t="inlineStr">
        <is>
          <t>1993-08-09</t>
        </is>
      </c>
      <c r="X663" t="inlineStr">
        <is>
          <t>1993-08-09</t>
        </is>
      </c>
      <c r="Y663" t="n">
        <v>1089</v>
      </c>
      <c r="Z663" t="n">
        <v>991</v>
      </c>
      <c r="AA663" t="n">
        <v>1148</v>
      </c>
      <c r="AB663" t="n">
        <v>11</v>
      </c>
      <c r="AC663" t="n">
        <v>14</v>
      </c>
      <c r="AD663" t="n">
        <v>49</v>
      </c>
      <c r="AE663" t="n">
        <v>52</v>
      </c>
      <c r="AF663" t="n">
        <v>22</v>
      </c>
      <c r="AG663" t="n">
        <v>23</v>
      </c>
      <c r="AH663" t="n">
        <v>9</v>
      </c>
      <c r="AI663" t="n">
        <v>9</v>
      </c>
      <c r="AJ663" t="n">
        <v>22</v>
      </c>
      <c r="AK663" t="n">
        <v>22</v>
      </c>
      <c r="AL663" t="n">
        <v>9</v>
      </c>
      <c r="AM663" t="n">
        <v>11</v>
      </c>
      <c r="AN663" t="n">
        <v>0</v>
      </c>
      <c r="AO663" t="n">
        <v>0</v>
      </c>
      <c r="AP663" t="inlineStr">
        <is>
          <t>No</t>
        </is>
      </c>
      <c r="AQ663" t="inlineStr">
        <is>
          <t>Yes</t>
        </is>
      </c>
      <c r="AR663">
        <f>HYPERLINK("http://catalog.hathitrust.org/Record/000434603","HathiTrust Record")</f>
        <v/>
      </c>
      <c r="AS663">
        <f>HYPERLINK("https://creighton-primo.hosted.exlibrisgroup.com/primo-explore/search?tab=default_tab&amp;search_scope=EVERYTHING&amp;vid=01CRU&amp;lang=en_US&amp;offset=0&amp;query=any,contains,991003182389702656","Catalog Record")</f>
        <v/>
      </c>
      <c r="AT663">
        <f>HYPERLINK("http://www.worldcat.org/oclc/711987","WorldCat Record")</f>
        <v/>
      </c>
      <c r="AU663" t="inlineStr">
        <is>
          <t>1661890:eng</t>
        </is>
      </c>
      <c r="AV663" t="inlineStr">
        <is>
          <t>711987</t>
        </is>
      </c>
      <c r="AW663" t="inlineStr">
        <is>
          <t>991003182389702656</t>
        </is>
      </c>
      <c r="AX663" t="inlineStr">
        <is>
          <t>991003182389702656</t>
        </is>
      </c>
      <c r="AY663" t="inlineStr">
        <is>
          <t>2261878740002656</t>
        </is>
      </c>
      <c r="AZ663" t="inlineStr">
        <is>
          <t>BOOK</t>
        </is>
      </c>
      <c r="BC663" t="inlineStr">
        <is>
          <t>32285001751485</t>
        </is>
      </c>
      <c r="BD663" t="inlineStr">
        <is>
          <t>893530916</t>
        </is>
      </c>
    </row>
    <row r="664">
      <c r="A664" t="inlineStr">
        <is>
          <t>No</t>
        </is>
      </c>
      <c r="B664" t="inlineStr">
        <is>
          <t>PS3513.O28 F6 1927</t>
        </is>
      </c>
      <c r="C664" t="inlineStr">
        <is>
          <t>0                      PS 3513000O  28                 F  6           1927</t>
        </is>
      </c>
      <c r="D664" t="inlineStr">
        <is>
          <t>Folklore and fairy plays, by Charles Buxton Going.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Going, Charles Buxton, 1863-1952.</t>
        </is>
      </c>
      <c r="L664" t="inlineStr">
        <is>
          <t>Boston, Walter H. Baker Co. [1927]</t>
        </is>
      </c>
      <c r="M664" t="inlineStr">
        <is>
          <t>1927</t>
        </is>
      </c>
      <c r="O664" t="inlineStr">
        <is>
          <t>eng</t>
        </is>
      </c>
      <c r="P664" t="inlineStr">
        <is>
          <t>mau</t>
        </is>
      </c>
      <c r="R664" t="inlineStr">
        <is>
          <t xml:space="preserve">PS </t>
        </is>
      </c>
      <c r="S664" t="n">
        <v>1</v>
      </c>
      <c r="T664" t="n">
        <v>1</v>
      </c>
      <c r="U664" t="inlineStr">
        <is>
          <t>2003-05-21</t>
        </is>
      </c>
      <c r="V664" t="inlineStr">
        <is>
          <t>2003-05-21</t>
        </is>
      </c>
      <c r="W664" t="inlineStr">
        <is>
          <t>1997-06-05</t>
        </is>
      </c>
      <c r="X664" t="inlineStr">
        <is>
          <t>1997-06-05</t>
        </is>
      </c>
      <c r="Y664" t="n">
        <v>182</v>
      </c>
      <c r="Z664" t="n">
        <v>177</v>
      </c>
      <c r="AA664" t="n">
        <v>186</v>
      </c>
      <c r="AB664" t="n">
        <v>3</v>
      </c>
      <c r="AC664" t="n">
        <v>3</v>
      </c>
      <c r="AD664" t="n">
        <v>10</v>
      </c>
      <c r="AE664" t="n">
        <v>10</v>
      </c>
      <c r="AF664" t="n">
        <v>1</v>
      </c>
      <c r="AG664" t="n">
        <v>1</v>
      </c>
      <c r="AH664" t="n">
        <v>4</v>
      </c>
      <c r="AI664" t="n">
        <v>4</v>
      </c>
      <c r="AJ664" t="n">
        <v>4</v>
      </c>
      <c r="AK664" t="n">
        <v>4</v>
      </c>
      <c r="AL664" t="n">
        <v>2</v>
      </c>
      <c r="AM664" t="n">
        <v>2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R664">
        <f>HYPERLINK("http://catalog.hathitrust.org/Record/006607580","HathiTrust Record")</f>
        <v/>
      </c>
      <c r="AS664">
        <f>HYPERLINK("https://creighton-primo.hosted.exlibrisgroup.com/primo-explore/search?tab=default_tab&amp;search_scope=EVERYTHING&amp;vid=01CRU&amp;lang=en_US&amp;offset=0&amp;query=any,contains,991002380339702656","Catalog Record")</f>
        <v/>
      </c>
      <c r="AT664">
        <f>HYPERLINK("http://www.worldcat.org/oclc/328174","WorldCat Record")</f>
        <v/>
      </c>
      <c r="AU664" t="inlineStr">
        <is>
          <t>141350007:eng</t>
        </is>
      </c>
      <c r="AV664" t="inlineStr">
        <is>
          <t>328174</t>
        </is>
      </c>
      <c r="AW664" t="inlineStr">
        <is>
          <t>991002380339702656</t>
        </is>
      </c>
      <c r="AX664" t="inlineStr">
        <is>
          <t>991002380339702656</t>
        </is>
      </c>
      <c r="AY664" t="inlineStr">
        <is>
          <t>2271532560002656</t>
        </is>
      </c>
      <c r="AZ664" t="inlineStr">
        <is>
          <t>BOOK</t>
        </is>
      </c>
      <c r="BC664" t="inlineStr">
        <is>
          <t>32285002784246</t>
        </is>
      </c>
      <c r="BD664" t="inlineStr">
        <is>
          <t>893773547</t>
        </is>
      </c>
    </row>
    <row r="665">
      <c r="A665" t="inlineStr">
        <is>
          <t>No</t>
        </is>
      </c>
      <c r="B665" t="inlineStr">
        <is>
          <t>PS3513.O8 R4</t>
        </is>
      </c>
      <c r="C665" t="inlineStr">
        <is>
          <t>0                      PS 3513000O  8                  R  4</t>
        </is>
      </c>
      <c r="D665" t="inlineStr">
        <is>
          <t>The redemption of David Corson, by Charles Frederic Goss.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Goss, Charles Frederic, 1852-1930.</t>
        </is>
      </c>
      <c r="L665" t="inlineStr">
        <is>
          <t>Indianapolis, The Bowen-Merrill Company, [c1900]</t>
        </is>
      </c>
      <c r="M665" t="inlineStr">
        <is>
          <t>1900</t>
        </is>
      </c>
      <c r="O665" t="inlineStr">
        <is>
          <t>eng</t>
        </is>
      </c>
      <c r="P665" t="inlineStr">
        <is>
          <t>inu</t>
        </is>
      </c>
      <c r="R665" t="inlineStr">
        <is>
          <t xml:space="preserve">PS </t>
        </is>
      </c>
      <c r="S665" t="n">
        <v>0</v>
      </c>
      <c r="T665" t="n">
        <v>0</v>
      </c>
      <c r="U665" t="inlineStr">
        <is>
          <t>2001-06-01</t>
        </is>
      </c>
      <c r="V665" t="inlineStr">
        <is>
          <t>2001-06-01</t>
        </is>
      </c>
      <c r="W665" t="inlineStr">
        <is>
          <t>1997-06-05</t>
        </is>
      </c>
      <c r="X665" t="inlineStr">
        <is>
          <t>1997-06-05</t>
        </is>
      </c>
      <c r="Y665" t="n">
        <v>98</v>
      </c>
      <c r="Z665" t="n">
        <v>94</v>
      </c>
      <c r="AA665" t="n">
        <v>213</v>
      </c>
      <c r="AB665" t="n">
        <v>1</v>
      </c>
      <c r="AC665" t="n">
        <v>2</v>
      </c>
      <c r="AD665" t="n">
        <v>1</v>
      </c>
      <c r="AE665" t="n">
        <v>4</v>
      </c>
      <c r="AF665" t="n">
        <v>0</v>
      </c>
      <c r="AG665" t="n">
        <v>0</v>
      </c>
      <c r="AH665" t="n">
        <v>0</v>
      </c>
      <c r="AI665" t="n">
        <v>2</v>
      </c>
      <c r="AJ665" t="n">
        <v>1</v>
      </c>
      <c r="AK665" t="n">
        <v>1</v>
      </c>
      <c r="AL665" t="n">
        <v>0</v>
      </c>
      <c r="AM665" t="n">
        <v>1</v>
      </c>
      <c r="AN665" t="n">
        <v>0</v>
      </c>
      <c r="AO665" t="n">
        <v>0</v>
      </c>
      <c r="AP665" t="inlineStr">
        <is>
          <t>Yes</t>
        </is>
      </c>
      <c r="AQ665" t="inlineStr">
        <is>
          <t>No</t>
        </is>
      </c>
      <c r="AR665">
        <f>HYPERLINK("http://catalog.hathitrust.org/Record/000779319","HathiTrust Record")</f>
        <v/>
      </c>
      <c r="AS665">
        <f>HYPERLINK("https://creighton-primo.hosted.exlibrisgroup.com/primo-explore/search?tab=default_tab&amp;search_scope=EVERYTHING&amp;vid=01CRU&amp;lang=en_US&amp;offset=0&amp;query=any,contains,991005069569702656","Catalog Record")</f>
        <v/>
      </c>
      <c r="AT665">
        <f>HYPERLINK("http://www.worldcat.org/oclc/7002622","WorldCat Record")</f>
        <v/>
      </c>
      <c r="AU665" t="inlineStr">
        <is>
          <t>2045448:eng</t>
        </is>
      </c>
      <c r="AV665" t="inlineStr">
        <is>
          <t>7002622</t>
        </is>
      </c>
      <c r="AW665" t="inlineStr">
        <is>
          <t>991005069569702656</t>
        </is>
      </c>
      <c r="AX665" t="inlineStr">
        <is>
          <t>991005069569702656</t>
        </is>
      </c>
      <c r="AY665" t="inlineStr">
        <is>
          <t>2270508390002656</t>
        </is>
      </c>
      <c r="AZ665" t="inlineStr">
        <is>
          <t>BOOK</t>
        </is>
      </c>
      <c r="BC665" t="inlineStr">
        <is>
          <t>32285002784295</t>
        </is>
      </c>
      <c r="BD665" t="inlineStr">
        <is>
          <t>893443348</t>
        </is>
      </c>
    </row>
    <row r="666">
      <c r="A666" t="inlineStr">
        <is>
          <t>No</t>
        </is>
      </c>
      <c r="B666" t="inlineStr">
        <is>
          <t>PS3513.R6545 Z69 1989</t>
        </is>
      </c>
      <c r="C666" t="inlineStr">
        <is>
          <t>0                      PS 3513000R  6545               Z  69          1989</t>
        </is>
      </c>
      <c r="D666" t="inlineStr">
        <is>
          <t>Zane Grey / by Carlton Jackson.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Yes</t>
        </is>
      </c>
      <c r="J666" t="inlineStr">
        <is>
          <t>0</t>
        </is>
      </c>
      <c r="K666" t="inlineStr">
        <is>
          <t>Jackson, Carlton, 1933-2014.</t>
        </is>
      </c>
      <c r="L666" t="inlineStr">
        <is>
          <t>Boston, Mass. : Twayne Publishers, c1989.</t>
        </is>
      </c>
      <c r="M666" t="inlineStr">
        <is>
          <t>1989</t>
        </is>
      </c>
      <c r="N666" t="inlineStr">
        <is>
          <t>Rev. ed.</t>
        </is>
      </c>
      <c r="O666" t="inlineStr">
        <is>
          <t>eng</t>
        </is>
      </c>
      <c r="P666" t="inlineStr">
        <is>
          <t>mau</t>
        </is>
      </c>
      <c r="Q666" t="inlineStr">
        <is>
          <t>Twayne's United States authors series ; TUSAS 218</t>
        </is>
      </c>
      <c r="R666" t="inlineStr">
        <is>
          <t xml:space="preserve">PS </t>
        </is>
      </c>
      <c r="S666" t="n">
        <v>4</v>
      </c>
      <c r="T666" t="n">
        <v>4</v>
      </c>
      <c r="U666" t="inlineStr">
        <is>
          <t>1996-09-03</t>
        </is>
      </c>
      <c r="V666" t="inlineStr">
        <is>
          <t>1996-09-03</t>
        </is>
      </c>
      <c r="W666" t="inlineStr">
        <is>
          <t>1990-11-13</t>
        </is>
      </c>
      <c r="X666" t="inlineStr">
        <is>
          <t>1990-11-13</t>
        </is>
      </c>
      <c r="Y666" t="n">
        <v>595</v>
      </c>
      <c r="Z666" t="n">
        <v>541</v>
      </c>
      <c r="AA666" t="n">
        <v>1109</v>
      </c>
      <c r="AB666" t="n">
        <v>6</v>
      </c>
      <c r="AC666" t="n">
        <v>8</v>
      </c>
      <c r="AD666" t="n">
        <v>22</v>
      </c>
      <c r="AE666" t="n">
        <v>37</v>
      </c>
      <c r="AF666" t="n">
        <v>6</v>
      </c>
      <c r="AG666" t="n">
        <v>13</v>
      </c>
      <c r="AH666" t="n">
        <v>3</v>
      </c>
      <c r="AI666" t="n">
        <v>6</v>
      </c>
      <c r="AJ666" t="n">
        <v>13</v>
      </c>
      <c r="AK666" t="n">
        <v>19</v>
      </c>
      <c r="AL666" t="n">
        <v>5</v>
      </c>
      <c r="AM666" t="n">
        <v>6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HYPERLINK("http://catalog.hathitrust.org/Record/001534071","HathiTrust Record")</f>
        <v/>
      </c>
      <c r="AS666">
        <f>HYPERLINK("https://creighton-primo.hosted.exlibrisgroup.com/primo-explore/search?tab=default_tab&amp;search_scope=EVERYTHING&amp;vid=01CRU&amp;lang=en_US&amp;offset=0&amp;query=any,contains,991001429389702656","Catalog Record")</f>
        <v/>
      </c>
      <c r="AT666">
        <f>HYPERLINK("http://www.worldcat.org/oclc/19067731","WorldCat Record")</f>
        <v/>
      </c>
      <c r="AU666" t="inlineStr">
        <is>
          <t>770174854:eng</t>
        </is>
      </c>
      <c r="AV666" t="inlineStr">
        <is>
          <t>19067731</t>
        </is>
      </c>
      <c r="AW666" t="inlineStr">
        <is>
          <t>991001429389702656</t>
        </is>
      </c>
      <c r="AX666" t="inlineStr">
        <is>
          <t>991001429389702656</t>
        </is>
      </c>
      <c r="AY666" t="inlineStr">
        <is>
          <t>2256629780002656</t>
        </is>
      </c>
      <c r="AZ666" t="inlineStr">
        <is>
          <t>BOOK</t>
        </is>
      </c>
      <c r="BB666" t="inlineStr">
        <is>
          <t>9780805775433</t>
        </is>
      </c>
      <c r="BC666" t="inlineStr">
        <is>
          <t>32285000378330</t>
        </is>
      </c>
      <c r="BD666" t="inlineStr">
        <is>
          <t>893231994</t>
        </is>
      </c>
    </row>
    <row r="667">
      <c r="A667" t="inlineStr">
        <is>
          <t>No</t>
        </is>
      </c>
      <c r="B667" t="inlineStr">
        <is>
          <t>PS3515.A425 F7 1971</t>
        </is>
      </c>
      <c r="C667" t="inlineStr">
        <is>
          <t>0                      PS 3515000A  425                F  7           1971</t>
        </is>
      </c>
      <c r="D667" t="inlineStr">
        <is>
          <t>Four gardens. New Haven, Yale University Press, 1920.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Hamilton, David Osborne.</t>
        </is>
      </c>
      <c r="L667" t="inlineStr">
        <is>
          <t>[New York, AMS Press, 1971]</t>
        </is>
      </c>
      <c r="M667" t="inlineStr">
        <is>
          <t>1971</t>
        </is>
      </c>
      <c r="O667" t="inlineStr">
        <is>
          <t>eng</t>
        </is>
      </c>
      <c r="P667" t="inlineStr">
        <is>
          <t>nyu</t>
        </is>
      </c>
      <c r="R667" t="inlineStr">
        <is>
          <t xml:space="preserve">PS </t>
        </is>
      </c>
      <c r="S667" t="n">
        <v>1</v>
      </c>
      <c r="T667" t="n">
        <v>1</v>
      </c>
      <c r="U667" t="inlineStr">
        <is>
          <t>2001-09-16</t>
        </is>
      </c>
      <c r="V667" t="inlineStr">
        <is>
          <t>2001-09-16</t>
        </is>
      </c>
      <c r="W667" t="inlineStr">
        <is>
          <t>1997-06-06</t>
        </is>
      </c>
      <c r="X667" t="inlineStr">
        <is>
          <t>1997-06-06</t>
        </is>
      </c>
      <c r="Y667" t="n">
        <v>123</v>
      </c>
      <c r="Z667" t="n">
        <v>109</v>
      </c>
      <c r="AA667" t="n">
        <v>279</v>
      </c>
      <c r="AB667" t="n">
        <v>4</v>
      </c>
      <c r="AC667" t="n">
        <v>4</v>
      </c>
      <c r="AD667" t="n">
        <v>6</v>
      </c>
      <c r="AE667" t="n">
        <v>13</v>
      </c>
      <c r="AF667" t="n">
        <v>0</v>
      </c>
      <c r="AG667" t="n">
        <v>2</v>
      </c>
      <c r="AH667" t="n">
        <v>0</v>
      </c>
      <c r="AI667" t="n">
        <v>5</v>
      </c>
      <c r="AJ667" t="n">
        <v>3</v>
      </c>
      <c r="AK667" t="n">
        <v>5</v>
      </c>
      <c r="AL667" t="n">
        <v>3</v>
      </c>
      <c r="AM667" t="n">
        <v>3</v>
      </c>
      <c r="AN667" t="n">
        <v>0</v>
      </c>
      <c r="AO667" t="n">
        <v>0</v>
      </c>
      <c r="AP667" t="inlineStr">
        <is>
          <t>No</t>
        </is>
      </c>
      <c r="AQ667" t="inlineStr">
        <is>
          <t>Yes</t>
        </is>
      </c>
      <c r="AR667">
        <f>HYPERLINK("http://catalog.hathitrust.org/Record/100151275","HathiTrust Record")</f>
        <v/>
      </c>
      <c r="AS667">
        <f>HYPERLINK("https://creighton-primo.hosted.exlibrisgroup.com/primo-explore/search?tab=default_tab&amp;search_scope=EVERYTHING&amp;vid=01CRU&amp;lang=en_US&amp;offset=0&amp;query=any,contains,991002465669702656","Catalog Record")</f>
        <v/>
      </c>
      <c r="AT667">
        <f>HYPERLINK("http://www.worldcat.org/oclc/357580","WorldCat Record")</f>
        <v/>
      </c>
      <c r="AU667" t="inlineStr">
        <is>
          <t>1404286:eng</t>
        </is>
      </c>
      <c r="AV667" t="inlineStr">
        <is>
          <t>357580</t>
        </is>
      </c>
      <c r="AW667" t="inlineStr">
        <is>
          <t>991002465669702656</t>
        </is>
      </c>
      <c r="AX667" t="inlineStr">
        <is>
          <t>991002465669702656</t>
        </is>
      </c>
      <c r="AY667" t="inlineStr">
        <is>
          <t>2262958540002656</t>
        </is>
      </c>
      <c r="AZ667" t="inlineStr">
        <is>
          <t>BOOK</t>
        </is>
      </c>
      <c r="BB667" t="inlineStr">
        <is>
          <t>9780404538033</t>
        </is>
      </c>
      <c r="BC667" t="inlineStr">
        <is>
          <t>32285002784527</t>
        </is>
      </c>
      <c r="BD667" t="inlineStr">
        <is>
          <t>893523648</t>
        </is>
      </c>
    </row>
    <row r="668">
      <c r="A668" t="inlineStr">
        <is>
          <t>No</t>
        </is>
      </c>
      <c r="B668" t="inlineStr">
        <is>
          <t>PS3515.A4347 Z72 1983</t>
        </is>
      </c>
      <c r="C668" t="inlineStr">
        <is>
          <t>0                      PS 3515000A  4347               Z  72          1983</t>
        </is>
      </c>
      <c r="D668" t="inlineStr">
        <is>
          <t>Dashiell Hammett, a life / Diane Johnson.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K668" t="inlineStr">
        <is>
          <t>Johnson, Diane.</t>
        </is>
      </c>
      <c r="L668" t="inlineStr">
        <is>
          <t>New York : Random House, c1983.</t>
        </is>
      </c>
      <c r="M668" t="inlineStr">
        <is>
          <t>1983</t>
        </is>
      </c>
      <c r="N668" t="inlineStr">
        <is>
          <t>1st ed.</t>
        </is>
      </c>
      <c r="O668" t="inlineStr">
        <is>
          <t>eng</t>
        </is>
      </c>
      <c r="P668" t="inlineStr">
        <is>
          <t>nyu</t>
        </is>
      </c>
      <c r="R668" t="inlineStr">
        <is>
          <t xml:space="preserve">PS </t>
        </is>
      </c>
      <c r="S668" t="n">
        <v>3</v>
      </c>
      <c r="T668" t="n">
        <v>3</v>
      </c>
      <c r="U668" t="inlineStr">
        <is>
          <t>1992-01-02</t>
        </is>
      </c>
      <c r="V668" t="inlineStr">
        <is>
          <t>1992-01-02</t>
        </is>
      </c>
      <c r="W668" t="inlineStr">
        <is>
          <t>1990-11-13</t>
        </is>
      </c>
      <c r="X668" t="inlineStr">
        <is>
          <t>1990-11-13</t>
        </is>
      </c>
      <c r="Y668" t="n">
        <v>1155</v>
      </c>
      <c r="Z668" t="n">
        <v>1064</v>
      </c>
      <c r="AA668" t="n">
        <v>1131</v>
      </c>
      <c r="AB668" t="n">
        <v>10</v>
      </c>
      <c r="AC668" t="n">
        <v>10</v>
      </c>
      <c r="AD668" t="n">
        <v>31</v>
      </c>
      <c r="AE668" t="n">
        <v>31</v>
      </c>
      <c r="AF668" t="n">
        <v>13</v>
      </c>
      <c r="AG668" t="n">
        <v>13</v>
      </c>
      <c r="AH668" t="n">
        <v>8</v>
      </c>
      <c r="AI668" t="n">
        <v>8</v>
      </c>
      <c r="AJ668" t="n">
        <v>15</v>
      </c>
      <c r="AK668" t="n">
        <v>15</v>
      </c>
      <c r="AL668" t="n">
        <v>5</v>
      </c>
      <c r="AM668" t="n">
        <v>5</v>
      </c>
      <c r="AN668" t="n">
        <v>0</v>
      </c>
      <c r="AO668" t="n">
        <v>0</v>
      </c>
      <c r="AP668" t="inlineStr">
        <is>
          <t>No</t>
        </is>
      </c>
      <c r="AQ668" t="inlineStr">
        <is>
          <t>Yes</t>
        </is>
      </c>
      <c r="AR668">
        <f>HYPERLINK("http://catalog.hathitrust.org/Record/000158293","HathiTrust Record")</f>
        <v/>
      </c>
      <c r="AS668">
        <f>HYPERLINK("https://creighton-primo.hosted.exlibrisgroup.com/primo-explore/search?tab=default_tab&amp;search_scope=EVERYTHING&amp;vid=01CRU&amp;lang=en_US&amp;offset=0&amp;query=any,contains,991000126669702656","Catalog Record")</f>
        <v/>
      </c>
      <c r="AT668">
        <f>HYPERLINK("http://www.worldcat.org/oclc/9066555","WorldCat Record")</f>
        <v/>
      </c>
      <c r="AU668" t="inlineStr">
        <is>
          <t>316082911:eng</t>
        </is>
      </c>
      <c r="AV668" t="inlineStr">
        <is>
          <t>9066555</t>
        </is>
      </c>
      <c r="AW668" t="inlineStr">
        <is>
          <t>991000126669702656</t>
        </is>
      </c>
      <c r="AX668" t="inlineStr">
        <is>
          <t>991000126669702656</t>
        </is>
      </c>
      <c r="AY668" t="inlineStr">
        <is>
          <t>2256598130002656</t>
        </is>
      </c>
      <c r="AZ668" t="inlineStr">
        <is>
          <t>BOOK</t>
        </is>
      </c>
      <c r="BB668" t="inlineStr">
        <is>
          <t>9780394505015</t>
        </is>
      </c>
      <c r="BC668" t="inlineStr">
        <is>
          <t>32285000378421</t>
        </is>
      </c>
      <c r="BD668" t="inlineStr">
        <is>
          <t>893714329</t>
        </is>
      </c>
    </row>
    <row r="669">
      <c r="A669" t="inlineStr">
        <is>
          <t>No</t>
        </is>
      </c>
      <c r="B669" t="inlineStr">
        <is>
          <t>PS3515.A829 I2 1974</t>
        </is>
      </c>
      <c r="C669" t="inlineStr">
        <is>
          <t>0                      PS 3515000A  829                I  2           1974</t>
        </is>
      </c>
      <c r="D669" t="inlineStr">
        <is>
          <t>I can : poems and drawings / by Evelyn Havens.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Havens, Evelyn.</t>
        </is>
      </c>
      <c r="L669" t="inlineStr">
        <is>
          <t>[San Diego, Cal. : Neyenesch Printers, c1974]</t>
        </is>
      </c>
      <c r="M669" t="inlineStr">
        <is>
          <t>1974</t>
        </is>
      </c>
      <c r="O669" t="inlineStr">
        <is>
          <t>eng</t>
        </is>
      </c>
      <c r="P669" t="inlineStr">
        <is>
          <t xml:space="preserve">xx </t>
        </is>
      </c>
      <c r="R669" t="inlineStr">
        <is>
          <t xml:space="preserve">PS </t>
        </is>
      </c>
      <c r="S669" t="n">
        <v>2</v>
      </c>
      <c r="T669" t="n">
        <v>2</v>
      </c>
      <c r="U669" t="inlineStr">
        <is>
          <t>1994-04-18</t>
        </is>
      </c>
      <c r="V669" t="inlineStr">
        <is>
          <t>1994-04-18</t>
        </is>
      </c>
      <c r="W669" t="inlineStr">
        <is>
          <t>1990-11-13</t>
        </is>
      </c>
      <c r="X669" t="inlineStr">
        <is>
          <t>1990-11-13</t>
        </is>
      </c>
      <c r="Y669" t="n">
        <v>47</v>
      </c>
      <c r="Z669" t="n">
        <v>46</v>
      </c>
      <c r="AA669" t="n">
        <v>46</v>
      </c>
      <c r="AB669" t="n">
        <v>2</v>
      </c>
      <c r="AC669" t="n">
        <v>2</v>
      </c>
      <c r="AD669" t="n">
        <v>3</v>
      </c>
      <c r="AE669" t="n">
        <v>3</v>
      </c>
      <c r="AF669" t="n">
        <v>2</v>
      </c>
      <c r="AG669" t="n">
        <v>2</v>
      </c>
      <c r="AH669" t="n">
        <v>0</v>
      </c>
      <c r="AI669" t="n">
        <v>0</v>
      </c>
      <c r="AJ669" t="n">
        <v>0</v>
      </c>
      <c r="AK669" t="n">
        <v>0</v>
      </c>
      <c r="AL669" t="n">
        <v>1</v>
      </c>
      <c r="AM669" t="n">
        <v>1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HYPERLINK("https://creighton-primo.hosted.exlibrisgroup.com/primo-explore/search?tab=default_tab&amp;search_scope=EVERYTHING&amp;vid=01CRU&amp;lang=en_US&amp;offset=0&amp;query=any,contains,991000340579702656","Catalog Record")</f>
        <v/>
      </c>
      <c r="AT669">
        <f>HYPERLINK("http://www.worldcat.org/oclc/8479984","WorldCat Record")</f>
        <v/>
      </c>
      <c r="AU669" t="inlineStr">
        <is>
          <t>31854932:eng</t>
        </is>
      </c>
      <c r="AV669" t="inlineStr">
        <is>
          <t>8479984</t>
        </is>
      </c>
      <c r="AW669" t="inlineStr">
        <is>
          <t>991000340579702656</t>
        </is>
      </c>
      <c r="AX669" t="inlineStr">
        <is>
          <t>991000340579702656</t>
        </is>
      </c>
      <c r="AY669" t="inlineStr">
        <is>
          <t>2264460320002656</t>
        </is>
      </c>
      <c r="AZ669" t="inlineStr">
        <is>
          <t>BOOK</t>
        </is>
      </c>
      <c r="BC669" t="inlineStr">
        <is>
          <t>32285000378512</t>
        </is>
      </c>
      <c r="BD669" t="inlineStr">
        <is>
          <t>893255343</t>
        </is>
      </c>
    </row>
    <row r="670">
      <c r="A670" t="inlineStr">
        <is>
          <t>No</t>
        </is>
      </c>
      <c r="B670" t="inlineStr">
        <is>
          <t>PS3515.A939 G7 1917</t>
        </is>
      </c>
      <c r="C670" t="inlineStr">
        <is>
          <t>0                      PS 3515000A  939                G  7           1917</t>
        </is>
      </c>
      <c r="D670" t="inlineStr">
        <is>
          <t>The grave of dreams, and other verses / by James M. Hayes.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Hayes, James M., 1875-</t>
        </is>
      </c>
      <c r="L670" t="inlineStr">
        <is>
          <t>New York : The Encyclopedia press, inc., 1917.</t>
        </is>
      </c>
      <c r="M670" t="inlineStr">
        <is>
          <t>1917</t>
        </is>
      </c>
      <c r="O670" t="inlineStr">
        <is>
          <t>eng</t>
        </is>
      </c>
      <c r="P670" t="inlineStr">
        <is>
          <t>nyu</t>
        </is>
      </c>
      <c r="R670" t="inlineStr">
        <is>
          <t xml:space="preserve">PS </t>
        </is>
      </c>
      <c r="S670" t="n">
        <v>1</v>
      </c>
      <c r="T670" t="n">
        <v>1</v>
      </c>
      <c r="U670" t="inlineStr">
        <is>
          <t>1994-04-18</t>
        </is>
      </c>
      <c r="V670" t="inlineStr">
        <is>
          <t>1994-04-18</t>
        </is>
      </c>
      <c r="W670" t="inlineStr">
        <is>
          <t>1992-03-06</t>
        </is>
      </c>
      <c r="X670" t="inlineStr">
        <is>
          <t>1992-03-06</t>
        </is>
      </c>
      <c r="Y670" t="n">
        <v>26</v>
      </c>
      <c r="Z670" t="n">
        <v>23</v>
      </c>
      <c r="AA670" t="n">
        <v>39</v>
      </c>
      <c r="AB670" t="n">
        <v>1</v>
      </c>
      <c r="AC670" t="n">
        <v>1</v>
      </c>
      <c r="AD670" t="n">
        <v>3</v>
      </c>
      <c r="AE670" t="n">
        <v>3</v>
      </c>
      <c r="AF670" t="n">
        <v>0</v>
      </c>
      <c r="AG670" t="n">
        <v>0</v>
      </c>
      <c r="AH670" t="n">
        <v>1</v>
      </c>
      <c r="AI670" t="n">
        <v>1</v>
      </c>
      <c r="AJ670" t="n">
        <v>3</v>
      </c>
      <c r="AK670" t="n">
        <v>3</v>
      </c>
      <c r="AL670" t="n">
        <v>0</v>
      </c>
      <c r="AM670" t="n">
        <v>0</v>
      </c>
      <c r="AN670" t="n">
        <v>0</v>
      </c>
      <c r="AO670" t="n">
        <v>0</v>
      </c>
      <c r="AP670" t="inlineStr">
        <is>
          <t>Yes</t>
        </is>
      </c>
      <c r="AQ670" t="inlineStr">
        <is>
          <t>No</t>
        </is>
      </c>
      <c r="AR670">
        <f>HYPERLINK("http://catalog.hathitrust.org/Record/008656841","HathiTrust Record")</f>
        <v/>
      </c>
      <c r="AS670">
        <f>HYPERLINK("https://creighton-primo.hosted.exlibrisgroup.com/primo-explore/search?tab=default_tab&amp;search_scope=EVERYTHING&amp;vid=01CRU&amp;lang=en_US&amp;offset=0&amp;query=any,contains,991000482439702656","Catalog Record")</f>
        <v/>
      </c>
      <c r="AT670">
        <f>HYPERLINK("http://www.worldcat.org/oclc/11057248","WorldCat Record")</f>
        <v/>
      </c>
      <c r="AU670" t="inlineStr">
        <is>
          <t>29241413:eng</t>
        </is>
      </c>
      <c r="AV670" t="inlineStr">
        <is>
          <t>11057248</t>
        </is>
      </c>
      <c r="AW670" t="inlineStr">
        <is>
          <t>991000482439702656</t>
        </is>
      </c>
      <c r="AX670" t="inlineStr">
        <is>
          <t>991000482439702656</t>
        </is>
      </c>
      <c r="AY670" t="inlineStr">
        <is>
          <t>2259723080002656</t>
        </is>
      </c>
      <c r="AZ670" t="inlineStr">
        <is>
          <t>BOOK</t>
        </is>
      </c>
      <c r="BC670" t="inlineStr">
        <is>
          <t>32285000992379</t>
        </is>
      </c>
      <c r="BD670" t="inlineStr">
        <is>
          <t>893777972</t>
        </is>
      </c>
    </row>
    <row r="671">
      <c r="A671" t="inlineStr">
        <is>
          <t>No</t>
        </is>
      </c>
      <c r="B671" t="inlineStr">
        <is>
          <t>PS3515.A96 L6 1988</t>
        </is>
      </c>
      <c r="C671" t="inlineStr">
        <is>
          <t>0                      PS 3515000A  96                 L  6           1988</t>
        </is>
      </c>
      <c r="D671" t="inlineStr">
        <is>
          <t>Loose on the wind / by Will H. Hays, Jr.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Hays, Will H. (Will Harrison), 1915-</t>
        </is>
      </c>
      <c r="L671" t="inlineStr">
        <is>
          <t>[S.l.] : W.H. Hays, Jr., c1988.</t>
        </is>
      </c>
      <c r="M671" t="inlineStr">
        <is>
          <t>1988</t>
        </is>
      </c>
      <c r="O671" t="inlineStr">
        <is>
          <t>eng</t>
        </is>
      </c>
      <c r="P671" t="inlineStr">
        <is>
          <t>xxu</t>
        </is>
      </c>
      <c r="R671" t="inlineStr">
        <is>
          <t xml:space="preserve">PS </t>
        </is>
      </c>
      <c r="S671" t="n">
        <v>1</v>
      </c>
      <c r="T671" t="n">
        <v>1</v>
      </c>
      <c r="U671" t="inlineStr">
        <is>
          <t>1994-02-25</t>
        </is>
      </c>
      <c r="V671" t="inlineStr">
        <is>
          <t>1994-02-25</t>
        </is>
      </c>
      <c r="W671" t="inlineStr">
        <is>
          <t>1990-08-22</t>
        </is>
      </c>
      <c r="X671" t="inlineStr">
        <is>
          <t>1990-08-22</t>
        </is>
      </c>
      <c r="Y671" t="n">
        <v>65</v>
      </c>
      <c r="Z671" t="n">
        <v>65</v>
      </c>
      <c r="AA671" t="n">
        <v>65</v>
      </c>
      <c r="AB671" t="n">
        <v>1</v>
      </c>
      <c r="AC671" t="n">
        <v>1</v>
      </c>
      <c r="AD671" t="n">
        <v>1</v>
      </c>
      <c r="AE671" t="n">
        <v>1</v>
      </c>
      <c r="AF671" t="n">
        <v>1</v>
      </c>
      <c r="AG671" t="n">
        <v>1</v>
      </c>
      <c r="AH671" t="n">
        <v>0</v>
      </c>
      <c r="AI671" t="n">
        <v>0</v>
      </c>
      <c r="AJ671" t="n">
        <v>0</v>
      </c>
      <c r="AK671" t="n">
        <v>0</v>
      </c>
      <c r="AL671" t="n">
        <v>0</v>
      </c>
      <c r="AM671" t="n">
        <v>0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HYPERLINK("https://creighton-primo.hosted.exlibrisgroup.com/primo-explore/search?tab=default_tab&amp;search_scope=EVERYTHING&amp;vid=01CRU&amp;lang=en_US&amp;offset=0&amp;query=any,contains,991001572659702656","Catalog Record")</f>
        <v/>
      </c>
      <c r="AT671">
        <f>HYPERLINK("http://www.worldcat.org/oclc/20411654","WorldCat Record")</f>
        <v/>
      </c>
      <c r="AU671" t="inlineStr">
        <is>
          <t>22139702:eng</t>
        </is>
      </c>
      <c r="AV671" t="inlineStr">
        <is>
          <t>20411654</t>
        </is>
      </c>
      <c r="AW671" t="inlineStr">
        <is>
          <t>991001572659702656</t>
        </is>
      </c>
      <c r="AX671" t="inlineStr">
        <is>
          <t>991001572659702656</t>
        </is>
      </c>
      <c r="AY671" t="inlineStr">
        <is>
          <t>2268500530002656</t>
        </is>
      </c>
      <c r="AZ671" t="inlineStr">
        <is>
          <t>BOOK</t>
        </is>
      </c>
      <c r="BB671" t="inlineStr">
        <is>
          <t>9780962430305</t>
        </is>
      </c>
      <c r="BC671" t="inlineStr">
        <is>
          <t>32285000244581</t>
        </is>
      </c>
      <c r="BD671" t="inlineStr">
        <is>
          <t>893250303</t>
        </is>
      </c>
    </row>
    <row r="672">
      <c r="A672" t="inlineStr">
        <is>
          <t>No</t>
        </is>
      </c>
      <c r="B672" t="inlineStr">
        <is>
          <t>PS3515.E288 G7 1990</t>
        </is>
      </c>
      <c r="C672" t="inlineStr">
        <is>
          <t>0                      PS 3515000E  288                G  7           1990</t>
        </is>
      </c>
      <c r="D672" t="inlineStr">
        <is>
          <t>Grumbles from the grave / Robert A. Heinlein ; edited by Virginia Heinlein.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Heinlein, Robert A. (Robert Anson), 1907-1988.</t>
        </is>
      </c>
      <c r="L672" t="inlineStr">
        <is>
          <t>New York : Ballantine Books, 1990, c1989.</t>
        </is>
      </c>
      <c r="M672" t="inlineStr">
        <is>
          <t>1990</t>
        </is>
      </c>
      <c r="N672" t="inlineStr">
        <is>
          <t>1st ed.</t>
        </is>
      </c>
      <c r="O672" t="inlineStr">
        <is>
          <t>eng</t>
        </is>
      </c>
      <c r="P672" t="inlineStr">
        <is>
          <t>nyu</t>
        </is>
      </c>
      <c r="R672" t="inlineStr">
        <is>
          <t xml:space="preserve">PS </t>
        </is>
      </c>
      <c r="S672" t="n">
        <v>4</v>
      </c>
      <c r="T672" t="n">
        <v>4</v>
      </c>
      <c r="U672" t="inlineStr">
        <is>
          <t>1995-07-20</t>
        </is>
      </c>
      <c r="V672" t="inlineStr">
        <is>
          <t>1995-07-20</t>
        </is>
      </c>
      <c r="W672" t="inlineStr">
        <is>
          <t>1990-03-26</t>
        </is>
      </c>
      <c r="X672" t="inlineStr">
        <is>
          <t>1990-03-26</t>
        </is>
      </c>
      <c r="Y672" t="n">
        <v>961</v>
      </c>
      <c r="Z672" t="n">
        <v>906</v>
      </c>
      <c r="AA672" t="n">
        <v>964</v>
      </c>
      <c r="AB672" t="n">
        <v>7</v>
      </c>
      <c r="AC672" t="n">
        <v>7</v>
      </c>
      <c r="AD672" t="n">
        <v>13</v>
      </c>
      <c r="AE672" t="n">
        <v>14</v>
      </c>
      <c r="AF672" t="n">
        <v>4</v>
      </c>
      <c r="AG672" t="n">
        <v>5</v>
      </c>
      <c r="AH672" t="n">
        <v>5</v>
      </c>
      <c r="AI672" t="n">
        <v>5</v>
      </c>
      <c r="AJ672" t="n">
        <v>7</v>
      </c>
      <c r="AK672" t="n">
        <v>7</v>
      </c>
      <c r="AL672" t="n">
        <v>2</v>
      </c>
      <c r="AM672" t="n">
        <v>2</v>
      </c>
      <c r="AN672" t="n">
        <v>0</v>
      </c>
      <c r="AO672" t="n">
        <v>0</v>
      </c>
      <c r="AP672" t="inlineStr">
        <is>
          <t>No</t>
        </is>
      </c>
      <c r="AQ672" t="inlineStr">
        <is>
          <t>Yes</t>
        </is>
      </c>
      <c r="AR672">
        <f>HYPERLINK("http://catalog.hathitrust.org/Record/001838247","HathiTrust Record")</f>
        <v/>
      </c>
      <c r="AS672">
        <f>HYPERLINK("https://creighton-primo.hosted.exlibrisgroup.com/primo-explore/search?tab=default_tab&amp;search_scope=EVERYTHING&amp;vid=01CRU&amp;lang=en_US&amp;offset=0&amp;query=any,contains,991001485019702656","Catalog Record")</f>
        <v/>
      </c>
      <c r="AT672">
        <f>HYPERLINK("http://www.worldcat.org/oclc/19631240","WorldCat Record")</f>
        <v/>
      </c>
      <c r="AU672" t="inlineStr">
        <is>
          <t>52847222:eng</t>
        </is>
      </c>
      <c r="AV672" t="inlineStr">
        <is>
          <t>19631240</t>
        </is>
      </c>
      <c r="AW672" t="inlineStr">
        <is>
          <t>991001485019702656</t>
        </is>
      </c>
      <c r="AX672" t="inlineStr">
        <is>
          <t>991001485019702656</t>
        </is>
      </c>
      <c r="AY672" t="inlineStr">
        <is>
          <t>2260985950002656</t>
        </is>
      </c>
      <c r="AZ672" t="inlineStr">
        <is>
          <t>BOOK</t>
        </is>
      </c>
      <c r="BB672" t="inlineStr">
        <is>
          <t>9780345362469</t>
        </is>
      </c>
      <c r="BC672" t="inlineStr">
        <is>
          <t>32285000083690</t>
        </is>
      </c>
      <c r="BD672" t="inlineStr">
        <is>
          <t>893439168</t>
        </is>
      </c>
    </row>
    <row r="673">
      <c r="A673" t="inlineStr">
        <is>
          <t>No</t>
        </is>
      </c>
      <c r="B673" t="inlineStr">
        <is>
          <t>PS3515.E288 Z67</t>
        </is>
      </c>
      <c r="C673" t="inlineStr">
        <is>
          <t>0                      PS 3515000E  288                Z  67</t>
        </is>
      </c>
      <c r="D673" t="inlineStr">
        <is>
          <t>Robert A. Heinlein : America as science fiction / H. Bruce Franklin.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Franklin, H. Bruce (Howard Bruce), 1934-</t>
        </is>
      </c>
      <c r="L673" t="inlineStr">
        <is>
          <t>New York : Oxford University Press, 1980.</t>
        </is>
      </c>
      <c r="M673" t="inlineStr">
        <is>
          <t>1980</t>
        </is>
      </c>
      <c r="O673" t="inlineStr">
        <is>
          <t>eng</t>
        </is>
      </c>
      <c r="P673" t="inlineStr">
        <is>
          <t>nyu</t>
        </is>
      </c>
      <c r="Q673" t="inlineStr">
        <is>
          <t>Science fiction writers series</t>
        </is>
      </c>
      <c r="R673" t="inlineStr">
        <is>
          <t xml:space="preserve">PS </t>
        </is>
      </c>
      <c r="S673" t="n">
        <v>7</v>
      </c>
      <c r="T673" t="n">
        <v>7</v>
      </c>
      <c r="U673" t="inlineStr">
        <is>
          <t>2002-09-04</t>
        </is>
      </c>
      <c r="V673" t="inlineStr">
        <is>
          <t>2002-09-04</t>
        </is>
      </c>
      <c r="W673" t="inlineStr">
        <is>
          <t>1990-11-13</t>
        </is>
      </c>
      <c r="X673" t="inlineStr">
        <is>
          <t>1990-11-13</t>
        </is>
      </c>
      <c r="Y673" t="n">
        <v>1063</v>
      </c>
      <c r="Z673" t="n">
        <v>964</v>
      </c>
      <c r="AA673" t="n">
        <v>983</v>
      </c>
      <c r="AB673" t="n">
        <v>6</v>
      </c>
      <c r="AC673" t="n">
        <v>6</v>
      </c>
      <c r="AD673" t="n">
        <v>24</v>
      </c>
      <c r="AE673" t="n">
        <v>27</v>
      </c>
      <c r="AF673" t="n">
        <v>10</v>
      </c>
      <c r="AG673" t="n">
        <v>11</v>
      </c>
      <c r="AH673" t="n">
        <v>6</v>
      </c>
      <c r="AI673" t="n">
        <v>7</v>
      </c>
      <c r="AJ673" t="n">
        <v>12</v>
      </c>
      <c r="AK673" t="n">
        <v>13</v>
      </c>
      <c r="AL673" t="n">
        <v>4</v>
      </c>
      <c r="AM673" t="n">
        <v>4</v>
      </c>
      <c r="AN673" t="n">
        <v>0</v>
      </c>
      <c r="AO673" t="n">
        <v>0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HYPERLINK("http://catalog.hathitrust.org/Record/000087189","HathiTrust Record")</f>
        <v/>
      </c>
      <c r="AS673">
        <f>HYPERLINK("https://creighton-primo.hosted.exlibrisgroup.com/primo-explore/search?tab=default_tab&amp;search_scope=EVERYTHING&amp;vid=01CRU&amp;lang=en_US&amp;offset=0&amp;query=any,contains,991004943709702656","Catalog Record")</f>
        <v/>
      </c>
      <c r="AT673">
        <f>HYPERLINK("http://www.worldcat.org/oclc/6196643","WorldCat Record")</f>
        <v/>
      </c>
      <c r="AU673" t="inlineStr">
        <is>
          <t>415105:eng</t>
        </is>
      </c>
      <c r="AV673" t="inlineStr">
        <is>
          <t>6196643</t>
        </is>
      </c>
      <c r="AW673" t="inlineStr">
        <is>
          <t>991004943709702656</t>
        </is>
      </c>
      <c r="AX673" t="inlineStr">
        <is>
          <t>991004943709702656</t>
        </is>
      </c>
      <c r="AY673" t="inlineStr">
        <is>
          <t>2266189640002656</t>
        </is>
      </c>
      <c r="AZ673" t="inlineStr">
        <is>
          <t>BOOK</t>
        </is>
      </c>
      <c r="BC673" t="inlineStr">
        <is>
          <t>32285000378553</t>
        </is>
      </c>
      <c r="BD673" t="inlineStr">
        <is>
          <t>893242006</t>
        </is>
      </c>
    </row>
    <row r="674">
      <c r="A674" t="inlineStr">
        <is>
          <t>No</t>
        </is>
      </c>
      <c r="B674" t="inlineStr">
        <is>
          <t>PS3515.E343 Z87 1988</t>
        </is>
      </c>
      <c r="C674" t="inlineStr">
        <is>
          <t>0                      PS 3515000E  343                Z  87          1988</t>
        </is>
      </c>
      <c r="D674" t="inlineStr">
        <is>
          <t>Lillian Hellman : her legend and her legacy / Carl Rollyson.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Rollyson, Carl E. (Carl Edmund)</t>
        </is>
      </c>
      <c r="L674" t="inlineStr">
        <is>
          <t>New York : St. Martin's Press, c1988.</t>
        </is>
      </c>
      <c r="M674" t="inlineStr">
        <is>
          <t>1988</t>
        </is>
      </c>
      <c r="N674" t="inlineStr">
        <is>
          <t>1st ed.</t>
        </is>
      </c>
      <c r="O674" t="inlineStr">
        <is>
          <t>eng</t>
        </is>
      </c>
      <c r="P674" t="inlineStr">
        <is>
          <t>nyu</t>
        </is>
      </c>
      <c r="R674" t="inlineStr">
        <is>
          <t xml:space="preserve">PS </t>
        </is>
      </c>
      <c r="S674" t="n">
        <v>4</v>
      </c>
      <c r="T674" t="n">
        <v>4</v>
      </c>
      <c r="U674" t="inlineStr">
        <is>
          <t>2005-01-11</t>
        </is>
      </c>
      <c r="V674" t="inlineStr">
        <is>
          <t>2005-01-11</t>
        </is>
      </c>
      <c r="W674" t="inlineStr">
        <is>
          <t>1990-06-15</t>
        </is>
      </c>
      <c r="X674" t="inlineStr">
        <is>
          <t>1990-06-15</t>
        </is>
      </c>
      <c r="Y674" t="n">
        <v>1081</v>
      </c>
      <c r="Z674" t="n">
        <v>986</v>
      </c>
      <c r="AA674" t="n">
        <v>1022</v>
      </c>
      <c r="AB674" t="n">
        <v>6</v>
      </c>
      <c r="AC674" t="n">
        <v>6</v>
      </c>
      <c r="AD674" t="n">
        <v>29</v>
      </c>
      <c r="AE674" t="n">
        <v>30</v>
      </c>
      <c r="AF674" t="n">
        <v>12</v>
      </c>
      <c r="AG674" t="n">
        <v>12</v>
      </c>
      <c r="AH674" t="n">
        <v>8</v>
      </c>
      <c r="AI674" t="n">
        <v>8</v>
      </c>
      <c r="AJ674" t="n">
        <v>15</v>
      </c>
      <c r="AK674" t="n">
        <v>16</v>
      </c>
      <c r="AL674" t="n">
        <v>4</v>
      </c>
      <c r="AM674" t="n">
        <v>4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HYPERLINK("https://creighton-primo.hosted.exlibrisgroup.com/primo-explore/search?tab=default_tab&amp;search_scope=EVERYTHING&amp;vid=01CRU&amp;lang=en_US&amp;offset=0&amp;query=any,contains,991001157489702656","Catalog Record")</f>
        <v/>
      </c>
      <c r="AT674">
        <f>HYPERLINK("http://www.worldcat.org/oclc/16869132","WorldCat Record")</f>
        <v/>
      </c>
      <c r="AU674" t="inlineStr">
        <is>
          <t>1057493:eng</t>
        </is>
      </c>
      <c r="AV674" t="inlineStr">
        <is>
          <t>16869132</t>
        </is>
      </c>
      <c r="AW674" t="inlineStr">
        <is>
          <t>991001157489702656</t>
        </is>
      </c>
      <c r="AX674" t="inlineStr">
        <is>
          <t>991001157489702656</t>
        </is>
      </c>
      <c r="AY674" t="inlineStr">
        <is>
          <t>2255349950002656</t>
        </is>
      </c>
      <c r="AZ674" t="inlineStr">
        <is>
          <t>BOOK</t>
        </is>
      </c>
      <c r="BB674" t="inlineStr">
        <is>
          <t>9780312000493</t>
        </is>
      </c>
      <c r="BC674" t="inlineStr">
        <is>
          <t>32285000197722</t>
        </is>
      </c>
      <c r="BD674" t="inlineStr">
        <is>
          <t>893515940</t>
        </is>
      </c>
    </row>
    <row r="675">
      <c r="A675" t="inlineStr">
        <is>
          <t>No</t>
        </is>
      </c>
      <c r="B675" t="inlineStr">
        <is>
          <t>PS3515.E37 F358</t>
        </is>
      </c>
      <c r="C675" t="inlineStr">
        <is>
          <t>0                      PS 3515000E  37                 F  358</t>
        </is>
      </c>
      <c r="D675" t="inlineStr">
        <is>
          <t>Hemingway's first war : the making of A farewell to arms / Michael S. Reynolds.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Reynolds, Michael Shane, 1937-2000.</t>
        </is>
      </c>
      <c r="L675" t="inlineStr">
        <is>
          <t>Princeton, N.J. : Princeton University Press, c1976.</t>
        </is>
      </c>
      <c r="M675" t="inlineStr">
        <is>
          <t>1976</t>
        </is>
      </c>
      <c r="O675" t="inlineStr">
        <is>
          <t>eng</t>
        </is>
      </c>
      <c r="P675" t="inlineStr">
        <is>
          <t>nju</t>
        </is>
      </c>
      <c r="R675" t="inlineStr">
        <is>
          <t xml:space="preserve">PS </t>
        </is>
      </c>
      <c r="S675" t="n">
        <v>9</v>
      </c>
      <c r="T675" t="n">
        <v>9</v>
      </c>
      <c r="U675" t="inlineStr">
        <is>
          <t>1999-11-03</t>
        </is>
      </c>
      <c r="V675" t="inlineStr">
        <is>
          <t>1999-11-03</t>
        </is>
      </c>
      <c r="W675" t="inlineStr">
        <is>
          <t>1990-07-13</t>
        </is>
      </c>
      <c r="X675" t="inlineStr">
        <is>
          <t>1990-07-13</t>
        </is>
      </c>
      <c r="Y675" t="n">
        <v>939</v>
      </c>
      <c r="Z675" t="n">
        <v>765</v>
      </c>
      <c r="AA675" t="n">
        <v>809</v>
      </c>
      <c r="AB675" t="n">
        <v>6</v>
      </c>
      <c r="AC675" t="n">
        <v>7</v>
      </c>
      <c r="AD675" t="n">
        <v>39</v>
      </c>
      <c r="AE675" t="n">
        <v>40</v>
      </c>
      <c r="AF675" t="n">
        <v>19</v>
      </c>
      <c r="AG675" t="n">
        <v>19</v>
      </c>
      <c r="AH675" t="n">
        <v>7</v>
      </c>
      <c r="AI675" t="n">
        <v>7</v>
      </c>
      <c r="AJ675" t="n">
        <v>20</v>
      </c>
      <c r="AK675" t="n">
        <v>20</v>
      </c>
      <c r="AL675" t="n">
        <v>5</v>
      </c>
      <c r="AM675" t="n">
        <v>6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HYPERLINK("https://creighton-primo.hosted.exlibrisgroup.com/primo-explore/search?tab=default_tab&amp;search_scope=EVERYTHING&amp;vid=01CRU&amp;lang=en_US&amp;offset=0&amp;query=any,contains,991004059509702656","Catalog Record")</f>
        <v/>
      </c>
      <c r="AT675">
        <f>HYPERLINK("http://www.worldcat.org/oclc/2237586","WorldCat Record")</f>
        <v/>
      </c>
      <c r="AU675" t="inlineStr">
        <is>
          <t>441712:eng</t>
        </is>
      </c>
      <c r="AV675" t="inlineStr">
        <is>
          <t>2237586</t>
        </is>
      </c>
      <c r="AW675" t="inlineStr">
        <is>
          <t>991004059509702656</t>
        </is>
      </c>
      <c r="AX675" t="inlineStr">
        <is>
          <t>991004059509702656</t>
        </is>
      </c>
      <c r="AY675" t="inlineStr">
        <is>
          <t>2259117170002656</t>
        </is>
      </c>
      <c r="AZ675" t="inlineStr">
        <is>
          <t>BOOK</t>
        </is>
      </c>
      <c r="BB675" t="inlineStr">
        <is>
          <t>9780691063027</t>
        </is>
      </c>
      <c r="BC675" t="inlineStr">
        <is>
          <t>32285000231448</t>
        </is>
      </c>
      <c r="BD675" t="inlineStr">
        <is>
          <t>893500056</t>
        </is>
      </c>
    </row>
    <row r="676">
      <c r="A676" t="inlineStr">
        <is>
          <t>No</t>
        </is>
      </c>
      <c r="B676" t="inlineStr">
        <is>
          <t>PS3515.E37 Z4598 1977</t>
        </is>
      </c>
      <c r="C676" t="inlineStr">
        <is>
          <t>0                      PS 3515000E  37                 Z  4598        1977</t>
        </is>
      </c>
      <c r="D676" t="inlineStr">
        <is>
          <t>Ernest Hemingway : a reference guide / Linda Welshimer Wagner.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Wagner-Martin, Linda.</t>
        </is>
      </c>
      <c r="L676" t="inlineStr">
        <is>
          <t>Boston : G. K. Hall, c1977.</t>
        </is>
      </c>
      <c r="M676" t="inlineStr">
        <is>
          <t>1976</t>
        </is>
      </c>
      <c r="O676" t="inlineStr">
        <is>
          <t>eng</t>
        </is>
      </c>
      <c r="P676" t="inlineStr">
        <is>
          <t>mau</t>
        </is>
      </c>
      <c r="Q676" t="inlineStr">
        <is>
          <t>Reference guides in literature ; no. 13</t>
        </is>
      </c>
      <c r="R676" t="inlineStr">
        <is>
          <t xml:space="preserve">PS </t>
        </is>
      </c>
      <c r="S676" t="n">
        <v>2</v>
      </c>
      <c r="T676" t="n">
        <v>2</v>
      </c>
      <c r="U676" t="inlineStr">
        <is>
          <t>1992-11-16</t>
        </is>
      </c>
      <c r="V676" t="inlineStr">
        <is>
          <t>1992-11-16</t>
        </is>
      </c>
      <c r="W676" t="inlineStr">
        <is>
          <t>1990-03-22</t>
        </is>
      </c>
      <c r="X676" t="inlineStr">
        <is>
          <t>1990-03-22</t>
        </is>
      </c>
      <c r="Y676" t="n">
        <v>750</v>
      </c>
      <c r="Z676" t="n">
        <v>654</v>
      </c>
      <c r="AA676" t="n">
        <v>672</v>
      </c>
      <c r="AB676" t="n">
        <v>7</v>
      </c>
      <c r="AC676" t="n">
        <v>7</v>
      </c>
      <c r="AD676" t="n">
        <v>36</v>
      </c>
      <c r="AE676" t="n">
        <v>37</v>
      </c>
      <c r="AF676" t="n">
        <v>15</v>
      </c>
      <c r="AG676" t="n">
        <v>16</v>
      </c>
      <c r="AH676" t="n">
        <v>6</v>
      </c>
      <c r="AI676" t="n">
        <v>6</v>
      </c>
      <c r="AJ676" t="n">
        <v>18</v>
      </c>
      <c r="AK676" t="n">
        <v>19</v>
      </c>
      <c r="AL676" t="n">
        <v>6</v>
      </c>
      <c r="AM676" t="n">
        <v>6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HYPERLINK("http://catalog.hathitrust.org/Record/000087093","HathiTrust Record")</f>
        <v/>
      </c>
      <c r="AS676">
        <f>HYPERLINK("https://creighton-primo.hosted.exlibrisgroup.com/primo-explore/search?tab=default_tab&amp;search_scope=EVERYTHING&amp;vid=01CRU&amp;lang=en_US&amp;offset=0&amp;query=any,contains,991004086529702656","Catalog Record")</f>
        <v/>
      </c>
      <c r="AT676">
        <f>HYPERLINK("http://www.worldcat.org/oclc/2332205","WorldCat Record")</f>
        <v/>
      </c>
      <c r="AU676" t="inlineStr">
        <is>
          <t>9593479050:eng</t>
        </is>
      </c>
      <c r="AV676" t="inlineStr">
        <is>
          <t>2332205</t>
        </is>
      </c>
      <c r="AW676" t="inlineStr">
        <is>
          <t>991004086529702656</t>
        </is>
      </c>
      <c r="AX676" t="inlineStr">
        <is>
          <t>991004086529702656</t>
        </is>
      </c>
      <c r="AY676" t="inlineStr">
        <is>
          <t>2264018980002656</t>
        </is>
      </c>
      <c r="AZ676" t="inlineStr">
        <is>
          <t>BOOK</t>
        </is>
      </c>
      <c r="BB676" t="inlineStr">
        <is>
          <t>9780816179763</t>
        </is>
      </c>
      <c r="BC676" t="inlineStr">
        <is>
          <t>32285000092055</t>
        </is>
      </c>
      <c r="BD676" t="inlineStr">
        <is>
          <t>893718448</t>
        </is>
      </c>
    </row>
    <row r="677">
      <c r="A677" t="inlineStr">
        <is>
          <t>No</t>
        </is>
      </c>
      <c r="B677" t="inlineStr">
        <is>
          <t>PS3515.E37 Z577</t>
        </is>
      </c>
      <c r="C677" t="inlineStr">
        <is>
          <t>0                      PS 3515000E  37                 Z  577</t>
        </is>
      </c>
      <c r="D677" t="inlineStr">
        <is>
          <t>Hemingway and his critics : an international anthology / edited, with an introd. and a checklist of Hemingway critcism by Carlos Baker.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Baker, Carlos, 1909-1987 editor.</t>
        </is>
      </c>
      <c r="L677" t="inlineStr">
        <is>
          <t>New York : Hill and Wang, [1961]</t>
        </is>
      </c>
      <c r="M677" t="inlineStr">
        <is>
          <t>1961</t>
        </is>
      </c>
      <c r="O677" t="inlineStr">
        <is>
          <t>eng</t>
        </is>
      </c>
      <c r="P677" t="inlineStr">
        <is>
          <t>nyu</t>
        </is>
      </c>
      <c r="Q677" t="inlineStr">
        <is>
          <t>American century series ; AC36</t>
        </is>
      </c>
      <c r="R677" t="inlineStr">
        <is>
          <t xml:space="preserve">PS </t>
        </is>
      </c>
      <c r="S677" t="n">
        <v>10</v>
      </c>
      <c r="T677" t="n">
        <v>10</v>
      </c>
      <c r="U677" t="inlineStr">
        <is>
          <t>2003-09-23</t>
        </is>
      </c>
      <c r="V677" t="inlineStr">
        <is>
          <t>2003-09-23</t>
        </is>
      </c>
      <c r="W677" t="inlineStr">
        <is>
          <t>1990-02-28</t>
        </is>
      </c>
      <c r="X677" t="inlineStr">
        <is>
          <t>1990-02-28</t>
        </is>
      </c>
      <c r="Y677" t="n">
        <v>1359</v>
      </c>
      <c r="Z677" t="n">
        <v>1219</v>
      </c>
      <c r="AA677" t="n">
        <v>1243</v>
      </c>
      <c r="AB677" t="n">
        <v>10</v>
      </c>
      <c r="AC677" t="n">
        <v>10</v>
      </c>
      <c r="AD677" t="n">
        <v>39</v>
      </c>
      <c r="AE677" t="n">
        <v>39</v>
      </c>
      <c r="AF677" t="n">
        <v>18</v>
      </c>
      <c r="AG677" t="n">
        <v>18</v>
      </c>
      <c r="AH677" t="n">
        <v>6</v>
      </c>
      <c r="AI677" t="n">
        <v>6</v>
      </c>
      <c r="AJ677" t="n">
        <v>15</v>
      </c>
      <c r="AK677" t="n">
        <v>15</v>
      </c>
      <c r="AL677" t="n">
        <v>9</v>
      </c>
      <c r="AM677" t="n">
        <v>9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HYPERLINK("http://catalog.hathitrust.org/Record/000437025","HathiTrust Record")</f>
        <v/>
      </c>
      <c r="AS677">
        <f>HYPERLINK("https://creighton-primo.hosted.exlibrisgroup.com/primo-explore/search?tab=default_tab&amp;search_scope=EVERYTHING&amp;vid=01CRU&amp;lang=en_US&amp;offset=0&amp;query=any,contains,991002202799702656","Catalog Record")</f>
        <v/>
      </c>
      <c r="AT677">
        <f>HYPERLINK("http://www.worldcat.org/oclc/284825","WorldCat Record")</f>
        <v/>
      </c>
      <c r="AU677" t="inlineStr">
        <is>
          <t>1446338:eng</t>
        </is>
      </c>
      <c r="AV677" t="inlineStr">
        <is>
          <t>284825</t>
        </is>
      </c>
      <c r="AW677" t="inlineStr">
        <is>
          <t>991002202799702656</t>
        </is>
      </c>
      <c r="AX677" t="inlineStr">
        <is>
          <t>991002202799702656</t>
        </is>
      </c>
      <c r="AY677" t="inlineStr">
        <is>
          <t>2262612060002656</t>
        </is>
      </c>
      <c r="AZ677" t="inlineStr">
        <is>
          <t>BOOK</t>
        </is>
      </c>
      <c r="BC677" t="inlineStr">
        <is>
          <t>32285000063072</t>
        </is>
      </c>
      <c r="BD677" t="inlineStr">
        <is>
          <t>893523313</t>
        </is>
      </c>
    </row>
    <row r="678">
      <c r="A678" t="inlineStr">
        <is>
          <t>No</t>
        </is>
      </c>
      <c r="B678" t="inlineStr">
        <is>
          <t>PS3515.E37 Z58 1963</t>
        </is>
      </c>
      <c r="C678" t="inlineStr">
        <is>
          <t>0                      PS 3515000E  37                 Z  58          1963</t>
        </is>
      </c>
      <c r="D678" t="inlineStr">
        <is>
          <t>Hemingway, the writer as artist.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K678" t="inlineStr">
        <is>
          <t>Baker, Carlos, 1909-1987.</t>
        </is>
      </c>
      <c r="L678" t="inlineStr">
        <is>
          <t>Princeton, N.J. : Princeton University Press, 1963.</t>
        </is>
      </c>
      <c r="M678" t="inlineStr">
        <is>
          <t>1963</t>
        </is>
      </c>
      <c r="N678" t="inlineStr">
        <is>
          <t>[3d ed.]</t>
        </is>
      </c>
      <c r="O678" t="inlineStr">
        <is>
          <t>eng</t>
        </is>
      </c>
      <c r="P678" t="inlineStr">
        <is>
          <t>nju</t>
        </is>
      </c>
      <c r="R678" t="inlineStr">
        <is>
          <t xml:space="preserve">PS </t>
        </is>
      </c>
      <c r="S678" t="n">
        <v>3</v>
      </c>
      <c r="T678" t="n">
        <v>3</v>
      </c>
      <c r="U678" t="inlineStr">
        <is>
          <t>2003-10-06</t>
        </is>
      </c>
      <c r="V678" t="inlineStr">
        <is>
          <t>2003-10-06</t>
        </is>
      </c>
      <c r="W678" t="inlineStr">
        <is>
          <t>1993-12-15</t>
        </is>
      </c>
      <c r="X678" t="inlineStr">
        <is>
          <t>1993-12-15</t>
        </is>
      </c>
      <c r="Y678" t="n">
        <v>882</v>
      </c>
      <c r="Z678" t="n">
        <v>771</v>
      </c>
      <c r="AA678" t="n">
        <v>1963</v>
      </c>
      <c r="AB678" t="n">
        <v>8</v>
      </c>
      <c r="AC678" t="n">
        <v>15</v>
      </c>
      <c r="AD678" t="n">
        <v>32</v>
      </c>
      <c r="AE678" t="n">
        <v>64</v>
      </c>
      <c r="AF678" t="n">
        <v>10</v>
      </c>
      <c r="AG678" t="n">
        <v>27</v>
      </c>
      <c r="AH678" t="n">
        <v>6</v>
      </c>
      <c r="AI678" t="n">
        <v>9</v>
      </c>
      <c r="AJ678" t="n">
        <v>15</v>
      </c>
      <c r="AK678" t="n">
        <v>27</v>
      </c>
      <c r="AL678" t="n">
        <v>7</v>
      </c>
      <c r="AM678" t="n">
        <v>14</v>
      </c>
      <c r="AN678" t="n">
        <v>0</v>
      </c>
      <c r="AO678" t="n">
        <v>0</v>
      </c>
      <c r="AP678" t="inlineStr">
        <is>
          <t>No</t>
        </is>
      </c>
      <c r="AQ678" t="inlineStr">
        <is>
          <t>No</t>
        </is>
      </c>
      <c r="AS678">
        <f>HYPERLINK("https://creighton-primo.hosted.exlibrisgroup.com/primo-explore/search?tab=default_tab&amp;search_scope=EVERYTHING&amp;vid=01CRU&amp;lang=en_US&amp;offset=0&amp;query=any,contains,991002202289702656","Catalog Record")</f>
        <v/>
      </c>
      <c r="AT678">
        <f>HYPERLINK("http://www.worldcat.org/oclc/284638","WorldCat Record")</f>
        <v/>
      </c>
      <c r="AU678" t="inlineStr">
        <is>
          <t>440682:eng</t>
        </is>
      </c>
      <c r="AV678" t="inlineStr">
        <is>
          <t>284638</t>
        </is>
      </c>
      <c r="AW678" t="inlineStr">
        <is>
          <t>991002202289702656</t>
        </is>
      </c>
      <c r="AX678" t="inlineStr">
        <is>
          <t>991002202289702656</t>
        </is>
      </c>
      <c r="AY678" t="inlineStr">
        <is>
          <t>2262635480002656</t>
        </is>
      </c>
      <c r="AZ678" t="inlineStr">
        <is>
          <t>BOOK</t>
        </is>
      </c>
      <c r="BC678" t="inlineStr">
        <is>
          <t>32285001808889</t>
        </is>
      </c>
      <c r="BD678" t="inlineStr">
        <is>
          <t>893785847</t>
        </is>
      </c>
    </row>
    <row r="679">
      <c r="A679" t="inlineStr">
        <is>
          <t>No</t>
        </is>
      </c>
      <c r="B679" t="inlineStr">
        <is>
          <t>PS3515.E37 Z5827</t>
        </is>
      </c>
      <c r="C679" t="inlineStr">
        <is>
          <t>0                      PS 3515000E  37                 Z  5827</t>
        </is>
      </c>
      <c r="D679" t="inlineStr">
        <is>
          <t>Hemingway's Spanish tragedy, by Lawrence R. Broer.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Broer, Lawrence R.</t>
        </is>
      </c>
      <c r="L679" t="inlineStr">
        <is>
          <t>University, University of Alabama Press [1973]</t>
        </is>
      </c>
      <c r="M679" t="inlineStr">
        <is>
          <t>1973</t>
        </is>
      </c>
      <c r="O679" t="inlineStr">
        <is>
          <t>eng</t>
        </is>
      </c>
      <c r="P679" t="inlineStr">
        <is>
          <t>alu</t>
        </is>
      </c>
      <c r="R679" t="inlineStr">
        <is>
          <t xml:space="preserve">PS </t>
        </is>
      </c>
      <c r="S679" t="n">
        <v>2</v>
      </c>
      <c r="T679" t="n">
        <v>2</v>
      </c>
      <c r="U679" t="inlineStr">
        <is>
          <t>2003-09-23</t>
        </is>
      </c>
      <c r="V679" t="inlineStr">
        <is>
          <t>2003-09-23</t>
        </is>
      </c>
      <c r="W679" t="inlineStr">
        <is>
          <t>1997-06-06</t>
        </is>
      </c>
      <c r="X679" t="inlineStr">
        <is>
          <t>1997-06-06</t>
        </is>
      </c>
      <c r="Y679" t="n">
        <v>709</v>
      </c>
      <c r="Z679" t="n">
        <v>618</v>
      </c>
      <c r="AA679" t="n">
        <v>625</v>
      </c>
      <c r="AB679" t="n">
        <v>8</v>
      </c>
      <c r="AC679" t="n">
        <v>8</v>
      </c>
      <c r="AD679" t="n">
        <v>30</v>
      </c>
      <c r="AE679" t="n">
        <v>30</v>
      </c>
      <c r="AF679" t="n">
        <v>9</v>
      </c>
      <c r="AG679" t="n">
        <v>9</v>
      </c>
      <c r="AH679" t="n">
        <v>5</v>
      </c>
      <c r="AI679" t="n">
        <v>5</v>
      </c>
      <c r="AJ679" t="n">
        <v>17</v>
      </c>
      <c r="AK679" t="n">
        <v>17</v>
      </c>
      <c r="AL679" t="n">
        <v>6</v>
      </c>
      <c r="AM679" t="n">
        <v>6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HYPERLINK("http://catalog.hathitrust.org/Record/000437121","HathiTrust Record")</f>
        <v/>
      </c>
      <c r="AS679">
        <f>HYPERLINK("https://creighton-primo.hosted.exlibrisgroup.com/primo-explore/search?tab=default_tab&amp;search_scope=EVERYTHING&amp;vid=01CRU&amp;lang=en_US&amp;offset=0&amp;query=any,contains,991003360629702656","Catalog Record")</f>
        <v/>
      </c>
      <c r="AT679">
        <f>HYPERLINK("http://www.worldcat.org/oclc/897084","WorldCat Record")</f>
        <v/>
      </c>
      <c r="AU679" t="inlineStr">
        <is>
          <t>1883227:eng</t>
        </is>
      </c>
      <c r="AV679" t="inlineStr">
        <is>
          <t>897084</t>
        </is>
      </c>
      <c r="AW679" t="inlineStr">
        <is>
          <t>991003360629702656</t>
        </is>
      </c>
      <c r="AX679" t="inlineStr">
        <is>
          <t>991003360629702656</t>
        </is>
      </c>
      <c r="AY679" t="inlineStr">
        <is>
          <t>2257569270002656</t>
        </is>
      </c>
      <c r="AZ679" t="inlineStr">
        <is>
          <t>BOOK</t>
        </is>
      </c>
      <c r="BB679" t="inlineStr">
        <is>
          <t>9780817371036</t>
        </is>
      </c>
      <c r="BC679" t="inlineStr">
        <is>
          <t>32285002784725</t>
        </is>
      </c>
      <c r="BD679" t="inlineStr">
        <is>
          <t>893410216</t>
        </is>
      </c>
    </row>
    <row r="680">
      <c r="A680" t="inlineStr">
        <is>
          <t>No</t>
        </is>
      </c>
      <c r="B680" t="inlineStr">
        <is>
          <t>PS3515.E37 Z58418 1985</t>
        </is>
      </c>
      <c r="C680" t="inlineStr">
        <is>
          <t>0                      PS 3515000E  37                 Z  58418       1985</t>
        </is>
      </c>
      <c r="D680" t="inlineStr">
        <is>
          <t>Hemingway and the Hispanic world / by Angel Capellán.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Capellán, Angel.</t>
        </is>
      </c>
      <c r="L680" t="inlineStr">
        <is>
          <t>Ann Arbor, Mich. : UMI Research Press, c1985.</t>
        </is>
      </c>
      <c r="M680" t="inlineStr">
        <is>
          <t>1985</t>
        </is>
      </c>
      <c r="O680" t="inlineStr">
        <is>
          <t>eng</t>
        </is>
      </c>
      <c r="P680" t="inlineStr">
        <is>
          <t>miu</t>
        </is>
      </c>
      <c r="Q680" t="inlineStr">
        <is>
          <t>Studies in modern literature ; no. 51</t>
        </is>
      </c>
      <c r="R680" t="inlineStr">
        <is>
          <t xml:space="preserve">PS </t>
        </is>
      </c>
      <c r="S680" t="n">
        <v>4</v>
      </c>
      <c r="T680" t="n">
        <v>4</v>
      </c>
      <c r="U680" t="inlineStr">
        <is>
          <t>2003-12-02</t>
        </is>
      </c>
      <c r="V680" t="inlineStr">
        <is>
          <t>2003-12-02</t>
        </is>
      </c>
      <c r="W680" t="inlineStr">
        <is>
          <t>1990-11-14</t>
        </is>
      </c>
      <c r="X680" t="inlineStr">
        <is>
          <t>1990-11-14</t>
        </is>
      </c>
      <c r="Y680" t="n">
        <v>289</v>
      </c>
      <c r="Z680" t="n">
        <v>231</v>
      </c>
      <c r="AA680" t="n">
        <v>238</v>
      </c>
      <c r="AB680" t="n">
        <v>2</v>
      </c>
      <c r="AC680" t="n">
        <v>2</v>
      </c>
      <c r="AD680" t="n">
        <v>9</v>
      </c>
      <c r="AE680" t="n">
        <v>9</v>
      </c>
      <c r="AF680" t="n">
        <v>1</v>
      </c>
      <c r="AG680" t="n">
        <v>1</v>
      </c>
      <c r="AH680" t="n">
        <v>4</v>
      </c>
      <c r="AI680" t="n">
        <v>4</v>
      </c>
      <c r="AJ680" t="n">
        <v>5</v>
      </c>
      <c r="AK680" t="n">
        <v>5</v>
      </c>
      <c r="AL680" t="n">
        <v>1</v>
      </c>
      <c r="AM680" t="n">
        <v>1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HYPERLINK("http://catalog.hathitrust.org/Record/000351145","HathiTrust Record")</f>
        <v/>
      </c>
      <c r="AS680">
        <f>HYPERLINK("https://creighton-primo.hosted.exlibrisgroup.com/primo-explore/search?tab=default_tab&amp;search_scope=EVERYTHING&amp;vid=01CRU&amp;lang=en_US&amp;offset=0&amp;query=any,contains,991000625799702656","Catalog Record")</f>
        <v/>
      </c>
      <c r="AT680">
        <f>HYPERLINK("http://www.worldcat.org/oclc/12022145","WorldCat Record")</f>
        <v/>
      </c>
      <c r="AU680" t="inlineStr">
        <is>
          <t>4517141:eng</t>
        </is>
      </c>
      <c r="AV680" t="inlineStr">
        <is>
          <t>12022145</t>
        </is>
      </c>
      <c r="AW680" t="inlineStr">
        <is>
          <t>991000625799702656</t>
        </is>
      </c>
      <c r="AX680" t="inlineStr">
        <is>
          <t>991000625799702656</t>
        </is>
      </c>
      <c r="AY680" t="inlineStr">
        <is>
          <t>2270888830002656</t>
        </is>
      </c>
      <c r="AZ680" t="inlineStr">
        <is>
          <t>BOOK</t>
        </is>
      </c>
      <c r="BB680" t="inlineStr">
        <is>
          <t>9780835716659</t>
        </is>
      </c>
      <c r="BC680" t="inlineStr">
        <is>
          <t>32285000378652</t>
        </is>
      </c>
      <c r="BD680" t="inlineStr">
        <is>
          <t>893865537</t>
        </is>
      </c>
    </row>
    <row r="681">
      <c r="A681" t="inlineStr">
        <is>
          <t>No</t>
        </is>
      </c>
      <c r="B681" t="inlineStr">
        <is>
          <t>PS3515.E37 Z58465 1987</t>
        </is>
      </c>
      <c r="C681" t="inlineStr">
        <is>
          <t>0                      PS 3515000E  37                 Z  58465       1987</t>
        </is>
      </c>
      <c r="D681" t="inlineStr">
        <is>
          <t>The politics of Ernest Hemingway / by Stephen Cooper.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Cooper, Stephen, 1955-</t>
        </is>
      </c>
      <c r="L681" t="inlineStr">
        <is>
          <t>Ann Arbor, Mich. : UMI Research Press, c1987.</t>
        </is>
      </c>
      <c r="M681" t="inlineStr">
        <is>
          <t>1987</t>
        </is>
      </c>
      <c r="O681" t="inlineStr">
        <is>
          <t>eng</t>
        </is>
      </c>
      <c r="P681" t="inlineStr">
        <is>
          <t>miu</t>
        </is>
      </c>
      <c r="Q681" t="inlineStr">
        <is>
          <t>Studies in modern literature ; no. 71</t>
        </is>
      </c>
      <c r="R681" t="inlineStr">
        <is>
          <t xml:space="preserve">PS </t>
        </is>
      </c>
      <c r="S681" t="n">
        <v>1</v>
      </c>
      <c r="T681" t="n">
        <v>1</v>
      </c>
      <c r="U681" t="inlineStr">
        <is>
          <t>1992-11-20</t>
        </is>
      </c>
      <c r="V681" t="inlineStr">
        <is>
          <t>1992-11-20</t>
        </is>
      </c>
      <c r="W681" t="inlineStr">
        <is>
          <t>1990-11-14</t>
        </is>
      </c>
      <c r="X681" t="inlineStr">
        <is>
          <t>1990-11-14</t>
        </is>
      </c>
      <c r="Y681" t="n">
        <v>328</v>
      </c>
      <c r="Z681" t="n">
        <v>269</v>
      </c>
      <c r="AA681" t="n">
        <v>275</v>
      </c>
      <c r="AB681" t="n">
        <v>2</v>
      </c>
      <c r="AC681" t="n">
        <v>2</v>
      </c>
      <c r="AD681" t="n">
        <v>10</v>
      </c>
      <c r="AE681" t="n">
        <v>10</v>
      </c>
      <c r="AF681" t="n">
        <v>3</v>
      </c>
      <c r="AG681" t="n">
        <v>3</v>
      </c>
      <c r="AH681" t="n">
        <v>3</v>
      </c>
      <c r="AI681" t="n">
        <v>3</v>
      </c>
      <c r="AJ681" t="n">
        <v>6</v>
      </c>
      <c r="AK681" t="n">
        <v>6</v>
      </c>
      <c r="AL681" t="n">
        <v>1</v>
      </c>
      <c r="AM681" t="n">
        <v>1</v>
      </c>
      <c r="AN681" t="n">
        <v>0</v>
      </c>
      <c r="AO681" t="n">
        <v>0</v>
      </c>
      <c r="AP681" t="inlineStr">
        <is>
          <t>No</t>
        </is>
      </c>
      <c r="AQ681" t="inlineStr">
        <is>
          <t>Yes</t>
        </is>
      </c>
      <c r="AR681">
        <f>HYPERLINK("http://catalog.hathitrust.org/Record/000851770","HathiTrust Record")</f>
        <v/>
      </c>
      <c r="AS681">
        <f>HYPERLINK("https://creighton-primo.hosted.exlibrisgroup.com/primo-explore/search?tab=default_tab&amp;search_scope=EVERYTHING&amp;vid=01CRU&amp;lang=en_US&amp;offset=0&amp;query=any,contains,991001021069702656","Catalog Record")</f>
        <v/>
      </c>
      <c r="AT681">
        <f>HYPERLINK("http://www.worldcat.org/oclc/15366974","WorldCat Record")</f>
        <v/>
      </c>
      <c r="AU681" t="inlineStr">
        <is>
          <t>10033017597:eng</t>
        </is>
      </c>
      <c r="AV681" t="inlineStr">
        <is>
          <t>15366974</t>
        </is>
      </c>
      <c r="AW681" t="inlineStr">
        <is>
          <t>991001021069702656</t>
        </is>
      </c>
      <c r="AX681" t="inlineStr">
        <is>
          <t>991001021069702656</t>
        </is>
      </c>
      <c r="AY681" t="inlineStr">
        <is>
          <t>2260540380002656</t>
        </is>
      </c>
      <c r="AZ681" t="inlineStr">
        <is>
          <t>BOOK</t>
        </is>
      </c>
      <c r="BB681" t="inlineStr">
        <is>
          <t>9780835717991</t>
        </is>
      </c>
      <c r="BC681" t="inlineStr">
        <is>
          <t>32285000378660</t>
        </is>
      </c>
      <c r="BD681" t="inlineStr">
        <is>
          <t>893784748</t>
        </is>
      </c>
    </row>
    <row r="682">
      <c r="A682" t="inlineStr">
        <is>
          <t>No</t>
        </is>
      </c>
      <c r="B682" t="inlineStr">
        <is>
          <t>PS3515.E37 Z59 1958b</t>
        </is>
      </c>
      <c r="C682" t="inlineStr">
        <is>
          <t>0                      PS 3515000E  37                 Z  59          1958b</t>
        </is>
      </c>
      <c r="D682" t="inlineStr">
        <is>
          <t>The apprenticeship of Ernest Hemingway : the early years.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Fenton, Charles A.</t>
        </is>
      </c>
      <c r="L682" t="inlineStr">
        <is>
          <t>New York : Viking Press, [1958, c1954]</t>
        </is>
      </c>
      <c r="M682" t="inlineStr">
        <is>
          <t>1958</t>
        </is>
      </c>
      <c r="O682" t="inlineStr">
        <is>
          <t>eng</t>
        </is>
      </c>
      <c r="P682" t="inlineStr">
        <is>
          <t>nyu</t>
        </is>
      </c>
      <c r="Q682" t="inlineStr">
        <is>
          <t>The compass books, C34</t>
        </is>
      </c>
      <c r="R682" t="inlineStr">
        <is>
          <t xml:space="preserve">PS </t>
        </is>
      </c>
      <c r="S682" t="n">
        <v>3</v>
      </c>
      <c r="T682" t="n">
        <v>3</v>
      </c>
      <c r="U682" t="inlineStr">
        <is>
          <t>1994-11-07</t>
        </is>
      </c>
      <c r="V682" t="inlineStr">
        <is>
          <t>1994-11-07</t>
        </is>
      </c>
      <c r="W682" t="inlineStr">
        <is>
          <t>1992-01-23</t>
        </is>
      </c>
      <c r="X682" t="inlineStr">
        <is>
          <t>1992-01-23</t>
        </is>
      </c>
      <c r="Y682" t="n">
        <v>290</v>
      </c>
      <c r="Z682" t="n">
        <v>259</v>
      </c>
      <c r="AA682" t="n">
        <v>1108</v>
      </c>
      <c r="AB682" t="n">
        <v>2</v>
      </c>
      <c r="AC682" t="n">
        <v>9</v>
      </c>
      <c r="AD682" t="n">
        <v>12</v>
      </c>
      <c r="AE682" t="n">
        <v>53</v>
      </c>
      <c r="AF682" t="n">
        <v>4</v>
      </c>
      <c r="AG682" t="n">
        <v>23</v>
      </c>
      <c r="AH682" t="n">
        <v>2</v>
      </c>
      <c r="AI682" t="n">
        <v>10</v>
      </c>
      <c r="AJ682" t="n">
        <v>7</v>
      </c>
      <c r="AK682" t="n">
        <v>25</v>
      </c>
      <c r="AL682" t="n">
        <v>1</v>
      </c>
      <c r="AM682" t="n">
        <v>7</v>
      </c>
      <c r="AN682" t="n">
        <v>0</v>
      </c>
      <c r="AO682" t="n">
        <v>0</v>
      </c>
      <c r="AP682" t="inlineStr">
        <is>
          <t>No</t>
        </is>
      </c>
      <c r="AQ682" t="inlineStr">
        <is>
          <t>No</t>
        </is>
      </c>
      <c r="AS682">
        <f>HYPERLINK("https://creighton-primo.hosted.exlibrisgroup.com/primo-explore/search?tab=default_tab&amp;search_scope=EVERYTHING&amp;vid=01CRU&amp;lang=en_US&amp;offset=0&amp;query=any,contains,991002002189702656","Catalog Record")</f>
        <v/>
      </c>
      <c r="AT682">
        <f>HYPERLINK("http://www.worldcat.org/oclc/256798","WorldCat Record")</f>
        <v/>
      </c>
      <c r="AU682" t="inlineStr">
        <is>
          <t>451152:eng</t>
        </is>
      </c>
      <c r="AV682" t="inlineStr">
        <is>
          <t>256798</t>
        </is>
      </c>
      <c r="AW682" t="inlineStr">
        <is>
          <t>991002002189702656</t>
        </is>
      </c>
      <c r="AX682" t="inlineStr">
        <is>
          <t>991002002189702656</t>
        </is>
      </c>
      <c r="AY682" t="inlineStr">
        <is>
          <t>2272339010002656</t>
        </is>
      </c>
      <c r="AZ682" t="inlineStr">
        <is>
          <t>BOOK</t>
        </is>
      </c>
      <c r="BC682" t="inlineStr">
        <is>
          <t>32285000916857</t>
        </is>
      </c>
      <c r="BD682" t="inlineStr">
        <is>
          <t>893596921</t>
        </is>
      </c>
    </row>
    <row r="683">
      <c r="A683" t="inlineStr">
        <is>
          <t>No</t>
        </is>
      </c>
      <c r="B683" t="inlineStr">
        <is>
          <t>PS3515.E37 Z5945 1984</t>
        </is>
      </c>
      <c r="C683" t="inlineStr">
        <is>
          <t>0                      PS 3515000E  37                 Z  5945        1984</t>
        </is>
      </c>
      <c r="D683" t="inlineStr">
        <is>
          <t>Hemingway en Cuba / Norberto Fuentes ; praologo de Gabriel Garcaia Maarquez.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Fuentes, Norberto.</t>
        </is>
      </c>
      <c r="L683" t="inlineStr">
        <is>
          <t>Ciudad de la Habana, Cuba : Editorial Letras Cubanas, 1984.</t>
        </is>
      </c>
      <c r="M683" t="inlineStr">
        <is>
          <t>1984</t>
        </is>
      </c>
      <c r="O683" t="inlineStr">
        <is>
          <t>spa</t>
        </is>
      </c>
      <c r="P683" t="inlineStr">
        <is>
          <t xml:space="preserve">cu </t>
        </is>
      </c>
      <c r="R683" t="inlineStr">
        <is>
          <t xml:space="preserve">PS </t>
        </is>
      </c>
      <c r="S683" t="n">
        <v>1</v>
      </c>
      <c r="T683" t="n">
        <v>1</v>
      </c>
      <c r="U683" t="inlineStr">
        <is>
          <t>2005-06-08</t>
        </is>
      </c>
      <c r="V683" t="inlineStr">
        <is>
          <t>2005-06-08</t>
        </is>
      </c>
      <c r="W683" t="inlineStr">
        <is>
          <t>2004-08-02</t>
        </is>
      </c>
      <c r="X683" t="inlineStr">
        <is>
          <t>2004-08-02</t>
        </is>
      </c>
      <c r="Y683" t="n">
        <v>63</v>
      </c>
      <c r="Z683" t="n">
        <v>46</v>
      </c>
      <c r="AA683" t="n">
        <v>73</v>
      </c>
      <c r="AB683" t="n">
        <v>1</v>
      </c>
      <c r="AC683" t="n">
        <v>1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0</v>
      </c>
      <c r="AM683" t="n">
        <v>0</v>
      </c>
      <c r="AN683" t="n">
        <v>0</v>
      </c>
      <c r="AO683" t="n">
        <v>0</v>
      </c>
      <c r="AP683" t="inlineStr">
        <is>
          <t>No</t>
        </is>
      </c>
      <c r="AQ683" t="inlineStr">
        <is>
          <t>Yes</t>
        </is>
      </c>
      <c r="AR683">
        <f>HYPERLINK("http://catalog.hathitrust.org/Record/101031549","HathiTrust Record")</f>
        <v/>
      </c>
      <c r="AS683">
        <f>HYPERLINK("https://creighton-primo.hosted.exlibrisgroup.com/primo-explore/search?tab=default_tab&amp;search_scope=EVERYTHING&amp;vid=01CRU&amp;lang=en_US&amp;offset=0&amp;query=any,contains,991004332219702656","Catalog Record")</f>
        <v/>
      </c>
      <c r="AT683">
        <f>HYPERLINK("http://www.worldcat.org/oclc/13217729","WorldCat Record")</f>
        <v/>
      </c>
      <c r="AU683" t="inlineStr">
        <is>
          <t>2972226:spa</t>
        </is>
      </c>
      <c r="AV683" t="inlineStr">
        <is>
          <t>13217729</t>
        </is>
      </c>
      <c r="AW683" t="inlineStr">
        <is>
          <t>991004332219702656</t>
        </is>
      </c>
      <c r="AX683" t="inlineStr">
        <is>
          <t>991004332219702656</t>
        </is>
      </c>
      <c r="AY683" t="inlineStr">
        <is>
          <t>2260009280002656</t>
        </is>
      </c>
      <c r="AZ683" t="inlineStr">
        <is>
          <t>BOOK</t>
        </is>
      </c>
      <c r="BC683" t="inlineStr">
        <is>
          <t>32285004927124</t>
        </is>
      </c>
      <c r="BD683" t="inlineStr">
        <is>
          <t>893235350</t>
        </is>
      </c>
    </row>
    <row r="684">
      <c r="A684" t="inlineStr">
        <is>
          <t>No</t>
        </is>
      </c>
      <c r="B684" t="inlineStr">
        <is>
          <t>PS3515.E37 Z594513 1984</t>
        </is>
      </c>
      <c r="C684" t="inlineStr">
        <is>
          <t>0                      PS 3515000E  37                 Z  594513      1984</t>
        </is>
      </c>
      <c r="D684" t="inlineStr">
        <is>
          <t>Hemingway in Cuba / by Norberto Fuentes ; with an introduction by Gabriel García Márquez ; translated by Consuelo E. Corwin ; edited by Larry Alson.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Fuentes, Norberto.</t>
        </is>
      </c>
      <c r="L684" t="inlineStr">
        <is>
          <t>Secaucus, N.J. : L. Stuart, c1984.</t>
        </is>
      </c>
      <c r="M684" t="inlineStr">
        <is>
          <t>1984</t>
        </is>
      </c>
      <c r="N684" t="inlineStr">
        <is>
          <t>1st ed.</t>
        </is>
      </c>
      <c r="O684" t="inlineStr">
        <is>
          <t>eng</t>
        </is>
      </c>
      <c r="P684" t="inlineStr">
        <is>
          <t>nju</t>
        </is>
      </c>
      <c r="R684" t="inlineStr">
        <is>
          <t xml:space="preserve">PS </t>
        </is>
      </c>
      <c r="S684" t="n">
        <v>5</v>
      </c>
      <c r="T684" t="n">
        <v>5</v>
      </c>
      <c r="U684" t="inlineStr">
        <is>
          <t>2003-09-25</t>
        </is>
      </c>
      <c r="V684" t="inlineStr">
        <is>
          <t>2003-09-25</t>
        </is>
      </c>
      <c r="W684" t="inlineStr">
        <is>
          <t>1990-11-14</t>
        </is>
      </c>
      <c r="X684" t="inlineStr">
        <is>
          <t>1990-11-14</t>
        </is>
      </c>
      <c r="Y684" t="n">
        <v>688</v>
      </c>
      <c r="Z684" t="n">
        <v>622</v>
      </c>
      <c r="AA684" t="n">
        <v>624</v>
      </c>
      <c r="AB684" t="n">
        <v>3</v>
      </c>
      <c r="AC684" t="n">
        <v>3</v>
      </c>
      <c r="AD684" t="n">
        <v>24</v>
      </c>
      <c r="AE684" t="n">
        <v>24</v>
      </c>
      <c r="AF684" t="n">
        <v>9</v>
      </c>
      <c r="AG684" t="n">
        <v>9</v>
      </c>
      <c r="AH684" t="n">
        <v>7</v>
      </c>
      <c r="AI684" t="n">
        <v>7</v>
      </c>
      <c r="AJ684" t="n">
        <v>13</v>
      </c>
      <c r="AK684" t="n">
        <v>13</v>
      </c>
      <c r="AL684" t="n">
        <v>2</v>
      </c>
      <c r="AM684" t="n">
        <v>2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HYPERLINK("http://catalog.hathitrust.org/Record/000290943","HathiTrust Record")</f>
        <v/>
      </c>
      <c r="AS684">
        <f>HYPERLINK("https://creighton-primo.hosted.exlibrisgroup.com/primo-explore/search?tab=default_tab&amp;search_scope=EVERYTHING&amp;vid=01CRU&amp;lang=en_US&amp;offset=0&amp;query=any,contains,991000426869702656","Catalog Record")</f>
        <v/>
      </c>
      <c r="AT684">
        <f>HYPERLINK("http://www.worldcat.org/oclc/10754075","WorldCat Record")</f>
        <v/>
      </c>
      <c r="AU684" t="inlineStr">
        <is>
          <t>2972226:eng</t>
        </is>
      </c>
      <c r="AV684" t="inlineStr">
        <is>
          <t>10754075</t>
        </is>
      </c>
      <c r="AW684" t="inlineStr">
        <is>
          <t>991000426869702656</t>
        </is>
      </c>
      <c r="AX684" t="inlineStr">
        <is>
          <t>991000426869702656</t>
        </is>
      </c>
      <c r="AY684" t="inlineStr">
        <is>
          <t>2268284730002656</t>
        </is>
      </c>
      <c r="AZ684" t="inlineStr">
        <is>
          <t>BOOK</t>
        </is>
      </c>
      <c r="BB684" t="inlineStr">
        <is>
          <t>9780818403569</t>
        </is>
      </c>
      <c r="BC684" t="inlineStr">
        <is>
          <t>32285000378694</t>
        </is>
      </c>
      <c r="BD684" t="inlineStr">
        <is>
          <t>893802763</t>
        </is>
      </c>
    </row>
    <row r="685">
      <c r="A685" t="inlineStr">
        <is>
          <t>No</t>
        </is>
      </c>
      <c r="B685" t="inlineStr">
        <is>
          <t>PS3515.E37 Z5953 1988</t>
        </is>
      </c>
      <c r="C685" t="inlineStr">
        <is>
          <t>0                      PS 3515000E  37                 Z  5953        1988</t>
        </is>
      </c>
      <c r="D685" t="inlineStr">
        <is>
          <t>Hemingway and nineteenth-century aestheticism / by John Gaggin.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Gaggin, John.</t>
        </is>
      </c>
      <c r="L685" t="inlineStr">
        <is>
          <t>Ann Arbor, Mich. : UMI Research Press, c1988.</t>
        </is>
      </c>
      <c r="M685" t="inlineStr">
        <is>
          <t>1988</t>
        </is>
      </c>
      <c r="O685" t="inlineStr">
        <is>
          <t>eng</t>
        </is>
      </c>
      <c r="P685" t="inlineStr">
        <is>
          <t>miu</t>
        </is>
      </c>
      <c r="Q685" t="inlineStr">
        <is>
          <t>Studies in modern literature ; no. 91</t>
        </is>
      </c>
      <c r="R685" t="inlineStr">
        <is>
          <t xml:space="preserve">PS </t>
        </is>
      </c>
      <c r="S685" t="n">
        <v>2</v>
      </c>
      <c r="T685" t="n">
        <v>2</v>
      </c>
      <c r="U685" t="inlineStr">
        <is>
          <t>1992-11-16</t>
        </is>
      </c>
      <c r="V685" t="inlineStr">
        <is>
          <t>1992-11-16</t>
        </is>
      </c>
      <c r="W685" t="inlineStr">
        <is>
          <t>1990-02-27</t>
        </is>
      </c>
      <c r="X685" t="inlineStr">
        <is>
          <t>1990-02-27</t>
        </is>
      </c>
      <c r="Y685" t="n">
        <v>285</v>
      </c>
      <c r="Z685" t="n">
        <v>231</v>
      </c>
      <c r="AA685" t="n">
        <v>237</v>
      </c>
      <c r="AB685" t="n">
        <v>3</v>
      </c>
      <c r="AC685" t="n">
        <v>3</v>
      </c>
      <c r="AD685" t="n">
        <v>13</v>
      </c>
      <c r="AE685" t="n">
        <v>13</v>
      </c>
      <c r="AF685" t="n">
        <v>4</v>
      </c>
      <c r="AG685" t="n">
        <v>4</v>
      </c>
      <c r="AH685" t="n">
        <v>4</v>
      </c>
      <c r="AI685" t="n">
        <v>4</v>
      </c>
      <c r="AJ685" t="n">
        <v>9</v>
      </c>
      <c r="AK685" t="n">
        <v>9</v>
      </c>
      <c r="AL685" t="n">
        <v>2</v>
      </c>
      <c r="AM685" t="n">
        <v>2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HYPERLINK("http://catalog.hathitrust.org/Record/000877576","HathiTrust Record")</f>
        <v/>
      </c>
      <c r="AS685">
        <f>HYPERLINK("https://creighton-primo.hosted.exlibrisgroup.com/primo-explore/search?tab=default_tab&amp;search_scope=EVERYTHING&amp;vid=01CRU&amp;lang=en_US&amp;offset=0&amp;query=any,contains,991001144229702656","Catalog Record")</f>
        <v/>
      </c>
      <c r="AT685">
        <f>HYPERLINK("http://www.worldcat.org/oclc/16756780","WorldCat Record")</f>
        <v/>
      </c>
      <c r="AU685" t="inlineStr">
        <is>
          <t>13212850:eng</t>
        </is>
      </c>
      <c r="AV685" t="inlineStr">
        <is>
          <t>16756780</t>
        </is>
      </c>
      <c r="AW685" t="inlineStr">
        <is>
          <t>991001144229702656</t>
        </is>
      </c>
      <c r="AX685" t="inlineStr">
        <is>
          <t>991001144229702656</t>
        </is>
      </c>
      <c r="AY685" t="inlineStr">
        <is>
          <t>2262236320002656</t>
        </is>
      </c>
      <c r="AZ685" t="inlineStr">
        <is>
          <t>BOOK</t>
        </is>
      </c>
      <c r="BB685" t="inlineStr">
        <is>
          <t>9780835718592</t>
        </is>
      </c>
      <c r="BC685" t="inlineStr">
        <is>
          <t>32285000072065</t>
        </is>
      </c>
      <c r="BD685" t="inlineStr">
        <is>
          <t>893256053</t>
        </is>
      </c>
    </row>
    <row r="686">
      <c r="A686" t="inlineStr">
        <is>
          <t>No</t>
        </is>
      </c>
      <c r="B686" t="inlineStr">
        <is>
          <t>PS3515.E37 Z597</t>
        </is>
      </c>
      <c r="C686" t="inlineStr">
        <is>
          <t>0                      PS 3515000E  37                 Z  597</t>
        </is>
      </c>
      <c r="D686" t="inlineStr">
        <is>
          <t>Hemingway's craft / with a pref. by Harry T. Moore.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Grebstein, Sheldon Norman.</t>
        </is>
      </c>
      <c r="L686" t="inlineStr">
        <is>
          <t>Carbondale : Southern Illinois University Press, [1973]</t>
        </is>
      </c>
      <c r="M686" t="inlineStr">
        <is>
          <t>1973</t>
        </is>
      </c>
      <c r="O686" t="inlineStr">
        <is>
          <t>eng</t>
        </is>
      </c>
      <c r="P686" t="inlineStr">
        <is>
          <t>ilu</t>
        </is>
      </c>
      <c r="Q686" t="inlineStr">
        <is>
          <t>Crosscurrents/modern critiques</t>
        </is>
      </c>
      <c r="R686" t="inlineStr">
        <is>
          <t xml:space="preserve">PS </t>
        </is>
      </c>
      <c r="S686" t="n">
        <v>3</v>
      </c>
      <c r="T686" t="n">
        <v>3</v>
      </c>
      <c r="U686" t="inlineStr">
        <is>
          <t>1995-04-11</t>
        </is>
      </c>
      <c r="V686" t="inlineStr">
        <is>
          <t>1995-04-11</t>
        </is>
      </c>
      <c r="W686" t="inlineStr">
        <is>
          <t>1992-01-23</t>
        </is>
      </c>
      <c r="X686" t="inlineStr">
        <is>
          <t>1992-01-23</t>
        </is>
      </c>
      <c r="Y686" t="n">
        <v>870</v>
      </c>
      <c r="Z686" t="n">
        <v>781</v>
      </c>
      <c r="AA686" t="n">
        <v>782</v>
      </c>
      <c r="AB686" t="n">
        <v>5</v>
      </c>
      <c r="AC686" t="n">
        <v>5</v>
      </c>
      <c r="AD686" t="n">
        <v>30</v>
      </c>
      <c r="AE686" t="n">
        <v>30</v>
      </c>
      <c r="AF686" t="n">
        <v>11</v>
      </c>
      <c r="AG686" t="n">
        <v>11</v>
      </c>
      <c r="AH686" t="n">
        <v>8</v>
      </c>
      <c r="AI686" t="n">
        <v>8</v>
      </c>
      <c r="AJ686" t="n">
        <v>16</v>
      </c>
      <c r="AK686" t="n">
        <v>16</v>
      </c>
      <c r="AL686" t="n">
        <v>4</v>
      </c>
      <c r="AM686" t="n">
        <v>4</v>
      </c>
      <c r="AN686" t="n">
        <v>0</v>
      </c>
      <c r="AO686" t="n">
        <v>0</v>
      </c>
      <c r="AP686" t="inlineStr">
        <is>
          <t>No</t>
        </is>
      </c>
      <c r="AQ686" t="inlineStr">
        <is>
          <t>No</t>
        </is>
      </c>
      <c r="AS686">
        <f>HYPERLINK("https://creighton-primo.hosted.exlibrisgroup.com/primo-explore/search?tab=default_tab&amp;search_scope=EVERYTHING&amp;vid=01CRU&amp;lang=en_US&amp;offset=0&amp;query=any,contains,991002838869702656","Catalog Record")</f>
        <v/>
      </c>
      <c r="AT686">
        <f>HYPERLINK("http://www.worldcat.org/oclc/481108","WorldCat Record")</f>
        <v/>
      </c>
      <c r="AU686" t="inlineStr">
        <is>
          <t>466889:eng</t>
        </is>
      </c>
      <c r="AV686" t="inlineStr">
        <is>
          <t>481108</t>
        </is>
      </c>
      <c r="AW686" t="inlineStr">
        <is>
          <t>991002838869702656</t>
        </is>
      </c>
      <c r="AX686" t="inlineStr">
        <is>
          <t>991002838869702656</t>
        </is>
      </c>
      <c r="AY686" t="inlineStr">
        <is>
          <t>2269485480002656</t>
        </is>
      </c>
      <c r="AZ686" t="inlineStr">
        <is>
          <t>BOOK</t>
        </is>
      </c>
      <c r="BB686" t="inlineStr">
        <is>
          <t>9780809306114</t>
        </is>
      </c>
      <c r="BC686" t="inlineStr">
        <is>
          <t>32285000916840</t>
        </is>
      </c>
      <c r="BD686" t="inlineStr">
        <is>
          <t>893530546</t>
        </is>
      </c>
    </row>
    <row r="687">
      <c r="A687" t="inlineStr">
        <is>
          <t>No</t>
        </is>
      </c>
      <c r="B687" t="inlineStr">
        <is>
          <t>PS3515.E37 Z613</t>
        </is>
      </c>
      <c r="C687" t="inlineStr">
        <is>
          <t>0                      PS 3515000E  37                 Z  613</t>
        </is>
      </c>
      <c r="D687" t="inlineStr">
        <is>
          <t>Ernest Hemingway and the pursuit of heroism.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Gurko, Leo, 1914-</t>
        </is>
      </c>
      <c r="L687" t="inlineStr">
        <is>
          <t>New York : Crowell, [1968]</t>
        </is>
      </c>
      <c r="M687" t="inlineStr">
        <is>
          <t>1968</t>
        </is>
      </c>
      <c r="O687" t="inlineStr">
        <is>
          <t>eng</t>
        </is>
      </c>
      <c r="P687" t="inlineStr">
        <is>
          <t>nyu</t>
        </is>
      </c>
      <c r="Q687" t="inlineStr">
        <is>
          <t>Twentieth-century American writers</t>
        </is>
      </c>
      <c r="R687" t="inlineStr">
        <is>
          <t xml:space="preserve">PS </t>
        </is>
      </c>
      <c r="S687" t="n">
        <v>13</v>
      </c>
      <c r="T687" t="n">
        <v>13</v>
      </c>
      <c r="U687" t="inlineStr">
        <is>
          <t>2005-05-03</t>
        </is>
      </c>
      <c r="V687" t="inlineStr">
        <is>
          <t>2005-05-03</t>
        </is>
      </c>
      <c r="W687" t="inlineStr">
        <is>
          <t>1991-12-13</t>
        </is>
      </c>
      <c r="X687" t="inlineStr">
        <is>
          <t>1991-12-13</t>
        </is>
      </c>
      <c r="Y687" t="n">
        <v>1172</v>
      </c>
      <c r="Z687" t="n">
        <v>1092</v>
      </c>
      <c r="AA687" t="n">
        <v>1122</v>
      </c>
      <c r="AB687" t="n">
        <v>9</v>
      </c>
      <c r="AC687" t="n">
        <v>9</v>
      </c>
      <c r="AD687" t="n">
        <v>28</v>
      </c>
      <c r="AE687" t="n">
        <v>28</v>
      </c>
      <c r="AF687" t="n">
        <v>9</v>
      </c>
      <c r="AG687" t="n">
        <v>9</v>
      </c>
      <c r="AH687" t="n">
        <v>7</v>
      </c>
      <c r="AI687" t="n">
        <v>7</v>
      </c>
      <c r="AJ687" t="n">
        <v>14</v>
      </c>
      <c r="AK687" t="n">
        <v>14</v>
      </c>
      <c r="AL687" t="n">
        <v>5</v>
      </c>
      <c r="AM687" t="n">
        <v>5</v>
      </c>
      <c r="AN687" t="n">
        <v>0</v>
      </c>
      <c r="AO687" t="n">
        <v>0</v>
      </c>
      <c r="AP687" t="inlineStr">
        <is>
          <t>No</t>
        </is>
      </c>
      <c r="AQ687" t="inlineStr">
        <is>
          <t>No</t>
        </is>
      </c>
      <c r="AS687">
        <f>HYPERLINK("https://creighton-primo.hosted.exlibrisgroup.com/primo-explore/search?tab=default_tab&amp;search_scope=EVERYTHING&amp;vid=01CRU&amp;lang=en_US&amp;offset=0&amp;query=any,contains,991002661179702656","Catalog Record")</f>
        <v/>
      </c>
      <c r="AT687">
        <f>HYPERLINK("http://www.worldcat.org/oclc/391519","WorldCat Record")</f>
        <v/>
      </c>
      <c r="AU687" t="inlineStr">
        <is>
          <t>440142:eng</t>
        </is>
      </c>
      <c r="AV687" t="inlineStr">
        <is>
          <t>391519</t>
        </is>
      </c>
      <c r="AW687" t="inlineStr">
        <is>
          <t>991002661179702656</t>
        </is>
      </c>
      <c r="AX687" t="inlineStr">
        <is>
          <t>991002661179702656</t>
        </is>
      </c>
      <c r="AY687" t="inlineStr">
        <is>
          <t>2263076770002656</t>
        </is>
      </c>
      <c r="AZ687" t="inlineStr">
        <is>
          <t>BOOK</t>
        </is>
      </c>
      <c r="BC687" t="inlineStr">
        <is>
          <t>32285000876861</t>
        </is>
      </c>
      <c r="BD687" t="inlineStr">
        <is>
          <t>893239344</t>
        </is>
      </c>
    </row>
    <row r="688">
      <c r="A688" t="inlineStr">
        <is>
          <t>No</t>
        </is>
      </c>
      <c r="B688" t="inlineStr">
        <is>
          <t>PS3515.E37 Z6179 1983</t>
        </is>
      </c>
      <c r="C688" t="inlineStr">
        <is>
          <t>0                      PS 3515000E  37                 Z  6179        1983</t>
        </is>
      </c>
      <c r="D688" t="inlineStr">
        <is>
          <t>Hemingway, a revaluation / edited by Donald R. Noble.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L688" t="inlineStr">
        <is>
          <t>Troy, N.Y. : Whitston Pub. Co., 1983.</t>
        </is>
      </c>
      <c r="M688" t="inlineStr">
        <is>
          <t>1983</t>
        </is>
      </c>
      <c r="O688" t="inlineStr">
        <is>
          <t>eng</t>
        </is>
      </c>
      <c r="P688" t="inlineStr">
        <is>
          <t>nyu</t>
        </is>
      </c>
      <c r="R688" t="inlineStr">
        <is>
          <t xml:space="preserve">PS </t>
        </is>
      </c>
      <c r="S688" t="n">
        <v>3</v>
      </c>
      <c r="T688" t="n">
        <v>3</v>
      </c>
      <c r="U688" t="inlineStr">
        <is>
          <t>1992-12-14</t>
        </is>
      </c>
      <c r="V688" t="inlineStr">
        <is>
          <t>1992-12-14</t>
        </is>
      </c>
      <c r="W688" t="inlineStr">
        <is>
          <t>1990-11-14</t>
        </is>
      </c>
      <c r="X688" t="inlineStr">
        <is>
          <t>1990-11-14</t>
        </is>
      </c>
      <c r="Y688" t="n">
        <v>343</v>
      </c>
      <c r="Z688" t="n">
        <v>304</v>
      </c>
      <c r="AA688" t="n">
        <v>310</v>
      </c>
      <c r="AB688" t="n">
        <v>4</v>
      </c>
      <c r="AC688" t="n">
        <v>4</v>
      </c>
      <c r="AD688" t="n">
        <v>21</v>
      </c>
      <c r="AE688" t="n">
        <v>21</v>
      </c>
      <c r="AF688" t="n">
        <v>9</v>
      </c>
      <c r="AG688" t="n">
        <v>9</v>
      </c>
      <c r="AH688" t="n">
        <v>7</v>
      </c>
      <c r="AI688" t="n">
        <v>7</v>
      </c>
      <c r="AJ688" t="n">
        <v>10</v>
      </c>
      <c r="AK688" t="n">
        <v>10</v>
      </c>
      <c r="AL688" t="n">
        <v>3</v>
      </c>
      <c r="AM688" t="n">
        <v>3</v>
      </c>
      <c r="AN688" t="n">
        <v>0</v>
      </c>
      <c r="AO688" t="n">
        <v>0</v>
      </c>
      <c r="AP688" t="inlineStr">
        <is>
          <t>No</t>
        </is>
      </c>
      <c r="AQ688" t="inlineStr">
        <is>
          <t>Yes</t>
        </is>
      </c>
      <c r="AR688">
        <f>HYPERLINK("http://catalog.hathitrust.org/Record/007118474","HathiTrust Record")</f>
        <v/>
      </c>
      <c r="AS688">
        <f>HYPERLINK("https://creighton-primo.hosted.exlibrisgroup.com/primo-explore/search?tab=default_tab&amp;search_scope=EVERYTHING&amp;vid=01CRU&amp;lang=en_US&amp;offset=0&amp;query=any,contains,991000519719702656","Catalog Record")</f>
        <v/>
      </c>
      <c r="AT688">
        <f>HYPERLINK("http://www.worldcat.org/oclc/11317468","WorldCat Record")</f>
        <v/>
      </c>
      <c r="AU688" t="inlineStr">
        <is>
          <t>3882336:eng</t>
        </is>
      </c>
      <c r="AV688" t="inlineStr">
        <is>
          <t>11317468</t>
        </is>
      </c>
      <c r="AW688" t="inlineStr">
        <is>
          <t>991000519719702656</t>
        </is>
      </c>
      <c r="AX688" t="inlineStr">
        <is>
          <t>991000519719702656</t>
        </is>
      </c>
      <c r="AY688" t="inlineStr">
        <is>
          <t>2255785150002656</t>
        </is>
      </c>
      <c r="AZ688" t="inlineStr">
        <is>
          <t>BOOK</t>
        </is>
      </c>
      <c r="BB688" t="inlineStr">
        <is>
          <t>9780878752492</t>
        </is>
      </c>
      <c r="BC688" t="inlineStr">
        <is>
          <t>32285000378710</t>
        </is>
      </c>
      <c r="BD688" t="inlineStr">
        <is>
          <t>893626346</t>
        </is>
      </c>
    </row>
    <row r="689">
      <c r="A689" t="inlineStr">
        <is>
          <t>No</t>
        </is>
      </c>
      <c r="B689" t="inlineStr">
        <is>
          <t>PS3515.E37 Z6726 1985</t>
        </is>
      </c>
      <c r="C689" t="inlineStr">
        <is>
          <t>0                      PS 3515000E  37                 Z  6726        1985</t>
        </is>
      </c>
      <c r="D689" t="inlineStr">
        <is>
          <t>Ernest Hemingway, journalist and artist / by J.F. Kobler.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Kobler, J. F. (Jasper Fred), 1928-</t>
        </is>
      </c>
      <c r="L689" t="inlineStr">
        <is>
          <t>Ann Arbor, Mich. : UMI Research Press, c1985.</t>
        </is>
      </c>
      <c r="M689" t="inlineStr">
        <is>
          <t>1985</t>
        </is>
      </c>
      <c r="O689" t="inlineStr">
        <is>
          <t>eng</t>
        </is>
      </c>
      <c r="P689" t="inlineStr">
        <is>
          <t>miu</t>
        </is>
      </c>
      <c r="Q689" t="inlineStr">
        <is>
          <t>Studies in modern literature ; no. 44</t>
        </is>
      </c>
      <c r="R689" t="inlineStr">
        <is>
          <t xml:space="preserve">PS </t>
        </is>
      </c>
      <c r="S689" t="n">
        <v>7</v>
      </c>
      <c r="T689" t="n">
        <v>7</v>
      </c>
      <c r="U689" t="inlineStr">
        <is>
          <t>1997-04-28</t>
        </is>
      </c>
      <c r="V689" t="inlineStr">
        <is>
          <t>1997-04-28</t>
        </is>
      </c>
      <c r="W689" t="inlineStr">
        <is>
          <t>1990-11-14</t>
        </is>
      </c>
      <c r="X689" t="inlineStr">
        <is>
          <t>1990-11-14</t>
        </is>
      </c>
      <c r="Y689" t="n">
        <v>331</v>
      </c>
      <c r="Z689" t="n">
        <v>268</v>
      </c>
      <c r="AA689" t="n">
        <v>288</v>
      </c>
      <c r="AB689" t="n">
        <v>3</v>
      </c>
      <c r="AC689" t="n">
        <v>3</v>
      </c>
      <c r="AD689" t="n">
        <v>12</v>
      </c>
      <c r="AE689" t="n">
        <v>14</v>
      </c>
      <c r="AF689" t="n">
        <v>5</v>
      </c>
      <c r="AG689" t="n">
        <v>6</v>
      </c>
      <c r="AH689" t="n">
        <v>3</v>
      </c>
      <c r="AI689" t="n">
        <v>4</v>
      </c>
      <c r="AJ689" t="n">
        <v>6</v>
      </c>
      <c r="AK689" t="n">
        <v>7</v>
      </c>
      <c r="AL689" t="n">
        <v>2</v>
      </c>
      <c r="AM689" t="n">
        <v>2</v>
      </c>
      <c r="AN689" t="n">
        <v>0</v>
      </c>
      <c r="AO689" t="n">
        <v>0</v>
      </c>
      <c r="AP689" t="inlineStr">
        <is>
          <t>No</t>
        </is>
      </c>
      <c r="AQ689" t="inlineStr">
        <is>
          <t>Yes</t>
        </is>
      </c>
      <c r="AR689">
        <f>HYPERLINK("http://catalog.hathitrust.org/Record/000563354","HathiTrust Record")</f>
        <v/>
      </c>
      <c r="AS689">
        <f>HYPERLINK("https://creighton-primo.hosted.exlibrisgroup.com/primo-explore/search?tab=default_tab&amp;search_scope=EVERYTHING&amp;vid=01CRU&amp;lang=en_US&amp;offset=0&amp;query=any,contains,991000506199702656","Catalog Record")</f>
        <v/>
      </c>
      <c r="AT689">
        <f>HYPERLINK("http://www.worldcat.org/oclc/11211321","WorldCat Record")</f>
        <v/>
      </c>
      <c r="AU689" t="inlineStr">
        <is>
          <t>3822431:eng</t>
        </is>
      </c>
      <c r="AV689" t="inlineStr">
        <is>
          <t>11211321</t>
        </is>
      </c>
      <c r="AW689" t="inlineStr">
        <is>
          <t>991000506199702656</t>
        </is>
      </c>
      <c r="AX689" t="inlineStr">
        <is>
          <t>991000506199702656</t>
        </is>
      </c>
      <c r="AY689" t="inlineStr">
        <is>
          <t>2255422130002656</t>
        </is>
      </c>
      <c r="AZ689" t="inlineStr">
        <is>
          <t>BOOK</t>
        </is>
      </c>
      <c r="BB689" t="inlineStr">
        <is>
          <t>9780835716147</t>
        </is>
      </c>
      <c r="BC689" t="inlineStr">
        <is>
          <t>32285000378736</t>
        </is>
      </c>
      <c r="BD689" t="inlineStr">
        <is>
          <t>893413418</t>
        </is>
      </c>
    </row>
    <row r="690">
      <c r="A690" t="inlineStr">
        <is>
          <t>No</t>
        </is>
      </c>
      <c r="B690" t="inlineStr">
        <is>
          <t>PS3515.E37 Z689 1981</t>
        </is>
      </c>
      <c r="C690" t="inlineStr">
        <is>
          <t>0                      PS 3515000E  37                 Z  689         1981</t>
        </is>
      </c>
      <c r="D690" t="inlineStr">
        <is>
          <t>Hemingway and the movies / Frank M. Laurence.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Laurence, Frank M.</t>
        </is>
      </c>
      <c r="L690" t="inlineStr">
        <is>
          <t>Jackson : University Press Of Mississippi, c1981.</t>
        </is>
      </c>
      <c r="M690" t="inlineStr">
        <is>
          <t>1981</t>
        </is>
      </c>
      <c r="O690" t="inlineStr">
        <is>
          <t>eng</t>
        </is>
      </c>
      <c r="P690" t="inlineStr">
        <is>
          <t>msu</t>
        </is>
      </c>
      <c r="R690" t="inlineStr">
        <is>
          <t xml:space="preserve">PS </t>
        </is>
      </c>
      <c r="S690" t="n">
        <v>1</v>
      </c>
      <c r="T690" t="n">
        <v>1</v>
      </c>
      <c r="U690" t="inlineStr">
        <is>
          <t>2004-12-09</t>
        </is>
      </c>
      <c r="V690" t="inlineStr">
        <is>
          <t>2004-12-09</t>
        </is>
      </c>
      <c r="W690" t="inlineStr">
        <is>
          <t>1990-11-14</t>
        </is>
      </c>
      <c r="X690" t="inlineStr">
        <is>
          <t>1990-11-14</t>
        </is>
      </c>
      <c r="Y690" t="n">
        <v>657</v>
      </c>
      <c r="Z690" t="n">
        <v>593</v>
      </c>
      <c r="AA690" t="n">
        <v>669</v>
      </c>
      <c r="AB690" t="n">
        <v>5</v>
      </c>
      <c r="AC690" t="n">
        <v>5</v>
      </c>
      <c r="AD690" t="n">
        <v>28</v>
      </c>
      <c r="AE690" t="n">
        <v>32</v>
      </c>
      <c r="AF690" t="n">
        <v>12</v>
      </c>
      <c r="AG690" t="n">
        <v>15</v>
      </c>
      <c r="AH690" t="n">
        <v>8</v>
      </c>
      <c r="AI690" t="n">
        <v>8</v>
      </c>
      <c r="AJ690" t="n">
        <v>13</v>
      </c>
      <c r="AK690" t="n">
        <v>16</v>
      </c>
      <c r="AL690" t="n">
        <v>4</v>
      </c>
      <c r="AM690" t="n">
        <v>4</v>
      </c>
      <c r="AN690" t="n">
        <v>0</v>
      </c>
      <c r="AO690" t="n">
        <v>0</v>
      </c>
      <c r="AP690" t="inlineStr">
        <is>
          <t>No</t>
        </is>
      </c>
      <c r="AQ690" t="inlineStr">
        <is>
          <t>Yes</t>
        </is>
      </c>
      <c r="AR690">
        <f>HYPERLINK("http://catalog.hathitrust.org/Record/000085426","HathiTrust Record")</f>
        <v/>
      </c>
      <c r="AS690">
        <f>HYPERLINK("https://creighton-primo.hosted.exlibrisgroup.com/primo-explore/search?tab=default_tab&amp;search_scope=EVERYTHING&amp;vid=01CRU&amp;lang=en_US&amp;offset=0&amp;query=any,contains,991004963949702656","Catalog Record")</f>
        <v/>
      </c>
      <c r="AT690">
        <f>HYPERLINK("http://www.worldcat.org/oclc/6329521","WorldCat Record")</f>
        <v/>
      </c>
      <c r="AU690" t="inlineStr">
        <is>
          <t>440051:eng</t>
        </is>
      </c>
      <c r="AV690" t="inlineStr">
        <is>
          <t>6329521</t>
        </is>
      </c>
      <c r="AW690" t="inlineStr">
        <is>
          <t>991004963949702656</t>
        </is>
      </c>
      <c r="AX690" t="inlineStr">
        <is>
          <t>991004963949702656</t>
        </is>
      </c>
      <c r="AY690" t="inlineStr">
        <is>
          <t>2267794420002656</t>
        </is>
      </c>
      <c r="AZ690" t="inlineStr">
        <is>
          <t>BOOK</t>
        </is>
      </c>
      <c r="BB690" t="inlineStr">
        <is>
          <t>9780878051151</t>
        </is>
      </c>
      <c r="BC690" t="inlineStr">
        <is>
          <t>32285000378744</t>
        </is>
      </c>
      <c r="BD690" t="inlineStr">
        <is>
          <t>893889482</t>
        </is>
      </c>
    </row>
    <row r="691">
      <c r="A691" t="inlineStr">
        <is>
          <t>No</t>
        </is>
      </c>
      <c r="B691" t="inlineStr">
        <is>
          <t>PS3515.E37 Z69</t>
        </is>
      </c>
      <c r="C691" t="inlineStr">
        <is>
          <t>0                      PS 3515000E  37                 Z  69</t>
        </is>
      </c>
      <c r="D691" t="inlineStr">
        <is>
          <t>Hemingway on love / [by] Robert W. Lewis, Jr.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Lewis, Robert W. (Robert William), 1930-</t>
        </is>
      </c>
      <c r="L691" t="inlineStr">
        <is>
          <t>Austin : University of Texas Press, [1965]</t>
        </is>
      </c>
      <c r="M691" t="inlineStr">
        <is>
          <t>1965</t>
        </is>
      </c>
      <c r="O691" t="inlineStr">
        <is>
          <t>eng</t>
        </is>
      </c>
      <c r="P691" t="inlineStr">
        <is>
          <t>txu</t>
        </is>
      </c>
      <c r="R691" t="inlineStr">
        <is>
          <t xml:space="preserve">PS </t>
        </is>
      </c>
      <c r="S691" t="n">
        <v>6</v>
      </c>
      <c r="T691" t="n">
        <v>6</v>
      </c>
      <c r="U691" t="inlineStr">
        <is>
          <t>2003-10-01</t>
        </is>
      </c>
      <c r="V691" t="inlineStr">
        <is>
          <t>2003-10-01</t>
        </is>
      </c>
      <c r="W691" t="inlineStr">
        <is>
          <t>1991-05-15</t>
        </is>
      </c>
      <c r="X691" t="inlineStr">
        <is>
          <t>1991-05-15</t>
        </is>
      </c>
      <c r="Y691" t="n">
        <v>593</v>
      </c>
      <c r="Z691" t="n">
        <v>518</v>
      </c>
      <c r="AA691" t="n">
        <v>685</v>
      </c>
      <c r="AB691" t="n">
        <v>5</v>
      </c>
      <c r="AC691" t="n">
        <v>6</v>
      </c>
      <c r="AD691" t="n">
        <v>30</v>
      </c>
      <c r="AE691" t="n">
        <v>33</v>
      </c>
      <c r="AF691" t="n">
        <v>14</v>
      </c>
      <c r="AG691" t="n">
        <v>15</v>
      </c>
      <c r="AH691" t="n">
        <v>7</v>
      </c>
      <c r="AI691" t="n">
        <v>8</v>
      </c>
      <c r="AJ691" t="n">
        <v>13</v>
      </c>
      <c r="AK691" t="n">
        <v>14</v>
      </c>
      <c r="AL691" t="n">
        <v>4</v>
      </c>
      <c r="AM691" t="n">
        <v>5</v>
      </c>
      <c r="AN691" t="n">
        <v>0</v>
      </c>
      <c r="AO691" t="n">
        <v>0</v>
      </c>
      <c r="AP691" t="inlineStr">
        <is>
          <t>No</t>
        </is>
      </c>
      <c r="AQ691" t="inlineStr">
        <is>
          <t>Yes</t>
        </is>
      </c>
      <c r="AR691">
        <f>HYPERLINK("http://catalog.hathitrust.org/Record/000437471","HathiTrust Record")</f>
        <v/>
      </c>
      <c r="AS691">
        <f>HYPERLINK("https://creighton-primo.hosted.exlibrisgroup.com/primo-explore/search?tab=default_tab&amp;search_scope=EVERYTHING&amp;vid=01CRU&amp;lang=en_US&amp;offset=0&amp;query=any,contains,991002203579702656","Catalog Record")</f>
        <v/>
      </c>
      <c r="AT691">
        <f>HYPERLINK("http://www.worldcat.org/oclc/285038","WorldCat Record")</f>
        <v/>
      </c>
      <c r="AU691" t="inlineStr">
        <is>
          <t>502871:eng</t>
        </is>
      </c>
      <c r="AV691" t="inlineStr">
        <is>
          <t>285038</t>
        </is>
      </c>
      <c r="AW691" t="inlineStr">
        <is>
          <t>991002203579702656</t>
        </is>
      </c>
      <c r="AX691" t="inlineStr">
        <is>
          <t>991002203579702656</t>
        </is>
      </c>
      <c r="AY691" t="inlineStr">
        <is>
          <t>2263067300002656</t>
        </is>
      </c>
      <c r="AZ691" t="inlineStr">
        <is>
          <t>BOOK</t>
        </is>
      </c>
      <c r="BC691" t="inlineStr">
        <is>
          <t>32285000595339</t>
        </is>
      </c>
      <c r="BD691" t="inlineStr">
        <is>
          <t>893885970</t>
        </is>
      </c>
    </row>
    <row r="692">
      <c r="A692" t="inlineStr">
        <is>
          <t>No</t>
        </is>
      </c>
      <c r="B692" t="inlineStr">
        <is>
          <t>PS3515.E37 Z7</t>
        </is>
      </c>
      <c r="C692" t="inlineStr">
        <is>
          <t>0                      PS 3515000E  37                 Z  7</t>
        </is>
      </c>
      <c r="D692" t="inlineStr">
        <is>
          <t>Ernest Hemingway : the man and his work.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McCaffery, John K. M.</t>
        </is>
      </c>
      <c r="L692" t="inlineStr">
        <is>
          <t>Cleveland ; New York : World Publishing Co., 1950.</t>
        </is>
      </c>
      <c r="M692" t="inlineStr">
        <is>
          <t>1950</t>
        </is>
      </c>
      <c r="O692" t="inlineStr">
        <is>
          <t>eng</t>
        </is>
      </c>
      <c r="P692" t="inlineStr">
        <is>
          <t>ohu</t>
        </is>
      </c>
      <c r="R692" t="inlineStr">
        <is>
          <t xml:space="preserve">PS </t>
        </is>
      </c>
      <c r="S692" t="n">
        <v>1</v>
      </c>
      <c r="T692" t="n">
        <v>1</v>
      </c>
      <c r="U692" t="inlineStr">
        <is>
          <t>1993-04-19</t>
        </is>
      </c>
      <c r="V692" t="inlineStr">
        <is>
          <t>1993-04-19</t>
        </is>
      </c>
      <c r="W692" t="inlineStr">
        <is>
          <t>1990-09-06</t>
        </is>
      </c>
      <c r="X692" t="inlineStr">
        <is>
          <t>1990-09-06</t>
        </is>
      </c>
      <c r="Y692" t="n">
        <v>605</v>
      </c>
      <c r="Z692" t="n">
        <v>553</v>
      </c>
      <c r="AA692" t="n">
        <v>1024</v>
      </c>
      <c r="AB692" t="n">
        <v>8</v>
      </c>
      <c r="AC692" t="n">
        <v>10</v>
      </c>
      <c r="AD692" t="n">
        <v>29</v>
      </c>
      <c r="AE692" t="n">
        <v>47</v>
      </c>
      <c r="AF692" t="n">
        <v>11</v>
      </c>
      <c r="AG692" t="n">
        <v>20</v>
      </c>
      <c r="AH692" t="n">
        <v>5</v>
      </c>
      <c r="AI692" t="n">
        <v>7</v>
      </c>
      <c r="AJ692" t="n">
        <v>14</v>
      </c>
      <c r="AK692" t="n">
        <v>22</v>
      </c>
      <c r="AL692" t="n">
        <v>7</v>
      </c>
      <c r="AM692" t="n">
        <v>9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R692">
        <f>HYPERLINK("http://catalog.hathitrust.org/Record/000437488","HathiTrust Record")</f>
        <v/>
      </c>
      <c r="AS692">
        <f>HYPERLINK("https://creighton-primo.hosted.exlibrisgroup.com/primo-explore/search?tab=default_tab&amp;search_scope=EVERYTHING&amp;vid=01CRU&amp;lang=en_US&amp;offset=0&amp;query=any,contains,991001505689702656","Catalog Record")</f>
        <v/>
      </c>
      <c r="AT692">
        <f>HYPERLINK("http://www.worldcat.org/oclc/19841765","WorldCat Record")</f>
        <v/>
      </c>
      <c r="AU692" t="inlineStr">
        <is>
          <t>4061387714:eng</t>
        </is>
      </c>
      <c r="AV692" t="inlineStr">
        <is>
          <t>19841765</t>
        </is>
      </c>
      <c r="AW692" t="inlineStr">
        <is>
          <t>991001505689702656</t>
        </is>
      </c>
      <c r="AX692" t="inlineStr">
        <is>
          <t>991001505689702656</t>
        </is>
      </c>
      <c r="AY692" t="inlineStr">
        <is>
          <t>2268314570002656</t>
        </is>
      </c>
      <c r="AZ692" t="inlineStr">
        <is>
          <t>BOOK</t>
        </is>
      </c>
      <c r="BC692" t="inlineStr">
        <is>
          <t>32285000300730</t>
        </is>
      </c>
      <c r="BD692" t="inlineStr">
        <is>
          <t>893596518</t>
        </is>
      </c>
    </row>
    <row r="693">
      <c r="A693" t="inlineStr">
        <is>
          <t>No</t>
        </is>
      </c>
      <c r="B693" t="inlineStr">
        <is>
          <t>PS3515.E37 Z7435 1983</t>
        </is>
      </c>
      <c r="C693" t="inlineStr">
        <is>
          <t>0                      PS 3515000E  37                 Z  7435        1983</t>
        </is>
      </c>
      <c r="D693" t="inlineStr">
        <is>
          <t>Ernest Hemingway : a study of his rhetoric / E. Nageswara Rao.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Nageswara Rao, E.</t>
        </is>
      </c>
      <c r="L693" t="inlineStr">
        <is>
          <t>New Delhi : Arnold-Heinemann, 1983.</t>
        </is>
      </c>
      <c r="M693" t="inlineStr">
        <is>
          <t>1983</t>
        </is>
      </c>
      <c r="O693" t="inlineStr">
        <is>
          <t>eng</t>
        </is>
      </c>
      <c r="P693" t="inlineStr">
        <is>
          <t xml:space="preserve">ii </t>
        </is>
      </c>
      <c r="R693" t="inlineStr">
        <is>
          <t xml:space="preserve">PS </t>
        </is>
      </c>
      <c r="S693" t="n">
        <v>3</v>
      </c>
      <c r="T693" t="n">
        <v>3</v>
      </c>
      <c r="U693" t="inlineStr">
        <is>
          <t>1992-04-04</t>
        </is>
      </c>
      <c r="V693" t="inlineStr">
        <is>
          <t>1992-04-04</t>
        </is>
      </c>
      <c r="W693" t="inlineStr">
        <is>
          <t>1990-03-14</t>
        </is>
      </c>
      <c r="X693" t="inlineStr">
        <is>
          <t>1990-03-14</t>
        </is>
      </c>
      <c r="Y693" t="n">
        <v>68</v>
      </c>
      <c r="Z693" t="n">
        <v>57</v>
      </c>
      <c r="AA693" t="n">
        <v>122</v>
      </c>
      <c r="AB693" t="n">
        <v>1</v>
      </c>
      <c r="AC693" t="n">
        <v>1</v>
      </c>
      <c r="AD693" t="n">
        <v>3</v>
      </c>
      <c r="AE693" t="n">
        <v>5</v>
      </c>
      <c r="AF693" t="n">
        <v>1</v>
      </c>
      <c r="AG693" t="n">
        <v>2</v>
      </c>
      <c r="AH693" t="n">
        <v>1</v>
      </c>
      <c r="AI693" t="n">
        <v>1</v>
      </c>
      <c r="AJ693" t="n">
        <v>1</v>
      </c>
      <c r="AK693" t="n">
        <v>3</v>
      </c>
      <c r="AL693" t="n">
        <v>0</v>
      </c>
      <c r="AM693" t="n">
        <v>0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HYPERLINK("https://creighton-primo.hosted.exlibrisgroup.com/primo-explore/search?tab=default_tab&amp;search_scope=EVERYTHING&amp;vid=01CRU&amp;lang=en_US&amp;offset=0&amp;query=any,contains,991000522359702656","Catalog Record")</f>
        <v/>
      </c>
      <c r="AT693">
        <f>HYPERLINK("http://www.worldcat.org/oclc/11336494","WorldCat Record")</f>
        <v/>
      </c>
      <c r="AU693" t="inlineStr">
        <is>
          <t>3618069:eng</t>
        </is>
      </c>
      <c r="AV693" t="inlineStr">
        <is>
          <t>11336494</t>
        </is>
      </c>
      <c r="AW693" t="inlineStr">
        <is>
          <t>991000522359702656</t>
        </is>
      </c>
      <c r="AX693" t="inlineStr">
        <is>
          <t>991000522359702656</t>
        </is>
      </c>
      <c r="AY693" t="inlineStr">
        <is>
          <t>2271301560002656</t>
        </is>
      </c>
      <c r="AZ693" t="inlineStr">
        <is>
          <t>BOOK</t>
        </is>
      </c>
      <c r="BC693" t="inlineStr">
        <is>
          <t>32285000084805</t>
        </is>
      </c>
      <c r="BD693" t="inlineStr">
        <is>
          <t>893790598</t>
        </is>
      </c>
    </row>
    <row r="694">
      <c r="A694" t="inlineStr">
        <is>
          <t>No</t>
        </is>
      </c>
      <c r="B694" t="inlineStr">
        <is>
          <t>PS3515.E37 Z744</t>
        </is>
      </c>
      <c r="C694" t="inlineStr">
        <is>
          <t>0                      PS 3515000E  37                 Z  744</t>
        </is>
      </c>
      <c r="D694" t="inlineStr">
        <is>
          <t>The narrative pattern in Ernest Hemingway's fiction / Chaman Nahal.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Nahal, Chaman Lal, 1927-</t>
        </is>
      </c>
      <c r="L694" t="inlineStr">
        <is>
          <t>Rutherford [N.J.] : Fairleigh Dickinson University Press, 1971.</t>
        </is>
      </c>
      <c r="M694" t="inlineStr">
        <is>
          <t>1971</t>
        </is>
      </c>
      <c r="O694" t="inlineStr">
        <is>
          <t>eng</t>
        </is>
      </c>
      <c r="P694" t="inlineStr">
        <is>
          <t>nju</t>
        </is>
      </c>
      <c r="R694" t="inlineStr">
        <is>
          <t xml:space="preserve">PS </t>
        </is>
      </c>
      <c r="S694" t="n">
        <v>11</v>
      </c>
      <c r="T694" t="n">
        <v>11</v>
      </c>
      <c r="U694" t="inlineStr">
        <is>
          <t>2005-10-06</t>
        </is>
      </c>
      <c r="V694" t="inlineStr">
        <is>
          <t>2005-10-06</t>
        </is>
      </c>
      <c r="W694" t="inlineStr">
        <is>
          <t>1990-11-09</t>
        </is>
      </c>
      <c r="X694" t="inlineStr">
        <is>
          <t>1990-11-09</t>
        </is>
      </c>
      <c r="Y694" t="n">
        <v>643</v>
      </c>
      <c r="Z694" t="n">
        <v>551</v>
      </c>
      <c r="AA694" t="n">
        <v>560</v>
      </c>
      <c r="AB694" t="n">
        <v>3</v>
      </c>
      <c r="AC694" t="n">
        <v>3</v>
      </c>
      <c r="AD694" t="n">
        <v>25</v>
      </c>
      <c r="AE694" t="n">
        <v>25</v>
      </c>
      <c r="AF694" t="n">
        <v>10</v>
      </c>
      <c r="AG694" t="n">
        <v>10</v>
      </c>
      <c r="AH694" t="n">
        <v>6</v>
      </c>
      <c r="AI694" t="n">
        <v>6</v>
      </c>
      <c r="AJ694" t="n">
        <v>15</v>
      </c>
      <c r="AK694" t="n">
        <v>15</v>
      </c>
      <c r="AL694" t="n">
        <v>2</v>
      </c>
      <c r="AM694" t="n">
        <v>2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HYPERLINK("http://catalog.hathitrust.org/Record/000437505","HathiTrust Record")</f>
        <v/>
      </c>
      <c r="AS694">
        <f>HYPERLINK("https://creighton-primo.hosted.exlibrisgroup.com/primo-explore/search?tab=default_tab&amp;search_scope=EVERYTHING&amp;vid=01CRU&amp;lang=en_US&amp;offset=0&amp;query=any,contains,991001217699702656","Catalog Record")</f>
        <v/>
      </c>
      <c r="AT694">
        <f>HYPERLINK("http://www.worldcat.org/oclc/195136","WorldCat Record")</f>
        <v/>
      </c>
      <c r="AU694" t="inlineStr">
        <is>
          <t>503482:eng</t>
        </is>
      </c>
      <c r="AV694" t="inlineStr">
        <is>
          <t>195136</t>
        </is>
      </c>
      <c r="AW694" t="inlineStr">
        <is>
          <t>991001217699702656</t>
        </is>
      </c>
      <c r="AX694" t="inlineStr">
        <is>
          <t>991001217699702656</t>
        </is>
      </c>
      <c r="AY694" t="inlineStr">
        <is>
          <t>2267259040002656</t>
        </is>
      </c>
      <c r="AZ694" t="inlineStr">
        <is>
          <t>BOOK</t>
        </is>
      </c>
      <c r="BB694" t="inlineStr">
        <is>
          <t>9780838677957</t>
        </is>
      </c>
      <c r="BC694" t="inlineStr">
        <is>
          <t>32285000391002</t>
        </is>
      </c>
      <c r="BD694" t="inlineStr">
        <is>
          <t>893897616</t>
        </is>
      </c>
    </row>
    <row r="695">
      <c r="A695" t="inlineStr">
        <is>
          <t>No</t>
        </is>
      </c>
      <c r="B695" t="inlineStr">
        <is>
          <t>PS3515.E37 Z7548</t>
        </is>
      </c>
      <c r="C695" t="inlineStr">
        <is>
          <t>0                      PS 3515000E  37                 Z  7548</t>
        </is>
      </c>
      <c r="D695" t="inlineStr">
        <is>
          <t>Hemingway's reading, 1901-1940 : an inventory / Michael S. Reynolds.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Reynolds, Michael Shane, 1937-2000.</t>
        </is>
      </c>
      <c r="L695" t="inlineStr">
        <is>
          <t>Princeton, N.J. : Princeton University Press, c1981.</t>
        </is>
      </c>
      <c r="M695" t="inlineStr">
        <is>
          <t>1981</t>
        </is>
      </c>
      <c r="O695" t="inlineStr">
        <is>
          <t>eng</t>
        </is>
      </c>
      <c r="P695" t="inlineStr">
        <is>
          <t>nju</t>
        </is>
      </c>
      <c r="R695" t="inlineStr">
        <is>
          <t xml:space="preserve">PS </t>
        </is>
      </c>
      <c r="S695" t="n">
        <v>2</v>
      </c>
      <c r="T695" t="n">
        <v>2</v>
      </c>
      <c r="U695" t="inlineStr">
        <is>
          <t>1998-02-02</t>
        </is>
      </c>
      <c r="V695" t="inlineStr">
        <is>
          <t>1998-02-02</t>
        </is>
      </c>
      <c r="W695" t="inlineStr">
        <is>
          <t>1990-11-14</t>
        </is>
      </c>
      <c r="X695" t="inlineStr">
        <is>
          <t>1990-11-14</t>
        </is>
      </c>
      <c r="Y695" t="n">
        <v>578</v>
      </c>
      <c r="Z695" t="n">
        <v>467</v>
      </c>
      <c r="AA695" t="n">
        <v>467</v>
      </c>
      <c r="AB695" t="n">
        <v>5</v>
      </c>
      <c r="AC695" t="n">
        <v>5</v>
      </c>
      <c r="AD695" t="n">
        <v>24</v>
      </c>
      <c r="AE695" t="n">
        <v>24</v>
      </c>
      <c r="AF695" t="n">
        <v>11</v>
      </c>
      <c r="AG695" t="n">
        <v>11</v>
      </c>
      <c r="AH695" t="n">
        <v>5</v>
      </c>
      <c r="AI695" t="n">
        <v>5</v>
      </c>
      <c r="AJ695" t="n">
        <v>10</v>
      </c>
      <c r="AK695" t="n">
        <v>10</v>
      </c>
      <c r="AL695" t="n">
        <v>4</v>
      </c>
      <c r="AM695" t="n">
        <v>4</v>
      </c>
      <c r="AN695" t="n">
        <v>0</v>
      </c>
      <c r="AO695" t="n">
        <v>0</v>
      </c>
      <c r="AP695" t="inlineStr">
        <is>
          <t>No</t>
        </is>
      </c>
      <c r="AQ695" t="inlineStr">
        <is>
          <t>No</t>
        </is>
      </c>
      <c r="AS695">
        <f>HYPERLINK("https://creighton-primo.hosted.exlibrisgroup.com/primo-explore/search?tab=default_tab&amp;search_scope=EVERYTHING&amp;vid=01CRU&amp;lang=en_US&amp;offset=0&amp;query=any,contains,991004997719702656","Catalog Record")</f>
        <v/>
      </c>
      <c r="AT695">
        <f>HYPERLINK("http://www.worldcat.org/oclc/6532070","WorldCat Record")</f>
        <v/>
      </c>
      <c r="AU695" t="inlineStr">
        <is>
          <t>117977871:eng</t>
        </is>
      </c>
      <c r="AV695" t="inlineStr">
        <is>
          <t>6532070</t>
        </is>
      </c>
      <c r="AW695" t="inlineStr">
        <is>
          <t>991004997719702656</t>
        </is>
      </c>
      <c r="AX695" t="inlineStr">
        <is>
          <t>991004997719702656</t>
        </is>
      </c>
      <c r="AY695" t="inlineStr">
        <is>
          <t>2262085850002656</t>
        </is>
      </c>
      <c r="AZ695" t="inlineStr">
        <is>
          <t>BOOK</t>
        </is>
      </c>
      <c r="BB695" t="inlineStr">
        <is>
          <t>9780691064475</t>
        </is>
      </c>
      <c r="BC695" t="inlineStr">
        <is>
          <t>32285000378751</t>
        </is>
      </c>
      <c r="BD695" t="inlineStr">
        <is>
          <t>893260416</t>
        </is>
      </c>
    </row>
    <row r="696">
      <c r="A696" t="inlineStr">
        <is>
          <t>No</t>
        </is>
      </c>
      <c r="B696" t="inlineStr">
        <is>
          <t>PS3515.E37 Z7549 1986</t>
        </is>
      </c>
      <c r="C696" t="inlineStr">
        <is>
          <t>0                      PS 3515000E  37                 Z  7549        1986</t>
        </is>
      </c>
      <c r="D696" t="inlineStr">
        <is>
          <t>The young Hemingway / Michael Reynolds.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Reynolds, Michael Shane, 1937-2000.</t>
        </is>
      </c>
      <c r="L696" t="inlineStr">
        <is>
          <t>New York : B. Blackwell, 1986.</t>
        </is>
      </c>
      <c r="M696" t="inlineStr">
        <is>
          <t>1986</t>
        </is>
      </c>
      <c r="O696" t="inlineStr">
        <is>
          <t>eng</t>
        </is>
      </c>
      <c r="P696" t="inlineStr">
        <is>
          <t>nyu</t>
        </is>
      </c>
      <c r="R696" t="inlineStr">
        <is>
          <t xml:space="preserve">PS </t>
        </is>
      </c>
      <c r="S696" t="n">
        <v>4</v>
      </c>
      <c r="T696" t="n">
        <v>4</v>
      </c>
      <c r="U696" t="inlineStr">
        <is>
          <t>2003-09-08</t>
        </is>
      </c>
      <c r="V696" t="inlineStr">
        <is>
          <t>2003-09-08</t>
        </is>
      </c>
      <c r="W696" t="inlineStr">
        <is>
          <t>1990-06-15</t>
        </is>
      </c>
      <c r="X696" t="inlineStr">
        <is>
          <t>1990-06-15</t>
        </is>
      </c>
      <c r="Y696" t="n">
        <v>1123</v>
      </c>
      <c r="Z696" t="n">
        <v>1021</v>
      </c>
      <c r="AA696" t="n">
        <v>1341</v>
      </c>
      <c r="AB696" t="n">
        <v>8</v>
      </c>
      <c r="AC696" t="n">
        <v>12</v>
      </c>
      <c r="AD696" t="n">
        <v>35</v>
      </c>
      <c r="AE696" t="n">
        <v>49</v>
      </c>
      <c r="AF696" t="n">
        <v>18</v>
      </c>
      <c r="AG696" t="n">
        <v>24</v>
      </c>
      <c r="AH696" t="n">
        <v>7</v>
      </c>
      <c r="AI696" t="n">
        <v>9</v>
      </c>
      <c r="AJ696" t="n">
        <v>15</v>
      </c>
      <c r="AK696" t="n">
        <v>23</v>
      </c>
      <c r="AL696" t="n">
        <v>3</v>
      </c>
      <c r="AM696" t="n">
        <v>6</v>
      </c>
      <c r="AN696" t="n">
        <v>0</v>
      </c>
      <c r="AO696" t="n">
        <v>0</v>
      </c>
      <c r="AP696" t="inlineStr">
        <is>
          <t>No</t>
        </is>
      </c>
      <c r="AQ696" t="inlineStr">
        <is>
          <t>No</t>
        </is>
      </c>
      <c r="AS696">
        <f>HYPERLINK("https://creighton-primo.hosted.exlibrisgroup.com/primo-explore/search?tab=default_tab&amp;search_scope=EVERYTHING&amp;vid=01CRU&amp;lang=en_US&amp;offset=0&amp;query=any,contains,991000726199702656","Catalog Record")</f>
        <v/>
      </c>
      <c r="AT696">
        <f>HYPERLINK("http://www.worldcat.org/oclc/12695655","WorldCat Record")</f>
        <v/>
      </c>
      <c r="AU696" t="inlineStr">
        <is>
          <t>5756773:eng</t>
        </is>
      </c>
      <c r="AV696" t="inlineStr">
        <is>
          <t>12695655</t>
        </is>
      </c>
      <c r="AW696" t="inlineStr">
        <is>
          <t>991000726199702656</t>
        </is>
      </c>
      <c r="AX696" t="inlineStr">
        <is>
          <t>991000726199702656</t>
        </is>
      </c>
      <c r="AY696" t="inlineStr">
        <is>
          <t>2255034760002656</t>
        </is>
      </c>
      <c r="AZ696" t="inlineStr">
        <is>
          <t>BOOK</t>
        </is>
      </c>
      <c r="BB696" t="inlineStr">
        <is>
          <t>9780631147862</t>
        </is>
      </c>
      <c r="BC696" t="inlineStr">
        <is>
          <t>32285000197763</t>
        </is>
      </c>
      <c r="BD696" t="inlineStr">
        <is>
          <t>893432241</t>
        </is>
      </c>
    </row>
    <row r="697">
      <c r="A697" t="inlineStr">
        <is>
          <t>No</t>
        </is>
      </c>
      <c r="B697" t="inlineStr">
        <is>
          <t>PS3515.E37 Z78 1986</t>
        </is>
      </c>
      <c r="C697" t="inlineStr">
        <is>
          <t>0                      PS 3515000E  37                 Z  78          1986</t>
        </is>
      </c>
      <c r="D697" t="inlineStr">
        <is>
          <t>Ernest Hemingway / Earl Rovit, Gerry Brenner.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Yes</t>
        </is>
      </c>
      <c r="J697" t="inlineStr">
        <is>
          <t>0</t>
        </is>
      </c>
      <c r="K697" t="inlineStr">
        <is>
          <t>Rovit, Earl H.</t>
        </is>
      </c>
      <c r="L697" t="inlineStr">
        <is>
          <t>Boston, Mass. : Twayne Publishers, c1986.</t>
        </is>
      </c>
      <c r="M697" t="inlineStr">
        <is>
          <t>1986</t>
        </is>
      </c>
      <c r="N697" t="inlineStr">
        <is>
          <t>Rev. ed.</t>
        </is>
      </c>
      <c r="O697" t="inlineStr">
        <is>
          <t>eng</t>
        </is>
      </c>
      <c r="P697" t="inlineStr">
        <is>
          <t>mau</t>
        </is>
      </c>
      <c r="Q697" t="inlineStr">
        <is>
          <t>Twayne's United States authors series ; TUSAS 41</t>
        </is>
      </c>
      <c r="R697" t="inlineStr">
        <is>
          <t xml:space="preserve">PS </t>
        </is>
      </c>
      <c r="S697" t="n">
        <v>5</v>
      </c>
      <c r="T697" t="n">
        <v>5</v>
      </c>
      <c r="U697" t="inlineStr">
        <is>
          <t>1992-11-20</t>
        </is>
      </c>
      <c r="V697" t="inlineStr">
        <is>
          <t>1992-11-20</t>
        </is>
      </c>
      <c r="W697" t="inlineStr">
        <is>
          <t>1990-11-14</t>
        </is>
      </c>
      <c r="X697" t="inlineStr">
        <is>
          <t>1990-11-14</t>
        </is>
      </c>
      <c r="Y697" t="n">
        <v>1265</v>
      </c>
      <c r="Z697" t="n">
        <v>1153</v>
      </c>
      <c r="AA697" t="n">
        <v>2536</v>
      </c>
      <c r="AB697" t="n">
        <v>7</v>
      </c>
      <c r="AC697" t="n">
        <v>18</v>
      </c>
      <c r="AD697" t="n">
        <v>34</v>
      </c>
      <c r="AE697" t="n">
        <v>64</v>
      </c>
      <c r="AF697" t="n">
        <v>14</v>
      </c>
      <c r="AG697" t="n">
        <v>28</v>
      </c>
      <c r="AH697" t="n">
        <v>7</v>
      </c>
      <c r="AI697" t="n">
        <v>11</v>
      </c>
      <c r="AJ697" t="n">
        <v>18</v>
      </c>
      <c r="AK697" t="n">
        <v>26</v>
      </c>
      <c r="AL697" t="n">
        <v>5</v>
      </c>
      <c r="AM697" t="n">
        <v>13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HYPERLINK("http://catalog.hathitrust.org/Record/000439423","HathiTrust Record")</f>
        <v/>
      </c>
      <c r="AS697">
        <f>HYPERLINK("https://creighton-primo.hosted.exlibrisgroup.com/primo-explore/search?tab=default_tab&amp;search_scope=EVERYTHING&amp;vid=01CRU&amp;lang=en_US&amp;offset=0&amp;query=any,contains,991000762339702656","Catalog Record")</f>
        <v/>
      </c>
      <c r="AT697">
        <f>HYPERLINK("http://www.worldcat.org/oclc/12974685","WorldCat Record")</f>
        <v/>
      </c>
      <c r="AU697" t="inlineStr">
        <is>
          <t>579407:eng</t>
        </is>
      </c>
      <c r="AV697" t="inlineStr">
        <is>
          <t>12974685</t>
        </is>
      </c>
      <c r="AW697" t="inlineStr">
        <is>
          <t>991000762339702656</t>
        </is>
      </c>
      <c r="AX697" t="inlineStr">
        <is>
          <t>991000762339702656</t>
        </is>
      </c>
      <c r="AY697" t="inlineStr">
        <is>
          <t>2262489690002656</t>
        </is>
      </c>
      <c r="AZ697" t="inlineStr">
        <is>
          <t>BOOK</t>
        </is>
      </c>
      <c r="BB697" t="inlineStr">
        <is>
          <t>9780805774559</t>
        </is>
      </c>
      <c r="BC697" t="inlineStr">
        <is>
          <t>32285000378769</t>
        </is>
      </c>
      <c r="BD697" t="inlineStr">
        <is>
          <t>893321323</t>
        </is>
      </c>
    </row>
    <row r="698">
      <c r="A698" t="inlineStr">
        <is>
          <t>No</t>
        </is>
      </c>
      <c r="B698" t="inlineStr">
        <is>
          <t>PS3515.E37 Z915 1989</t>
        </is>
      </c>
      <c r="C698" t="inlineStr">
        <is>
          <t>0                      PS 3515000E  37                 Z  915         1989</t>
        </is>
      </c>
      <c r="D698" t="inlineStr">
        <is>
          <t>Hemingway in love and war : the lost diary of Agnes von Kurowsky, her letters, and correspondence of Ernest Hemingway / [edited by] Henry Serrano Villard, James Nagel.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Von Kurowsky, Agnes.</t>
        </is>
      </c>
      <c r="L698" t="inlineStr">
        <is>
          <t>Boston : Northeastern University Press, 1989.</t>
        </is>
      </c>
      <c r="M698" t="inlineStr">
        <is>
          <t>1989</t>
        </is>
      </c>
      <c r="O698" t="inlineStr">
        <is>
          <t>eng</t>
        </is>
      </c>
      <c r="P698" t="inlineStr">
        <is>
          <t>mau</t>
        </is>
      </c>
      <c r="R698" t="inlineStr">
        <is>
          <t xml:space="preserve">PS </t>
        </is>
      </c>
      <c r="S698" t="n">
        <v>14</v>
      </c>
      <c r="T698" t="n">
        <v>14</v>
      </c>
      <c r="U698" t="inlineStr">
        <is>
          <t>2005-06-08</t>
        </is>
      </c>
      <c r="V698" t="inlineStr">
        <is>
          <t>2005-06-08</t>
        </is>
      </c>
      <c r="W698" t="inlineStr">
        <is>
          <t>1990-01-23</t>
        </is>
      </c>
      <c r="X698" t="inlineStr">
        <is>
          <t>1990-01-23</t>
        </is>
      </c>
      <c r="Y698" t="n">
        <v>928</v>
      </c>
      <c r="Z698" t="n">
        <v>840</v>
      </c>
      <c r="AA698" t="n">
        <v>971</v>
      </c>
      <c r="AB698" t="n">
        <v>9</v>
      </c>
      <c r="AC698" t="n">
        <v>10</v>
      </c>
      <c r="AD698" t="n">
        <v>31</v>
      </c>
      <c r="AE698" t="n">
        <v>32</v>
      </c>
      <c r="AF698" t="n">
        <v>11</v>
      </c>
      <c r="AG698" t="n">
        <v>12</v>
      </c>
      <c r="AH698" t="n">
        <v>6</v>
      </c>
      <c r="AI698" t="n">
        <v>6</v>
      </c>
      <c r="AJ698" t="n">
        <v>14</v>
      </c>
      <c r="AK698" t="n">
        <v>15</v>
      </c>
      <c r="AL698" t="n">
        <v>5</v>
      </c>
      <c r="AM698" t="n">
        <v>5</v>
      </c>
      <c r="AN698" t="n">
        <v>0</v>
      </c>
      <c r="AO698" t="n">
        <v>0</v>
      </c>
      <c r="AP698" t="inlineStr">
        <is>
          <t>No</t>
        </is>
      </c>
      <c r="AQ698" t="inlineStr">
        <is>
          <t>Yes</t>
        </is>
      </c>
      <c r="AR698">
        <f>HYPERLINK("http://catalog.hathitrust.org/Record/001829384","HathiTrust Record")</f>
        <v/>
      </c>
      <c r="AS698">
        <f>HYPERLINK("https://creighton-primo.hosted.exlibrisgroup.com/primo-explore/search?tab=default_tab&amp;search_scope=EVERYTHING&amp;vid=01CRU&amp;lang=en_US&amp;offset=0&amp;query=any,contains,991001521059702656","Catalog Record")</f>
        <v/>
      </c>
      <c r="AT698">
        <f>HYPERLINK("http://www.worldcat.org/oclc/19975859","WorldCat Record")</f>
        <v/>
      </c>
      <c r="AU698" t="inlineStr">
        <is>
          <t>11638676:eng</t>
        </is>
      </c>
      <c r="AV698" t="inlineStr">
        <is>
          <t>19975859</t>
        </is>
      </c>
      <c r="AW698" t="inlineStr">
        <is>
          <t>991001521059702656</t>
        </is>
      </c>
      <c r="AX698" t="inlineStr">
        <is>
          <t>991001521059702656</t>
        </is>
      </c>
      <c r="AY698" t="inlineStr">
        <is>
          <t>2254904890002656</t>
        </is>
      </c>
      <c r="AZ698" t="inlineStr">
        <is>
          <t>BOOK</t>
        </is>
      </c>
      <c r="BB698" t="inlineStr">
        <is>
          <t>9781555530570</t>
        </is>
      </c>
      <c r="BC698" t="inlineStr">
        <is>
          <t>32285005139174</t>
        </is>
      </c>
      <c r="BD698" t="inlineStr">
        <is>
          <t>893328182</t>
        </is>
      </c>
    </row>
    <row r="699">
      <c r="A699" t="inlineStr">
        <is>
          <t>No</t>
        </is>
      </c>
      <c r="B699" t="inlineStr">
        <is>
          <t>PS3515.E37 Z95</t>
        </is>
      </c>
      <c r="C699" t="inlineStr">
        <is>
          <t>0                      PS 3515000E  37                 Z  95</t>
        </is>
      </c>
      <c r="D699" t="inlineStr">
        <is>
          <t>Ernest Hemingway and his world / Anthony Burgess. --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No</t>
        </is>
      </c>
      <c r="J699" t="inlineStr">
        <is>
          <t>0</t>
        </is>
      </c>
      <c r="K699" t="inlineStr">
        <is>
          <t>Burgess, Anthony, 1917-1993.</t>
        </is>
      </c>
      <c r="L699" t="inlineStr">
        <is>
          <t>New York : Scribner, c1978.</t>
        </is>
      </c>
      <c r="M699" t="inlineStr">
        <is>
          <t>1978</t>
        </is>
      </c>
      <c r="O699" t="inlineStr">
        <is>
          <t>eng</t>
        </is>
      </c>
      <c r="P699" t="inlineStr">
        <is>
          <t>nyu</t>
        </is>
      </c>
      <c r="R699" t="inlineStr">
        <is>
          <t xml:space="preserve">PS </t>
        </is>
      </c>
      <c r="S699" t="n">
        <v>7</v>
      </c>
      <c r="T699" t="n">
        <v>7</v>
      </c>
      <c r="U699" t="inlineStr">
        <is>
          <t>1994-11-27</t>
        </is>
      </c>
      <c r="V699" t="inlineStr">
        <is>
          <t>1994-11-27</t>
        </is>
      </c>
      <c r="W699" t="inlineStr">
        <is>
          <t>1990-03-01</t>
        </is>
      </c>
      <c r="X699" t="inlineStr">
        <is>
          <t>1990-03-01</t>
        </is>
      </c>
      <c r="Y699" t="n">
        <v>1261</v>
      </c>
      <c r="Z699" t="n">
        <v>1199</v>
      </c>
      <c r="AA699" t="n">
        <v>1320</v>
      </c>
      <c r="AB699" t="n">
        <v>11</v>
      </c>
      <c r="AC699" t="n">
        <v>12</v>
      </c>
      <c r="AD699" t="n">
        <v>36</v>
      </c>
      <c r="AE699" t="n">
        <v>42</v>
      </c>
      <c r="AF699" t="n">
        <v>16</v>
      </c>
      <c r="AG699" t="n">
        <v>18</v>
      </c>
      <c r="AH699" t="n">
        <v>8</v>
      </c>
      <c r="AI699" t="n">
        <v>10</v>
      </c>
      <c r="AJ699" t="n">
        <v>17</v>
      </c>
      <c r="AK699" t="n">
        <v>19</v>
      </c>
      <c r="AL699" t="n">
        <v>6</v>
      </c>
      <c r="AM699" t="n">
        <v>7</v>
      </c>
      <c r="AN699" t="n">
        <v>0</v>
      </c>
      <c r="AO699" t="n">
        <v>0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HYPERLINK("https://creighton-primo.hosted.exlibrisgroup.com/primo-explore/search?tab=default_tab&amp;search_scope=EVERYTHING&amp;vid=01CRU&amp;lang=en_US&amp;offset=0&amp;query=any,contains,991004614709702656","Catalog Record")</f>
        <v/>
      </c>
      <c r="AT699">
        <f>HYPERLINK("http://www.worldcat.org/oclc/4242566","WorldCat Record")</f>
        <v/>
      </c>
      <c r="AU699" t="inlineStr">
        <is>
          <t>2452446545:eng</t>
        </is>
      </c>
      <c r="AV699" t="inlineStr">
        <is>
          <t>4242566</t>
        </is>
      </c>
      <c r="AW699" t="inlineStr">
        <is>
          <t>991004614709702656</t>
        </is>
      </c>
      <c r="AX699" t="inlineStr">
        <is>
          <t>991004614709702656</t>
        </is>
      </c>
      <c r="AY699" t="inlineStr">
        <is>
          <t>2264573550002656</t>
        </is>
      </c>
      <c r="AZ699" t="inlineStr">
        <is>
          <t>BOOK</t>
        </is>
      </c>
      <c r="BB699" t="inlineStr">
        <is>
          <t>9780684156613</t>
        </is>
      </c>
      <c r="BC699" t="inlineStr">
        <is>
          <t>32285000073295</t>
        </is>
      </c>
      <c r="BD699" t="inlineStr">
        <is>
          <t>893788916</t>
        </is>
      </c>
    </row>
    <row r="700">
      <c r="A700" t="inlineStr">
        <is>
          <t>No</t>
        </is>
      </c>
      <c r="B700" t="inlineStr">
        <is>
          <t>PS3515.E37 Z97</t>
        </is>
      </c>
      <c r="C700" t="inlineStr">
        <is>
          <t>0                      PS 3515000E  37                 Z  97</t>
        </is>
      </c>
      <c r="D700" t="inlineStr">
        <is>
          <t>Ernest Hemingway.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Yes</t>
        </is>
      </c>
      <c r="J700" t="inlineStr">
        <is>
          <t>0</t>
        </is>
      </c>
      <c r="K700" t="inlineStr">
        <is>
          <t>Young, Philip, 1918-1991.</t>
        </is>
      </c>
      <c r="L700" t="inlineStr">
        <is>
          <t>Minneapolis, University of Minnesota Press [1959]</t>
        </is>
      </c>
      <c r="M700" t="inlineStr">
        <is>
          <t>1959</t>
        </is>
      </c>
      <c r="O700" t="inlineStr">
        <is>
          <t>eng</t>
        </is>
      </c>
      <c r="P700" t="inlineStr">
        <is>
          <t>mnu</t>
        </is>
      </c>
      <c r="Q700" t="inlineStr">
        <is>
          <t>University of Minnesota pamphlets on American writers ; no. 1</t>
        </is>
      </c>
      <c r="R700" t="inlineStr">
        <is>
          <t xml:space="preserve">PS </t>
        </is>
      </c>
      <c r="S700" t="n">
        <v>4</v>
      </c>
      <c r="T700" t="n">
        <v>4</v>
      </c>
      <c r="U700" t="inlineStr">
        <is>
          <t>1998-05-04</t>
        </is>
      </c>
      <c r="V700" t="inlineStr">
        <is>
          <t>1998-05-04</t>
        </is>
      </c>
      <c r="W700" t="inlineStr">
        <is>
          <t>1997-06-06</t>
        </is>
      </c>
      <c r="X700" t="inlineStr">
        <is>
          <t>1997-06-06</t>
        </is>
      </c>
      <c r="Y700" t="n">
        <v>652</v>
      </c>
      <c r="Z700" t="n">
        <v>562</v>
      </c>
      <c r="AA700" t="n">
        <v>1645</v>
      </c>
      <c r="AB700" t="n">
        <v>4</v>
      </c>
      <c r="AC700" t="n">
        <v>14</v>
      </c>
      <c r="AD700" t="n">
        <v>17</v>
      </c>
      <c r="AE700" t="n">
        <v>52</v>
      </c>
      <c r="AF700" t="n">
        <v>6</v>
      </c>
      <c r="AG700" t="n">
        <v>21</v>
      </c>
      <c r="AH700" t="n">
        <v>4</v>
      </c>
      <c r="AI700" t="n">
        <v>10</v>
      </c>
      <c r="AJ700" t="n">
        <v>9</v>
      </c>
      <c r="AK700" t="n">
        <v>21</v>
      </c>
      <c r="AL700" t="n">
        <v>3</v>
      </c>
      <c r="AM700" t="n">
        <v>11</v>
      </c>
      <c r="AN700" t="n">
        <v>0</v>
      </c>
      <c r="AO700" t="n">
        <v>1</v>
      </c>
      <c r="AP700" t="inlineStr">
        <is>
          <t>No</t>
        </is>
      </c>
      <c r="AQ700" t="inlineStr">
        <is>
          <t>Yes</t>
        </is>
      </c>
      <c r="AR700">
        <f>HYPERLINK("http://catalog.hathitrust.org/Record/001028654","HathiTrust Record")</f>
        <v/>
      </c>
      <c r="AS700">
        <f>HYPERLINK("https://creighton-primo.hosted.exlibrisgroup.com/primo-explore/search?tab=default_tab&amp;search_scope=EVERYTHING&amp;vid=01CRU&amp;lang=en_US&amp;offset=0&amp;query=any,contains,991001863509702656","Catalog Record")</f>
        <v/>
      </c>
      <c r="AT700">
        <f>HYPERLINK("http://www.worldcat.org/oclc/237958","WorldCat Record")</f>
        <v/>
      </c>
      <c r="AU700" t="inlineStr">
        <is>
          <t>66554669:eng</t>
        </is>
      </c>
      <c r="AV700" t="inlineStr">
        <is>
          <t>237958</t>
        </is>
      </c>
      <c r="AW700" t="inlineStr">
        <is>
          <t>991001863509702656</t>
        </is>
      </c>
      <c r="AX700" t="inlineStr">
        <is>
          <t>991001863509702656</t>
        </is>
      </c>
      <c r="AY700" t="inlineStr">
        <is>
          <t>2256648390002656</t>
        </is>
      </c>
      <c r="AZ700" t="inlineStr">
        <is>
          <t>BOOK</t>
        </is>
      </c>
      <c r="BC700" t="inlineStr">
        <is>
          <t>32285002784808</t>
        </is>
      </c>
      <c r="BD700" t="inlineStr">
        <is>
          <t>893433188</t>
        </is>
      </c>
    </row>
    <row r="701">
      <c r="A701" t="inlineStr">
        <is>
          <t>No</t>
        </is>
      </c>
      <c r="B701" t="inlineStr">
        <is>
          <t>PS3515.E37 Z97 1973</t>
        </is>
      </c>
      <c r="C701" t="inlineStr">
        <is>
          <t>0                      PS 3515000E  37                 Z  97          1973</t>
        </is>
      </c>
      <c r="D701" t="inlineStr">
        <is>
          <t>Ernest Hemingway.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Yes</t>
        </is>
      </c>
      <c r="J701" t="inlineStr">
        <is>
          <t>0</t>
        </is>
      </c>
      <c r="K701" t="inlineStr">
        <is>
          <t>Young, Philip, 1918-1991.</t>
        </is>
      </c>
      <c r="L701" t="inlineStr">
        <is>
          <t>Minneapolis, University of Minnesota Press [1973, c1964]</t>
        </is>
      </c>
      <c r="M701" t="inlineStr">
        <is>
          <t>1966</t>
        </is>
      </c>
      <c r="O701" t="inlineStr">
        <is>
          <t>eng</t>
        </is>
      </c>
      <c r="P701" t="inlineStr">
        <is>
          <t>mnu</t>
        </is>
      </c>
      <c r="Q701" t="inlineStr">
        <is>
          <t>University of Minnesota pamphlets on American writers ; no. 1</t>
        </is>
      </c>
      <c r="R701" t="inlineStr">
        <is>
          <t xml:space="preserve">PS </t>
        </is>
      </c>
      <c r="S701" t="n">
        <v>4</v>
      </c>
      <c r="T701" t="n">
        <v>4</v>
      </c>
      <c r="U701" t="inlineStr">
        <is>
          <t>1998-05-04</t>
        </is>
      </c>
      <c r="V701" t="inlineStr">
        <is>
          <t>1998-05-04</t>
        </is>
      </c>
      <c r="W701" t="inlineStr">
        <is>
          <t>1990-11-14</t>
        </is>
      </c>
      <c r="X701" t="inlineStr">
        <is>
          <t>1990-11-14</t>
        </is>
      </c>
      <c r="Y701" t="n">
        <v>512</v>
      </c>
      <c r="Z701" t="n">
        <v>483</v>
      </c>
      <c r="AA701" t="n">
        <v>1645</v>
      </c>
      <c r="AB701" t="n">
        <v>6</v>
      </c>
      <c r="AC701" t="n">
        <v>14</v>
      </c>
      <c r="AD701" t="n">
        <v>8</v>
      </c>
      <c r="AE701" t="n">
        <v>52</v>
      </c>
      <c r="AF701" t="n">
        <v>4</v>
      </c>
      <c r="AG701" t="n">
        <v>21</v>
      </c>
      <c r="AH701" t="n">
        <v>0</v>
      </c>
      <c r="AI701" t="n">
        <v>10</v>
      </c>
      <c r="AJ701" t="n">
        <v>2</v>
      </c>
      <c r="AK701" t="n">
        <v>21</v>
      </c>
      <c r="AL701" t="n">
        <v>3</v>
      </c>
      <c r="AM701" t="n">
        <v>11</v>
      </c>
      <c r="AN701" t="n">
        <v>0</v>
      </c>
      <c r="AO701" t="n">
        <v>1</v>
      </c>
      <c r="AP701" t="inlineStr">
        <is>
          <t>No</t>
        </is>
      </c>
      <c r="AQ701" t="inlineStr">
        <is>
          <t>Yes</t>
        </is>
      </c>
      <c r="AR701">
        <f>HYPERLINK("http://catalog.hathitrust.org/Record/000437699","HathiTrust Record")</f>
        <v/>
      </c>
      <c r="AS701">
        <f>HYPERLINK("https://creighton-primo.hosted.exlibrisgroup.com/primo-explore/search?tab=default_tab&amp;search_scope=EVERYTHING&amp;vid=01CRU&amp;lang=en_US&amp;offset=0&amp;query=any,contains,991000147389702656","Catalog Record")</f>
        <v/>
      </c>
      <c r="AT701">
        <f>HYPERLINK("http://www.worldcat.org/oclc/59243","WorldCat Record")</f>
        <v/>
      </c>
      <c r="AU701" t="inlineStr">
        <is>
          <t>66554669:eng</t>
        </is>
      </c>
      <c r="AV701" t="inlineStr">
        <is>
          <t>59243</t>
        </is>
      </c>
      <c r="AW701" t="inlineStr">
        <is>
          <t>991000147389702656</t>
        </is>
      </c>
      <c r="AX701" t="inlineStr">
        <is>
          <t>991000147389702656</t>
        </is>
      </c>
      <c r="AY701" t="inlineStr">
        <is>
          <t>2260572290002656</t>
        </is>
      </c>
      <c r="AZ701" t="inlineStr">
        <is>
          <t>BOOK</t>
        </is>
      </c>
      <c r="BC701" t="inlineStr">
        <is>
          <t>32285000378801</t>
        </is>
      </c>
      <c r="BD701" t="inlineStr">
        <is>
          <t>893230907</t>
        </is>
      </c>
    </row>
    <row r="702">
      <c r="A702" t="inlineStr">
        <is>
          <t>No</t>
        </is>
      </c>
      <c r="B702" t="inlineStr">
        <is>
          <t>PS3515.E37 Z982 1966</t>
        </is>
      </c>
      <c r="C702" t="inlineStr">
        <is>
          <t>0                      PS 3515000E  37                 Z  982         1966</t>
        </is>
      </c>
      <c r="D702" t="inlineStr">
        <is>
          <t>Ernest Hemingway : a reconsideration / Philip Young.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Young, Philip, 1918-1991.</t>
        </is>
      </c>
      <c r="L702" t="inlineStr">
        <is>
          <t>University Park : Pennsylvania State University Press, c1966, 1981 printing.</t>
        </is>
      </c>
      <c r="M702" t="inlineStr">
        <is>
          <t>1966</t>
        </is>
      </c>
      <c r="N702" t="inlineStr">
        <is>
          <t>[Rev. ed.]</t>
        </is>
      </c>
      <c r="O702" t="inlineStr">
        <is>
          <t>eng</t>
        </is>
      </c>
      <c r="P702" t="inlineStr">
        <is>
          <t>pau</t>
        </is>
      </c>
      <c r="R702" t="inlineStr">
        <is>
          <t xml:space="preserve">PS </t>
        </is>
      </c>
      <c r="S702" t="n">
        <v>8</v>
      </c>
      <c r="T702" t="n">
        <v>8</v>
      </c>
      <c r="U702" t="inlineStr">
        <is>
          <t>2002-03-26</t>
        </is>
      </c>
      <c r="V702" t="inlineStr">
        <is>
          <t>2002-03-26</t>
        </is>
      </c>
      <c r="W702" t="inlineStr">
        <is>
          <t>1990-02-27</t>
        </is>
      </c>
      <c r="X702" t="inlineStr">
        <is>
          <t>1990-02-27</t>
        </is>
      </c>
      <c r="Y702" t="n">
        <v>1332</v>
      </c>
      <c r="Z702" t="n">
        <v>1212</v>
      </c>
      <c r="AA702" t="n">
        <v>1317</v>
      </c>
      <c r="AB702" t="n">
        <v>10</v>
      </c>
      <c r="AC702" t="n">
        <v>12</v>
      </c>
      <c r="AD702" t="n">
        <v>45</v>
      </c>
      <c r="AE702" t="n">
        <v>52</v>
      </c>
      <c r="AF702" t="n">
        <v>20</v>
      </c>
      <c r="AG702" t="n">
        <v>23</v>
      </c>
      <c r="AH702" t="n">
        <v>8</v>
      </c>
      <c r="AI702" t="n">
        <v>9</v>
      </c>
      <c r="AJ702" t="n">
        <v>22</v>
      </c>
      <c r="AK702" t="n">
        <v>23</v>
      </c>
      <c r="AL702" t="n">
        <v>8</v>
      </c>
      <c r="AM702" t="n">
        <v>10</v>
      </c>
      <c r="AN702" t="n">
        <v>0</v>
      </c>
      <c r="AO702" t="n">
        <v>0</v>
      </c>
      <c r="AP702" t="inlineStr">
        <is>
          <t>No</t>
        </is>
      </c>
      <c r="AQ702" t="inlineStr">
        <is>
          <t>Yes</t>
        </is>
      </c>
      <c r="AR702">
        <f>HYPERLINK("http://catalog.hathitrust.org/Record/000437707","HathiTrust Record")</f>
        <v/>
      </c>
      <c r="AS702">
        <f>HYPERLINK("https://creighton-primo.hosted.exlibrisgroup.com/primo-explore/search?tab=default_tab&amp;search_scope=EVERYTHING&amp;vid=01CRU&amp;lang=en_US&amp;offset=0&amp;query=any,contains,991004031209702656","Catalog Record")</f>
        <v/>
      </c>
      <c r="AT702">
        <f>HYPERLINK("http://www.worldcat.org/oclc/2154619","WorldCat Record")</f>
        <v/>
      </c>
      <c r="AU702" t="inlineStr">
        <is>
          <t>4159920659:eng</t>
        </is>
      </c>
      <c r="AV702" t="inlineStr">
        <is>
          <t>2154619</t>
        </is>
      </c>
      <c r="AW702" t="inlineStr">
        <is>
          <t>991004031209702656</t>
        </is>
      </c>
      <c r="AX702" t="inlineStr">
        <is>
          <t>991004031209702656</t>
        </is>
      </c>
      <c r="AY702" t="inlineStr">
        <is>
          <t>2257282090002656</t>
        </is>
      </c>
      <c r="AZ702" t="inlineStr">
        <is>
          <t>BOOK</t>
        </is>
      </c>
      <c r="BC702" t="inlineStr">
        <is>
          <t>32285000072099</t>
        </is>
      </c>
      <c r="BD702" t="inlineStr">
        <is>
          <t>893247072</t>
        </is>
      </c>
    </row>
    <row r="703">
      <c r="A703" t="inlineStr">
        <is>
          <t>No</t>
        </is>
      </c>
      <c r="B703" t="inlineStr">
        <is>
          <t>PS3515.O134 Y2</t>
        </is>
      </c>
      <c r="C703" t="inlineStr">
        <is>
          <t>0                      PS 3515000O  134                Y  2</t>
        </is>
      </c>
      <c r="D703" t="inlineStr">
        <is>
          <t>Yang and yin; a novel of an American doctor in China, by Alice Tisdale Hobart.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Hobart, Alice Tisdale, 1882-1967.</t>
        </is>
      </c>
      <c r="L703" t="inlineStr">
        <is>
          <t>Indianapolis, New York, Bobbs-Merrill [c1936]</t>
        </is>
      </c>
      <c r="M703" t="inlineStr">
        <is>
          <t>1936</t>
        </is>
      </c>
      <c r="O703" t="inlineStr">
        <is>
          <t>eng</t>
        </is>
      </c>
      <c r="P703" t="inlineStr">
        <is>
          <t>inu</t>
        </is>
      </c>
      <c r="R703" t="inlineStr">
        <is>
          <t xml:space="preserve">PS </t>
        </is>
      </c>
      <c r="S703" t="n">
        <v>1</v>
      </c>
      <c r="T703" t="n">
        <v>1</v>
      </c>
      <c r="U703" t="inlineStr">
        <is>
          <t>1999-11-08</t>
        </is>
      </c>
      <c r="V703" t="inlineStr">
        <is>
          <t>1999-11-08</t>
        </is>
      </c>
      <c r="W703" t="inlineStr">
        <is>
          <t>1997-06-06</t>
        </is>
      </c>
      <c r="X703" t="inlineStr">
        <is>
          <t>1997-06-06</t>
        </is>
      </c>
      <c r="Y703" t="n">
        <v>396</v>
      </c>
      <c r="Z703" t="n">
        <v>376</v>
      </c>
      <c r="AA703" t="n">
        <v>426</v>
      </c>
      <c r="AB703" t="n">
        <v>3</v>
      </c>
      <c r="AC703" t="n">
        <v>3</v>
      </c>
      <c r="AD703" t="n">
        <v>6</v>
      </c>
      <c r="AE703" t="n">
        <v>6</v>
      </c>
      <c r="AF703" t="n">
        <v>0</v>
      </c>
      <c r="AG703" t="n">
        <v>0</v>
      </c>
      <c r="AH703" t="n">
        <v>0</v>
      </c>
      <c r="AI703" t="n">
        <v>0</v>
      </c>
      <c r="AJ703" t="n">
        <v>4</v>
      </c>
      <c r="AK703" t="n">
        <v>4</v>
      </c>
      <c r="AL703" t="n">
        <v>2</v>
      </c>
      <c r="AM703" t="n">
        <v>2</v>
      </c>
      <c r="AN703" t="n">
        <v>0</v>
      </c>
      <c r="AO703" t="n">
        <v>0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HYPERLINK("http://catalog.hathitrust.org/Record/008011736","HathiTrust Record")</f>
        <v/>
      </c>
      <c r="AS703">
        <f>HYPERLINK("https://creighton-primo.hosted.exlibrisgroup.com/primo-explore/search?tab=default_tab&amp;search_scope=EVERYTHING&amp;vid=01CRU&amp;lang=en_US&amp;offset=0&amp;query=any,contains,991003145699702656","Catalog Record")</f>
        <v/>
      </c>
      <c r="AT703">
        <f>HYPERLINK("http://www.worldcat.org/oclc/686053","WorldCat Record")</f>
        <v/>
      </c>
      <c r="AU703" t="inlineStr">
        <is>
          <t>895351458:eng</t>
        </is>
      </c>
      <c r="AV703" t="inlineStr">
        <is>
          <t>686053</t>
        </is>
      </c>
      <c r="AW703" t="inlineStr">
        <is>
          <t>991003145699702656</t>
        </is>
      </c>
      <c r="AX703" t="inlineStr">
        <is>
          <t>991003145699702656</t>
        </is>
      </c>
      <c r="AY703" t="inlineStr">
        <is>
          <t>2265024950002656</t>
        </is>
      </c>
      <c r="AZ703" t="inlineStr">
        <is>
          <t>BOOK</t>
        </is>
      </c>
      <c r="BC703" t="inlineStr">
        <is>
          <t>32285002784998</t>
        </is>
      </c>
      <c r="BD703" t="inlineStr">
        <is>
          <t>893793360</t>
        </is>
      </c>
    </row>
    <row r="704">
      <c r="A704" t="inlineStr">
        <is>
          <t>No</t>
        </is>
      </c>
      <c r="B704" t="inlineStr">
        <is>
          <t>PS3515.O3475 S6 1942</t>
        </is>
      </c>
      <c r="C704" t="inlineStr">
        <is>
          <t>0                      PS 3515000O  3475               S  6           1942</t>
        </is>
      </c>
      <c r="D704" t="inlineStr">
        <is>
          <t>The Song of Tekakwitha : the Lily of the Mohawks / Illustrated by Le Roy H. Appleton.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Holland, Robert E. (Robert Emmett), 1892-1946.</t>
        </is>
      </c>
      <c r="L704" t="inlineStr">
        <is>
          <t>New York : Fordham University Press, [1942]</t>
        </is>
      </c>
      <c r="M704" t="inlineStr">
        <is>
          <t>1942</t>
        </is>
      </c>
      <c r="O704" t="inlineStr">
        <is>
          <t>eng</t>
        </is>
      </c>
      <c r="P704" t="inlineStr">
        <is>
          <t>nyu</t>
        </is>
      </c>
      <c r="R704" t="inlineStr">
        <is>
          <t xml:space="preserve">PS </t>
        </is>
      </c>
      <c r="S704" t="n">
        <v>2</v>
      </c>
      <c r="T704" t="n">
        <v>2</v>
      </c>
      <c r="U704" t="inlineStr">
        <is>
          <t>1994-03-19</t>
        </is>
      </c>
      <c r="V704" t="inlineStr">
        <is>
          <t>1994-03-19</t>
        </is>
      </c>
      <c r="W704" t="inlineStr">
        <is>
          <t>1990-11-14</t>
        </is>
      </c>
      <c r="X704" t="inlineStr">
        <is>
          <t>1990-11-14</t>
        </is>
      </c>
      <c r="Y704" t="n">
        <v>119</v>
      </c>
      <c r="Z704" t="n">
        <v>106</v>
      </c>
      <c r="AA704" t="n">
        <v>129</v>
      </c>
      <c r="AB704" t="n">
        <v>2</v>
      </c>
      <c r="AC704" t="n">
        <v>3</v>
      </c>
      <c r="AD704" t="n">
        <v>17</v>
      </c>
      <c r="AE704" t="n">
        <v>19</v>
      </c>
      <c r="AF704" t="n">
        <v>4</v>
      </c>
      <c r="AG704" t="n">
        <v>5</v>
      </c>
      <c r="AH704" t="n">
        <v>5</v>
      </c>
      <c r="AI704" t="n">
        <v>6</v>
      </c>
      <c r="AJ704" t="n">
        <v>14</v>
      </c>
      <c r="AK704" t="n">
        <v>14</v>
      </c>
      <c r="AL704" t="n">
        <v>0</v>
      </c>
      <c r="AM704" t="n">
        <v>1</v>
      </c>
      <c r="AN704" t="n">
        <v>0</v>
      </c>
      <c r="AO704" t="n">
        <v>0</v>
      </c>
      <c r="AP704" t="inlineStr">
        <is>
          <t>Yes</t>
        </is>
      </c>
      <c r="AQ704" t="inlineStr">
        <is>
          <t>No</t>
        </is>
      </c>
      <c r="AR704">
        <f>HYPERLINK("http://catalog.hathitrust.org/Record/009182544","HathiTrust Record")</f>
        <v/>
      </c>
      <c r="AS704">
        <f>HYPERLINK("https://creighton-primo.hosted.exlibrisgroup.com/primo-explore/search?tab=default_tab&amp;search_scope=EVERYTHING&amp;vid=01CRU&amp;lang=en_US&amp;offset=0&amp;query=any,contains,991004034859702656","Catalog Record")</f>
        <v/>
      </c>
      <c r="AT704">
        <f>HYPERLINK("http://www.worldcat.org/oclc/2167159","WorldCat Record")</f>
        <v/>
      </c>
      <c r="AU704" t="inlineStr">
        <is>
          <t>53533352:eng</t>
        </is>
      </c>
      <c r="AV704" t="inlineStr">
        <is>
          <t>2167159</t>
        </is>
      </c>
      <c r="AW704" t="inlineStr">
        <is>
          <t>991004034859702656</t>
        </is>
      </c>
      <c r="AX704" t="inlineStr">
        <is>
          <t>991004034859702656</t>
        </is>
      </c>
      <c r="AY704" t="inlineStr">
        <is>
          <t>2270567350002656</t>
        </is>
      </c>
      <c r="AZ704" t="inlineStr">
        <is>
          <t>BOOK</t>
        </is>
      </c>
      <c r="BC704" t="inlineStr">
        <is>
          <t>32285000378884</t>
        </is>
      </c>
      <c r="BD704" t="inlineStr">
        <is>
          <t>893240934</t>
        </is>
      </c>
    </row>
    <row r="705">
      <c r="A705" t="inlineStr">
        <is>
          <t>No</t>
        </is>
      </c>
      <c r="B705" t="inlineStr">
        <is>
          <t>PS3515.O7776 F5</t>
        </is>
      </c>
      <c r="C705" t="inlineStr">
        <is>
          <t>0                      PS 3515000O  7776               F  5</t>
        </is>
      </c>
      <c r="D705" t="inlineStr">
        <is>
          <t>The flowering tree [by] Caryll Houselander ...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Houselander, Caryll.</t>
        </is>
      </c>
      <c r="L705" t="inlineStr">
        <is>
          <t>New York, Sheed &amp; Ward, 1945.</t>
        </is>
      </c>
      <c r="M705" t="inlineStr">
        <is>
          <t>1945</t>
        </is>
      </c>
      <c r="O705" t="inlineStr">
        <is>
          <t>eng</t>
        </is>
      </c>
      <c r="P705" t="inlineStr">
        <is>
          <t>nyu</t>
        </is>
      </c>
      <c r="R705" t="inlineStr">
        <is>
          <t xml:space="preserve">PS </t>
        </is>
      </c>
      <c r="S705" t="n">
        <v>10</v>
      </c>
      <c r="T705" t="n">
        <v>10</v>
      </c>
      <c r="U705" t="inlineStr">
        <is>
          <t>2005-03-10</t>
        </is>
      </c>
      <c r="V705" t="inlineStr">
        <is>
          <t>2005-03-10</t>
        </is>
      </c>
      <c r="W705" t="inlineStr">
        <is>
          <t>1997-06-09</t>
        </is>
      </c>
      <c r="X705" t="inlineStr">
        <is>
          <t>1997-06-09</t>
        </is>
      </c>
      <c r="Y705" t="n">
        <v>174</v>
      </c>
      <c r="Z705" t="n">
        <v>161</v>
      </c>
      <c r="AA705" t="n">
        <v>181</v>
      </c>
      <c r="AB705" t="n">
        <v>3</v>
      </c>
      <c r="AC705" t="n">
        <v>3</v>
      </c>
      <c r="AD705" t="n">
        <v>22</v>
      </c>
      <c r="AE705" t="n">
        <v>23</v>
      </c>
      <c r="AF705" t="n">
        <v>7</v>
      </c>
      <c r="AG705" t="n">
        <v>7</v>
      </c>
      <c r="AH705" t="n">
        <v>3</v>
      </c>
      <c r="AI705" t="n">
        <v>4</v>
      </c>
      <c r="AJ705" t="n">
        <v>18</v>
      </c>
      <c r="AK705" t="n">
        <v>19</v>
      </c>
      <c r="AL705" t="n">
        <v>1</v>
      </c>
      <c r="AM705" t="n">
        <v>1</v>
      </c>
      <c r="AN705" t="n">
        <v>0</v>
      </c>
      <c r="AO705" t="n">
        <v>0</v>
      </c>
      <c r="AP705" t="inlineStr">
        <is>
          <t>No</t>
        </is>
      </c>
      <c r="AQ705" t="inlineStr">
        <is>
          <t>No</t>
        </is>
      </c>
      <c r="AR705">
        <f>HYPERLINK("http://catalog.hathitrust.org/Record/006639679","HathiTrust Record")</f>
        <v/>
      </c>
      <c r="AS705">
        <f>HYPERLINK("https://creighton-primo.hosted.exlibrisgroup.com/primo-explore/search?tab=default_tab&amp;search_scope=EVERYTHING&amp;vid=01CRU&amp;lang=en_US&amp;offset=0&amp;query=any,contains,991003921909702656","Catalog Record")</f>
        <v/>
      </c>
      <c r="AT705">
        <f>HYPERLINK("http://www.worldcat.org/oclc/1872968","WorldCat Record")</f>
        <v/>
      </c>
      <c r="AU705" t="inlineStr">
        <is>
          <t>1489201:eng</t>
        </is>
      </c>
      <c r="AV705" t="inlineStr">
        <is>
          <t>1872968</t>
        </is>
      </c>
      <c r="AW705" t="inlineStr">
        <is>
          <t>991003921909702656</t>
        </is>
      </c>
      <c r="AX705" t="inlineStr">
        <is>
          <t>991003921909702656</t>
        </is>
      </c>
      <c r="AY705" t="inlineStr">
        <is>
          <t>2255163970002656</t>
        </is>
      </c>
      <c r="AZ705" t="inlineStr">
        <is>
          <t>BOOK</t>
        </is>
      </c>
      <c r="BC705" t="inlineStr">
        <is>
          <t>32285002785219</t>
        </is>
      </c>
      <c r="BD705" t="inlineStr">
        <is>
          <t>893525427</t>
        </is>
      </c>
    </row>
    <row r="706">
      <c r="A706" t="inlineStr">
        <is>
          <t>No</t>
        </is>
      </c>
      <c r="B706" t="inlineStr">
        <is>
          <t>PS3515.U274 A19 1968</t>
        </is>
      </c>
      <c r="C706" t="inlineStr">
        <is>
          <t>0                      PS 3515000U  274                A  19          1968</t>
        </is>
      </c>
      <c r="D706" t="inlineStr">
        <is>
          <t>Five plays. Edited with an introd. by Webster Smalley.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Hughes, Langston, 1902-1967.</t>
        </is>
      </c>
      <c r="L706" t="inlineStr">
        <is>
          <t>Bloomington, Indiana University Press [1968, c1963]</t>
        </is>
      </c>
      <c r="M706" t="inlineStr">
        <is>
          <t>1968</t>
        </is>
      </c>
      <c r="N706" t="inlineStr">
        <is>
          <t>First Midland book edition.</t>
        </is>
      </c>
      <c r="O706" t="inlineStr">
        <is>
          <t>eng</t>
        </is>
      </c>
      <c r="P706" t="inlineStr">
        <is>
          <t xml:space="preserve">xx </t>
        </is>
      </c>
      <c r="R706" t="inlineStr">
        <is>
          <t xml:space="preserve">PS </t>
        </is>
      </c>
      <c r="S706" t="n">
        <v>7</v>
      </c>
      <c r="T706" t="n">
        <v>7</v>
      </c>
      <c r="U706" t="inlineStr">
        <is>
          <t>1994-10-09</t>
        </is>
      </c>
      <c r="V706" t="inlineStr">
        <is>
          <t>1994-10-09</t>
        </is>
      </c>
      <c r="W706" t="inlineStr">
        <is>
          <t>1990-11-14</t>
        </is>
      </c>
      <c r="X706" t="inlineStr">
        <is>
          <t>1990-11-14</t>
        </is>
      </c>
      <c r="Y706" t="n">
        <v>1661</v>
      </c>
      <c r="Z706" t="n">
        <v>1573</v>
      </c>
      <c r="AA706" t="n">
        <v>1754</v>
      </c>
      <c r="AB706" t="n">
        <v>11</v>
      </c>
      <c r="AC706" t="n">
        <v>11</v>
      </c>
      <c r="AD706" t="n">
        <v>45</v>
      </c>
      <c r="AE706" t="n">
        <v>52</v>
      </c>
      <c r="AF706" t="n">
        <v>20</v>
      </c>
      <c r="AG706" t="n">
        <v>23</v>
      </c>
      <c r="AH706" t="n">
        <v>7</v>
      </c>
      <c r="AI706" t="n">
        <v>9</v>
      </c>
      <c r="AJ706" t="n">
        <v>20</v>
      </c>
      <c r="AK706" t="n">
        <v>24</v>
      </c>
      <c r="AL706" t="n">
        <v>8</v>
      </c>
      <c r="AM706" t="n">
        <v>8</v>
      </c>
      <c r="AN706" t="n">
        <v>0</v>
      </c>
      <c r="AO706" t="n">
        <v>0</v>
      </c>
      <c r="AP706" t="inlineStr">
        <is>
          <t>No</t>
        </is>
      </c>
      <c r="AQ706" t="inlineStr">
        <is>
          <t>No</t>
        </is>
      </c>
      <c r="AR706">
        <f>HYPERLINK("http://catalog.hathitrust.org/Record/000004090","HathiTrust Record")</f>
        <v/>
      </c>
      <c r="AS706">
        <f>HYPERLINK("https://creighton-primo.hosted.exlibrisgroup.com/primo-explore/search?tab=default_tab&amp;search_scope=EVERYTHING&amp;vid=01CRU&amp;lang=en_US&amp;offset=0&amp;query=any,contains,991004449509702656","Catalog Record")</f>
        <v/>
      </c>
      <c r="AT706">
        <f>HYPERLINK("http://www.worldcat.org/oclc/285640","WorldCat Record")</f>
        <v/>
      </c>
      <c r="AU706" t="inlineStr">
        <is>
          <t>421537:eng</t>
        </is>
      </c>
      <c r="AV706" t="inlineStr">
        <is>
          <t>285640</t>
        </is>
      </c>
      <c r="AW706" t="inlineStr">
        <is>
          <t>991004449509702656</t>
        </is>
      </c>
      <c r="AX706" t="inlineStr">
        <is>
          <t>991004449509702656</t>
        </is>
      </c>
      <c r="AY706" t="inlineStr">
        <is>
          <t>2269721160002656</t>
        </is>
      </c>
      <c r="AZ706" t="inlineStr">
        <is>
          <t>BOOK</t>
        </is>
      </c>
      <c r="BC706" t="inlineStr">
        <is>
          <t>32285000378934</t>
        </is>
      </c>
      <c r="BD706" t="inlineStr">
        <is>
          <t>893618681</t>
        </is>
      </c>
    </row>
    <row r="707">
      <c r="A707" t="inlineStr">
        <is>
          <t>No</t>
        </is>
      </c>
      <c r="B707" t="inlineStr">
        <is>
          <t>PS3515.U274 A6 1959</t>
        </is>
      </c>
      <c r="C707" t="inlineStr">
        <is>
          <t>0                      PS 3515000U  274                A  6           1959</t>
        </is>
      </c>
      <c r="D707" t="inlineStr">
        <is>
          <t>Selected poems / drawings by E. McKnight Kauffer.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K707" t="inlineStr">
        <is>
          <t>Hughes, Langston, 1902-1967.</t>
        </is>
      </c>
      <c r="L707" t="inlineStr">
        <is>
          <t>New York : Knopf, c1959, 1969 printing.</t>
        </is>
      </c>
      <c r="M707" t="inlineStr">
        <is>
          <t>1969</t>
        </is>
      </c>
      <c r="N707" t="inlineStr">
        <is>
          <t>[1st ed.]</t>
        </is>
      </c>
      <c r="O707" t="inlineStr">
        <is>
          <t>eng</t>
        </is>
      </c>
      <c r="P707" t="inlineStr">
        <is>
          <t>nyu</t>
        </is>
      </c>
      <c r="R707" t="inlineStr">
        <is>
          <t xml:space="preserve">PS </t>
        </is>
      </c>
      <c r="S707" t="n">
        <v>12</v>
      </c>
      <c r="T707" t="n">
        <v>12</v>
      </c>
      <c r="U707" t="inlineStr">
        <is>
          <t>2003-09-26</t>
        </is>
      </c>
      <c r="V707" t="inlineStr">
        <is>
          <t>2003-09-26</t>
        </is>
      </c>
      <c r="W707" t="inlineStr">
        <is>
          <t>1994-06-10</t>
        </is>
      </c>
      <c r="X707" t="inlineStr">
        <is>
          <t>1994-06-10</t>
        </is>
      </c>
      <c r="Y707" t="n">
        <v>18</v>
      </c>
      <c r="Z707" t="n">
        <v>18</v>
      </c>
      <c r="AA707" t="n">
        <v>1178</v>
      </c>
      <c r="AB707" t="n">
        <v>1</v>
      </c>
      <c r="AC707" t="n">
        <v>12</v>
      </c>
      <c r="AD707" t="n">
        <v>1</v>
      </c>
      <c r="AE707" t="n">
        <v>31</v>
      </c>
      <c r="AF707" t="n">
        <v>1</v>
      </c>
      <c r="AG707" t="n">
        <v>12</v>
      </c>
      <c r="AH707" t="n">
        <v>0</v>
      </c>
      <c r="AI707" t="n">
        <v>7</v>
      </c>
      <c r="AJ707" t="n">
        <v>0</v>
      </c>
      <c r="AK707" t="n">
        <v>14</v>
      </c>
      <c r="AL707" t="n">
        <v>0</v>
      </c>
      <c r="AM707" t="n">
        <v>6</v>
      </c>
      <c r="AN707" t="n">
        <v>0</v>
      </c>
      <c r="AO707" t="n">
        <v>0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HYPERLINK("https://creighton-primo.hosted.exlibrisgroup.com/primo-explore/search?tab=default_tab&amp;search_scope=EVERYTHING&amp;vid=01CRU&amp;lang=en_US&amp;offset=0&amp;query=any,contains,991001307459702656","Catalog Record")</f>
        <v/>
      </c>
      <c r="AT707">
        <f>HYPERLINK("http://www.worldcat.org/oclc/18119025","WorldCat Record")</f>
        <v/>
      </c>
      <c r="AU707" t="inlineStr">
        <is>
          <t>4758021524:eng</t>
        </is>
      </c>
      <c r="AV707" t="inlineStr">
        <is>
          <t>18119025</t>
        </is>
      </c>
      <c r="AW707" t="inlineStr">
        <is>
          <t>991001307459702656</t>
        </is>
      </c>
      <c r="AX707" t="inlineStr">
        <is>
          <t>991001307459702656</t>
        </is>
      </c>
      <c r="AY707" t="inlineStr">
        <is>
          <t>2269537330002656</t>
        </is>
      </c>
      <c r="AZ707" t="inlineStr">
        <is>
          <t>BOOK</t>
        </is>
      </c>
      <c r="BC707" t="inlineStr">
        <is>
          <t>32285001929180</t>
        </is>
      </c>
      <c r="BD707" t="inlineStr">
        <is>
          <t>893238026</t>
        </is>
      </c>
    </row>
    <row r="708">
      <c r="A708" t="inlineStr">
        <is>
          <t>No</t>
        </is>
      </c>
      <c r="B708" t="inlineStr">
        <is>
          <t>PS3515.U274 M53 1990</t>
        </is>
      </c>
      <c r="C708" t="inlineStr">
        <is>
          <t>0                      PS 3515000U  274                M  53          1990</t>
        </is>
      </c>
      <c r="D708" t="inlineStr">
        <is>
          <t>Langston Hughes : a bio-bibliography / compiled by Thomas A. Mikolyzk.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Mikolyzk, Thomas A.</t>
        </is>
      </c>
      <c r="L708" t="inlineStr">
        <is>
          <t>New York : Greenwood Press, 1990.</t>
        </is>
      </c>
      <c r="M708" t="inlineStr">
        <is>
          <t>1990</t>
        </is>
      </c>
      <c r="O708" t="inlineStr">
        <is>
          <t>eng</t>
        </is>
      </c>
      <c r="P708" t="inlineStr">
        <is>
          <t>nyu</t>
        </is>
      </c>
      <c r="Q708" t="inlineStr">
        <is>
          <t>Bio-bibliographies in Afro-American and African studies, 0882-7044 ; no. 2</t>
        </is>
      </c>
      <c r="R708" t="inlineStr">
        <is>
          <t xml:space="preserve">PS </t>
        </is>
      </c>
      <c r="S708" t="n">
        <v>21</v>
      </c>
      <c r="T708" t="n">
        <v>21</v>
      </c>
      <c r="U708" t="inlineStr">
        <is>
          <t>1999-04-27</t>
        </is>
      </c>
      <c r="V708" t="inlineStr">
        <is>
          <t>1999-04-27</t>
        </is>
      </c>
      <c r="W708" t="inlineStr">
        <is>
          <t>1991-05-09</t>
        </is>
      </c>
      <c r="X708" t="inlineStr">
        <is>
          <t>1991-05-09</t>
        </is>
      </c>
      <c r="Y708" t="n">
        <v>408</v>
      </c>
      <c r="Z708" t="n">
        <v>366</v>
      </c>
      <c r="AA708" t="n">
        <v>373</v>
      </c>
      <c r="AB708" t="n">
        <v>2</v>
      </c>
      <c r="AC708" t="n">
        <v>2</v>
      </c>
      <c r="AD708" t="n">
        <v>14</v>
      </c>
      <c r="AE708" t="n">
        <v>14</v>
      </c>
      <c r="AF708" t="n">
        <v>3</v>
      </c>
      <c r="AG708" t="n">
        <v>3</v>
      </c>
      <c r="AH708" t="n">
        <v>5</v>
      </c>
      <c r="AI708" t="n">
        <v>5</v>
      </c>
      <c r="AJ708" t="n">
        <v>10</v>
      </c>
      <c r="AK708" t="n">
        <v>10</v>
      </c>
      <c r="AL708" t="n">
        <v>1</v>
      </c>
      <c r="AM708" t="n">
        <v>1</v>
      </c>
      <c r="AN708" t="n">
        <v>0</v>
      </c>
      <c r="AO708" t="n">
        <v>0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HYPERLINK("http://catalog.hathitrust.org/Record/004509112","HathiTrust Record")</f>
        <v/>
      </c>
      <c r="AS708">
        <f>HYPERLINK("https://creighton-primo.hosted.exlibrisgroup.com/primo-explore/search?tab=default_tab&amp;search_scope=EVERYTHING&amp;vid=01CRU&amp;lang=en_US&amp;offset=0&amp;query=any,contains,991001711039702656","Catalog Record")</f>
        <v/>
      </c>
      <c r="AT708">
        <f>HYPERLINK("http://www.worldcat.org/oclc/21597695","WorldCat Record")</f>
        <v/>
      </c>
      <c r="AU708" t="inlineStr">
        <is>
          <t>347445997:eng</t>
        </is>
      </c>
      <c r="AV708" t="inlineStr">
        <is>
          <t>21597695</t>
        </is>
      </c>
      <c r="AW708" t="inlineStr">
        <is>
          <t>991001711039702656</t>
        </is>
      </c>
      <c r="AX708" t="inlineStr">
        <is>
          <t>991001711039702656</t>
        </is>
      </c>
      <c r="AY708" t="inlineStr">
        <is>
          <t>2257721940002656</t>
        </is>
      </c>
      <c r="AZ708" t="inlineStr">
        <is>
          <t>BOOK</t>
        </is>
      </c>
      <c r="BB708" t="inlineStr">
        <is>
          <t>9780313268953</t>
        </is>
      </c>
      <c r="BC708" t="inlineStr">
        <is>
          <t>32285000572536</t>
        </is>
      </c>
      <c r="BD708" t="inlineStr">
        <is>
          <t>893529150</t>
        </is>
      </c>
    </row>
    <row r="709">
      <c r="A709" t="inlineStr">
        <is>
          <t>No</t>
        </is>
      </c>
      <c r="B709" t="inlineStr">
        <is>
          <t>PS3515.U274 Z775 1988</t>
        </is>
      </c>
      <c r="C709" t="inlineStr">
        <is>
          <t>0                      PS 3515000U  274                Z  775         1988</t>
        </is>
      </c>
      <c r="D709" t="inlineStr">
        <is>
          <t>Langston Hughes / Jack Rummel ; [introductory essay by Coretta Scott King].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Rummel, Jack.</t>
        </is>
      </c>
      <c r="L709" t="inlineStr">
        <is>
          <t>New York : Chelsea House Publishers, c1988.</t>
        </is>
      </c>
      <c r="M709" t="inlineStr">
        <is>
          <t>1988</t>
        </is>
      </c>
      <c r="O709" t="inlineStr">
        <is>
          <t>eng</t>
        </is>
      </c>
      <c r="P709" t="inlineStr">
        <is>
          <t>nyu</t>
        </is>
      </c>
      <c r="Q709" t="inlineStr">
        <is>
          <t>Black Americans of achievement</t>
        </is>
      </c>
      <c r="R709" t="inlineStr">
        <is>
          <t xml:space="preserve">PS </t>
        </is>
      </c>
      <c r="S709" t="n">
        <v>1</v>
      </c>
      <c r="T709" t="n">
        <v>1</v>
      </c>
      <c r="U709" t="inlineStr">
        <is>
          <t>2004-11-02</t>
        </is>
      </c>
      <c r="V709" t="inlineStr">
        <is>
          <t>2004-11-02</t>
        </is>
      </c>
      <c r="W709" t="inlineStr">
        <is>
          <t>1995-04-17</t>
        </is>
      </c>
      <c r="X709" t="inlineStr">
        <is>
          <t>1995-04-17</t>
        </is>
      </c>
      <c r="Y709" t="n">
        <v>1041</v>
      </c>
      <c r="Z709" t="n">
        <v>1024</v>
      </c>
      <c r="AA709" t="n">
        <v>1268</v>
      </c>
      <c r="AB709" t="n">
        <v>6</v>
      </c>
      <c r="AC709" t="n">
        <v>13</v>
      </c>
      <c r="AD709" t="n">
        <v>8</v>
      </c>
      <c r="AE709" t="n">
        <v>23</v>
      </c>
      <c r="AF709" t="n">
        <v>4</v>
      </c>
      <c r="AG709" t="n">
        <v>7</v>
      </c>
      <c r="AH709" t="n">
        <v>2</v>
      </c>
      <c r="AI709" t="n">
        <v>4</v>
      </c>
      <c r="AJ709" t="n">
        <v>2</v>
      </c>
      <c r="AK709" t="n">
        <v>5</v>
      </c>
      <c r="AL709" t="n">
        <v>1</v>
      </c>
      <c r="AM709" t="n">
        <v>8</v>
      </c>
      <c r="AN709" t="n">
        <v>0</v>
      </c>
      <c r="AO709" t="n">
        <v>0</v>
      </c>
      <c r="AP709" t="inlineStr">
        <is>
          <t>No</t>
        </is>
      </c>
      <c r="AQ709" t="inlineStr">
        <is>
          <t>No</t>
        </is>
      </c>
      <c r="AS709">
        <f>HYPERLINK("https://creighton-primo.hosted.exlibrisgroup.com/primo-explore/search?tab=default_tab&amp;search_scope=EVERYTHING&amp;vid=01CRU&amp;lang=en_US&amp;offset=0&amp;query=any,contains,991004447829702656","Catalog Record")</f>
        <v/>
      </c>
      <c r="AT709">
        <f>HYPERLINK("http://www.worldcat.org/oclc/15696939","WorldCat Record")</f>
        <v/>
      </c>
      <c r="AU709" t="inlineStr">
        <is>
          <t>1053295:eng</t>
        </is>
      </c>
      <c r="AV709" t="inlineStr">
        <is>
          <t>15696939</t>
        </is>
      </c>
      <c r="AW709" t="inlineStr">
        <is>
          <t>991004447829702656</t>
        </is>
      </c>
      <c r="AX709" t="inlineStr">
        <is>
          <t>991004447829702656</t>
        </is>
      </c>
      <c r="AY709" t="inlineStr">
        <is>
          <t>2259951220002656</t>
        </is>
      </c>
      <c r="AZ709" t="inlineStr">
        <is>
          <t>BOOK</t>
        </is>
      </c>
      <c r="BB709" t="inlineStr">
        <is>
          <t>9781555465957</t>
        </is>
      </c>
      <c r="BC709" t="inlineStr">
        <is>
          <t>32285002018488</t>
        </is>
      </c>
      <c r="BD709" t="inlineStr">
        <is>
          <t>893585400</t>
        </is>
      </c>
    </row>
    <row r="710">
      <c r="A710" t="inlineStr">
        <is>
          <t>No</t>
        </is>
      </c>
      <c r="B710" t="inlineStr">
        <is>
          <t>PS3517.N265 Z87 1966</t>
        </is>
      </c>
      <c r="C710" t="inlineStr">
        <is>
          <t>0                      PS 3517000N  265                Z  87          1966</t>
        </is>
      </c>
      <c r="D710" t="inlineStr">
        <is>
          <t>William Inge, by R. Baird Shuman.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Yes</t>
        </is>
      </c>
      <c r="J710" t="inlineStr">
        <is>
          <t>0</t>
        </is>
      </c>
      <c r="K710" t="inlineStr">
        <is>
          <t>Shuman, R. Baird (Robert Baird), 1929-2013.</t>
        </is>
      </c>
      <c r="L710" t="inlineStr">
        <is>
          <t>New York, Twayne Publishers [1966, c1965]</t>
        </is>
      </c>
      <c r="M710" t="inlineStr">
        <is>
          <t>1966</t>
        </is>
      </c>
      <c r="O710" t="inlineStr">
        <is>
          <t>eng</t>
        </is>
      </c>
      <c r="P710" t="inlineStr">
        <is>
          <t>nyu</t>
        </is>
      </c>
      <c r="Q710" t="inlineStr">
        <is>
          <t>Twayne's United States authors series ; TUSAS 95</t>
        </is>
      </c>
      <c r="R710" t="inlineStr">
        <is>
          <t xml:space="preserve">PS </t>
        </is>
      </c>
      <c r="S710" t="n">
        <v>3</v>
      </c>
      <c r="T710" t="n">
        <v>3</v>
      </c>
      <c r="U710" t="inlineStr">
        <is>
          <t>1995-09-12</t>
        </is>
      </c>
      <c r="V710" t="inlineStr">
        <is>
          <t>1995-09-12</t>
        </is>
      </c>
      <c r="W710" t="inlineStr">
        <is>
          <t>1992-04-28</t>
        </is>
      </c>
      <c r="X710" t="inlineStr">
        <is>
          <t>1992-04-28</t>
        </is>
      </c>
      <c r="Y710" t="n">
        <v>995</v>
      </c>
      <c r="Z710" t="n">
        <v>947</v>
      </c>
      <c r="AA710" t="n">
        <v>1380</v>
      </c>
      <c r="AB710" t="n">
        <v>10</v>
      </c>
      <c r="AC710" t="n">
        <v>14</v>
      </c>
      <c r="AD710" t="n">
        <v>38</v>
      </c>
      <c r="AE710" t="n">
        <v>53</v>
      </c>
      <c r="AF710" t="n">
        <v>13</v>
      </c>
      <c r="AG710" t="n">
        <v>21</v>
      </c>
      <c r="AH710" t="n">
        <v>7</v>
      </c>
      <c r="AI710" t="n">
        <v>8</v>
      </c>
      <c r="AJ710" t="n">
        <v>15</v>
      </c>
      <c r="AK710" t="n">
        <v>23</v>
      </c>
      <c r="AL710" t="n">
        <v>9</v>
      </c>
      <c r="AM710" t="n">
        <v>12</v>
      </c>
      <c r="AN710" t="n">
        <v>0</v>
      </c>
      <c r="AO710" t="n">
        <v>0</v>
      </c>
      <c r="AP710" t="inlineStr">
        <is>
          <t>No</t>
        </is>
      </c>
      <c r="AQ710" t="inlineStr">
        <is>
          <t>Yes</t>
        </is>
      </c>
      <c r="AR710">
        <f>HYPERLINK("http://catalog.hathitrust.org/Record/001373006","HathiTrust Record")</f>
        <v/>
      </c>
      <c r="AS710">
        <f>HYPERLINK("https://creighton-primo.hosted.exlibrisgroup.com/primo-explore/search?tab=default_tab&amp;search_scope=EVERYTHING&amp;vid=01CRU&amp;lang=en_US&amp;offset=0&amp;query=any,contains,991002204529702656","Catalog Record")</f>
        <v/>
      </c>
      <c r="AT710">
        <f>HYPERLINK("http://www.worldcat.org/oclc/285347","WorldCat Record")</f>
        <v/>
      </c>
      <c r="AU710" t="inlineStr">
        <is>
          <t>1448309:eng</t>
        </is>
      </c>
      <c r="AV710" t="inlineStr">
        <is>
          <t>285347</t>
        </is>
      </c>
      <c r="AW710" t="inlineStr">
        <is>
          <t>991002204529702656</t>
        </is>
      </c>
      <c r="AX710" t="inlineStr">
        <is>
          <t>991002204529702656</t>
        </is>
      </c>
      <c r="AY710" t="inlineStr">
        <is>
          <t>2262990960002656</t>
        </is>
      </c>
      <c r="AZ710" t="inlineStr">
        <is>
          <t>BOOK</t>
        </is>
      </c>
      <c r="BC710" t="inlineStr">
        <is>
          <t>32285001102820</t>
        </is>
      </c>
      <c r="BD710" t="inlineStr">
        <is>
          <t>893798299</t>
        </is>
      </c>
    </row>
    <row r="711">
      <c r="A711" t="inlineStr">
        <is>
          <t>No</t>
        </is>
      </c>
      <c r="B711" t="inlineStr">
        <is>
          <t>PS3517.N265 Z87 1989</t>
        </is>
      </c>
      <c r="C711" t="inlineStr">
        <is>
          <t>0                      PS 3517000N  265                Z  87          1989</t>
        </is>
      </c>
      <c r="D711" t="inlineStr">
        <is>
          <t>William Inge / by R. Baird Shuman.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Yes</t>
        </is>
      </c>
      <c r="J711" t="inlineStr">
        <is>
          <t>0</t>
        </is>
      </c>
      <c r="K711" t="inlineStr">
        <is>
          <t>Shuman, R. Baird (Robert Baird), 1929-2013.</t>
        </is>
      </c>
      <c r="L711" t="inlineStr">
        <is>
          <t>Boston, Mass. : Twaine, c1989.</t>
        </is>
      </c>
      <c r="M711" t="inlineStr">
        <is>
          <t>1989</t>
        </is>
      </c>
      <c r="N711" t="inlineStr">
        <is>
          <t>Rev. ed.</t>
        </is>
      </c>
      <c r="O711" t="inlineStr">
        <is>
          <t>eng</t>
        </is>
      </c>
      <c r="P711" t="inlineStr">
        <is>
          <t>mau</t>
        </is>
      </c>
      <c r="Q711" t="inlineStr">
        <is>
          <t>Twayne's United States authors series ; TUSA 95</t>
        </is>
      </c>
      <c r="R711" t="inlineStr">
        <is>
          <t xml:space="preserve">PS </t>
        </is>
      </c>
      <c r="S711" t="n">
        <v>5</v>
      </c>
      <c r="T711" t="n">
        <v>5</v>
      </c>
      <c r="U711" t="inlineStr">
        <is>
          <t>1995-07-10</t>
        </is>
      </c>
      <c r="V711" t="inlineStr">
        <is>
          <t>1995-07-10</t>
        </is>
      </c>
      <c r="W711" t="inlineStr">
        <is>
          <t>1990-11-14</t>
        </is>
      </c>
      <c r="X711" t="inlineStr">
        <is>
          <t>1990-11-14</t>
        </is>
      </c>
      <c r="Y711" t="n">
        <v>601</v>
      </c>
      <c r="Z711" t="n">
        <v>543</v>
      </c>
      <c r="AA711" t="n">
        <v>1380</v>
      </c>
      <c r="AB711" t="n">
        <v>6</v>
      </c>
      <c r="AC711" t="n">
        <v>14</v>
      </c>
      <c r="AD711" t="n">
        <v>24</v>
      </c>
      <c r="AE711" t="n">
        <v>53</v>
      </c>
      <c r="AF711" t="n">
        <v>10</v>
      </c>
      <c r="AG711" t="n">
        <v>21</v>
      </c>
      <c r="AH711" t="n">
        <v>2</v>
      </c>
      <c r="AI711" t="n">
        <v>8</v>
      </c>
      <c r="AJ711" t="n">
        <v>12</v>
      </c>
      <c r="AK711" t="n">
        <v>23</v>
      </c>
      <c r="AL711" t="n">
        <v>5</v>
      </c>
      <c r="AM711" t="n">
        <v>12</v>
      </c>
      <c r="AN711" t="n">
        <v>0</v>
      </c>
      <c r="AO711" t="n">
        <v>0</v>
      </c>
      <c r="AP711" t="inlineStr">
        <is>
          <t>No</t>
        </is>
      </c>
      <c r="AQ711" t="inlineStr">
        <is>
          <t>Yes</t>
        </is>
      </c>
      <c r="AR711">
        <f>HYPERLINK("http://catalog.hathitrust.org/Record/001302544","HathiTrust Record")</f>
        <v/>
      </c>
      <c r="AS711">
        <f>HYPERLINK("https://creighton-primo.hosted.exlibrisgroup.com/primo-explore/search?tab=default_tab&amp;search_scope=EVERYTHING&amp;vid=01CRU&amp;lang=en_US&amp;offset=0&amp;query=any,contains,991001409729702656","Catalog Record")</f>
        <v/>
      </c>
      <c r="AT711">
        <f>HYPERLINK("http://www.worldcat.org/oclc/18879009","WorldCat Record")</f>
        <v/>
      </c>
      <c r="AU711" t="inlineStr">
        <is>
          <t>1448309:eng</t>
        </is>
      </c>
      <c r="AV711" t="inlineStr">
        <is>
          <t>18879009</t>
        </is>
      </c>
      <c r="AW711" t="inlineStr">
        <is>
          <t>991001409729702656</t>
        </is>
      </c>
      <c r="AX711" t="inlineStr">
        <is>
          <t>991001409729702656</t>
        </is>
      </c>
      <c r="AY711" t="inlineStr">
        <is>
          <t>2268895370002656</t>
        </is>
      </c>
      <c r="AZ711" t="inlineStr">
        <is>
          <t>BOOK</t>
        </is>
      </c>
      <c r="BB711" t="inlineStr">
        <is>
          <t>9780805775372</t>
        </is>
      </c>
      <c r="BC711" t="inlineStr">
        <is>
          <t>32285000379015</t>
        </is>
      </c>
      <c r="BD711" t="inlineStr">
        <is>
          <t>893509612</t>
        </is>
      </c>
    </row>
    <row r="712">
      <c r="A712" t="inlineStr">
        <is>
          <t>No</t>
        </is>
      </c>
      <c r="B712" t="inlineStr">
        <is>
          <t>PS3519.A5298 Z56 1980</t>
        </is>
      </c>
      <c r="C712" t="inlineStr">
        <is>
          <t>0                      PS 3519000A  5298               Z  56          1980</t>
        </is>
      </c>
      <c r="D712" t="inlineStr">
        <is>
          <t>Will James, the last cowboy legend / Anthony Amaral.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Amaral, Anthony A., 1930-</t>
        </is>
      </c>
      <c r="L712" t="inlineStr">
        <is>
          <t>Reno, Nev. : University of Nevada Press, 1980.</t>
        </is>
      </c>
      <c r="M712" t="inlineStr">
        <is>
          <t>1980</t>
        </is>
      </c>
      <c r="N712" t="inlineStr">
        <is>
          <t>Rev.</t>
        </is>
      </c>
      <c r="O712" t="inlineStr">
        <is>
          <t>eng</t>
        </is>
      </c>
      <c r="P712" t="inlineStr">
        <is>
          <t>nvu</t>
        </is>
      </c>
      <c r="Q712" t="inlineStr">
        <is>
          <t>Lancehead series : Nevada and the West</t>
        </is>
      </c>
      <c r="R712" t="inlineStr">
        <is>
          <t xml:space="preserve">PS </t>
        </is>
      </c>
      <c r="S712" t="n">
        <v>2</v>
      </c>
      <c r="T712" t="n">
        <v>2</v>
      </c>
      <c r="U712" t="inlineStr">
        <is>
          <t>1998-04-16</t>
        </is>
      </c>
      <c r="V712" t="inlineStr">
        <is>
          <t>1998-04-16</t>
        </is>
      </c>
      <c r="W712" t="inlineStr">
        <is>
          <t>1990-11-15</t>
        </is>
      </c>
      <c r="X712" t="inlineStr">
        <is>
          <t>1990-11-15</t>
        </is>
      </c>
      <c r="Y712" t="n">
        <v>174</v>
      </c>
      <c r="Z712" t="n">
        <v>166</v>
      </c>
      <c r="AA712" t="n">
        <v>202</v>
      </c>
      <c r="AB712" t="n">
        <v>3</v>
      </c>
      <c r="AC712" t="n">
        <v>3</v>
      </c>
      <c r="AD712" t="n">
        <v>5</v>
      </c>
      <c r="AE712" t="n">
        <v>5</v>
      </c>
      <c r="AF712" t="n">
        <v>0</v>
      </c>
      <c r="AG712" t="n">
        <v>0</v>
      </c>
      <c r="AH712" t="n">
        <v>3</v>
      </c>
      <c r="AI712" t="n">
        <v>3</v>
      </c>
      <c r="AJ712" t="n">
        <v>2</v>
      </c>
      <c r="AK712" t="n">
        <v>2</v>
      </c>
      <c r="AL712" t="n">
        <v>2</v>
      </c>
      <c r="AM712" t="n">
        <v>2</v>
      </c>
      <c r="AN712" t="n">
        <v>0</v>
      </c>
      <c r="AO712" t="n">
        <v>0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HYPERLINK("http://catalog.hathitrust.org/Record/000692495","HathiTrust Record")</f>
        <v/>
      </c>
      <c r="AS712">
        <f>HYPERLINK("https://creighton-primo.hosted.exlibrisgroup.com/primo-explore/search?tab=default_tab&amp;search_scope=EVERYTHING&amp;vid=01CRU&amp;lang=en_US&amp;offset=0&amp;query=any,contains,991004904979702656","Catalog Record")</f>
        <v/>
      </c>
      <c r="AT712">
        <f>HYPERLINK("http://www.worldcat.org/oclc/5946393","WorldCat Record")</f>
        <v/>
      </c>
      <c r="AU712" t="inlineStr">
        <is>
          <t>21028199:eng</t>
        </is>
      </c>
      <c r="AV712" t="inlineStr">
        <is>
          <t>5946393</t>
        </is>
      </c>
      <c r="AW712" t="inlineStr">
        <is>
          <t>991004904979702656</t>
        </is>
      </c>
      <c r="AX712" t="inlineStr">
        <is>
          <t>991004904979702656</t>
        </is>
      </c>
      <c r="AY712" t="inlineStr">
        <is>
          <t>2257685100002656</t>
        </is>
      </c>
      <c r="AZ712" t="inlineStr">
        <is>
          <t>BOOK</t>
        </is>
      </c>
      <c r="BB712" t="inlineStr">
        <is>
          <t>9780874170580</t>
        </is>
      </c>
      <c r="BC712" t="inlineStr">
        <is>
          <t>32285000379072</t>
        </is>
      </c>
      <c r="BD712" t="inlineStr">
        <is>
          <t>893418131</t>
        </is>
      </c>
    </row>
    <row r="713">
      <c r="A713" t="inlineStr">
        <is>
          <t>No</t>
        </is>
      </c>
      <c r="B713" t="inlineStr">
        <is>
          <t>PS3519.A86 A16 1969</t>
        </is>
      </c>
      <c r="C713" t="inlineStr">
        <is>
          <t>0                      PS 3519000A  86                 A  16          1969</t>
        </is>
      </c>
      <c r="D713" t="inlineStr">
        <is>
          <t>The third book of criticism.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Jarrell, Randall, 1914-1965.</t>
        </is>
      </c>
      <c r="L713" t="inlineStr">
        <is>
          <t>New York, Farrar, Straus &amp; Giroux [1969]</t>
        </is>
      </c>
      <c r="M713" t="inlineStr">
        <is>
          <t>1969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PS </t>
        </is>
      </c>
      <c r="S713" t="n">
        <v>2</v>
      </c>
      <c r="T713" t="n">
        <v>2</v>
      </c>
      <c r="U713" t="inlineStr">
        <is>
          <t>2001-11-16</t>
        </is>
      </c>
      <c r="V713" t="inlineStr">
        <is>
          <t>2001-11-16</t>
        </is>
      </c>
      <c r="W713" t="inlineStr">
        <is>
          <t>1997-06-09</t>
        </is>
      </c>
      <c r="X713" t="inlineStr">
        <is>
          <t>1997-06-09</t>
        </is>
      </c>
      <c r="Y713" t="n">
        <v>1324</v>
      </c>
      <c r="Z713" t="n">
        <v>1213</v>
      </c>
      <c r="AA713" t="n">
        <v>1286</v>
      </c>
      <c r="AB713" t="n">
        <v>12</v>
      </c>
      <c r="AC713" t="n">
        <v>12</v>
      </c>
      <c r="AD713" t="n">
        <v>50</v>
      </c>
      <c r="AE713" t="n">
        <v>51</v>
      </c>
      <c r="AF713" t="n">
        <v>22</v>
      </c>
      <c r="AG713" t="n">
        <v>22</v>
      </c>
      <c r="AH713" t="n">
        <v>8</v>
      </c>
      <c r="AI713" t="n">
        <v>9</v>
      </c>
      <c r="AJ713" t="n">
        <v>22</v>
      </c>
      <c r="AK713" t="n">
        <v>22</v>
      </c>
      <c r="AL713" t="n">
        <v>10</v>
      </c>
      <c r="AM713" t="n">
        <v>10</v>
      </c>
      <c r="AN713" t="n">
        <v>0</v>
      </c>
      <c r="AO713" t="n">
        <v>0</v>
      </c>
      <c r="AP713" t="inlineStr">
        <is>
          <t>No</t>
        </is>
      </c>
      <c r="AQ713" t="inlineStr">
        <is>
          <t>No</t>
        </is>
      </c>
      <c r="AS713">
        <f>HYPERLINK("https://creighton-primo.hosted.exlibrisgroup.com/primo-explore/search?tab=default_tab&amp;search_scope=EVERYTHING&amp;vid=01CRU&amp;lang=en_US&amp;offset=0&amp;query=any,contains,991000102359702656","Catalog Record")</f>
        <v/>
      </c>
      <c r="AT713">
        <f>HYPERLINK("http://www.worldcat.org/oclc/45042","WorldCat Record")</f>
        <v/>
      </c>
      <c r="AU713" t="inlineStr">
        <is>
          <t>450546:eng</t>
        </is>
      </c>
      <c r="AV713" t="inlineStr">
        <is>
          <t>45042</t>
        </is>
      </c>
      <c r="AW713" t="inlineStr">
        <is>
          <t>991000102359702656</t>
        </is>
      </c>
      <c r="AX713" t="inlineStr">
        <is>
          <t>991000102359702656</t>
        </is>
      </c>
      <c r="AY713" t="inlineStr">
        <is>
          <t>2261681000002656</t>
        </is>
      </c>
      <c r="AZ713" t="inlineStr">
        <is>
          <t>BOOK</t>
        </is>
      </c>
      <c r="BC713" t="inlineStr">
        <is>
          <t>32285002785458</t>
        </is>
      </c>
      <c r="BD713" t="inlineStr">
        <is>
          <t>893601451</t>
        </is>
      </c>
    </row>
    <row r="714">
      <c r="A714" t="inlineStr">
        <is>
          <t>No</t>
        </is>
      </c>
      <c r="B714" t="inlineStr">
        <is>
          <t>PS3519.A86 Z62 1983</t>
        </is>
      </c>
      <c r="C714" t="inlineStr">
        <is>
          <t>0                      PS 3519000A  86                 Z  62          1983</t>
        </is>
      </c>
      <c r="D714" t="inlineStr">
        <is>
          <t>Critical essays on Randall Jarrell / [edited by] Suzanne Ferguson.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L714" t="inlineStr">
        <is>
          <t>Boston, Mass. : G.K. Hall, c1983.</t>
        </is>
      </c>
      <c r="M714" t="inlineStr">
        <is>
          <t>1983</t>
        </is>
      </c>
      <c r="O714" t="inlineStr">
        <is>
          <t>eng</t>
        </is>
      </c>
      <c r="P714" t="inlineStr">
        <is>
          <t>mau</t>
        </is>
      </c>
      <c r="Q714" t="inlineStr">
        <is>
          <t>Critical essays on American literature</t>
        </is>
      </c>
      <c r="R714" t="inlineStr">
        <is>
          <t xml:space="preserve">PS </t>
        </is>
      </c>
      <c r="S714" t="n">
        <v>1</v>
      </c>
      <c r="T714" t="n">
        <v>1</v>
      </c>
      <c r="U714" t="inlineStr">
        <is>
          <t>2005-02-21</t>
        </is>
      </c>
      <c r="V714" t="inlineStr">
        <is>
          <t>2005-02-21</t>
        </is>
      </c>
      <c r="W714" t="inlineStr">
        <is>
          <t>1990-11-15</t>
        </is>
      </c>
      <c r="X714" t="inlineStr">
        <is>
          <t>1990-11-15</t>
        </is>
      </c>
      <c r="Y714" t="n">
        <v>546</v>
      </c>
      <c r="Z714" t="n">
        <v>486</v>
      </c>
      <c r="AA714" t="n">
        <v>491</v>
      </c>
      <c r="AB714" t="n">
        <v>7</v>
      </c>
      <c r="AC714" t="n">
        <v>7</v>
      </c>
      <c r="AD714" t="n">
        <v>25</v>
      </c>
      <c r="AE714" t="n">
        <v>25</v>
      </c>
      <c r="AF714" t="n">
        <v>8</v>
      </c>
      <c r="AG714" t="n">
        <v>8</v>
      </c>
      <c r="AH714" t="n">
        <v>6</v>
      </c>
      <c r="AI714" t="n">
        <v>6</v>
      </c>
      <c r="AJ714" t="n">
        <v>11</v>
      </c>
      <c r="AK714" t="n">
        <v>11</v>
      </c>
      <c r="AL714" t="n">
        <v>6</v>
      </c>
      <c r="AM714" t="n">
        <v>6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S714">
        <f>HYPERLINK("https://creighton-primo.hosted.exlibrisgroup.com/primo-explore/search?tab=default_tab&amp;search_scope=EVERYTHING&amp;vid=01CRU&amp;lang=en_US&amp;offset=0&amp;query=any,contains,991000052079702656","Catalog Record")</f>
        <v/>
      </c>
      <c r="AT714">
        <f>HYPERLINK("http://www.worldcat.org/oclc/8689062","WorldCat Record")</f>
        <v/>
      </c>
      <c r="AU714" t="inlineStr">
        <is>
          <t>352366141:eng</t>
        </is>
      </c>
      <c r="AV714" t="inlineStr">
        <is>
          <t>8689062</t>
        </is>
      </c>
      <c r="AW714" t="inlineStr">
        <is>
          <t>991000052079702656</t>
        </is>
      </c>
      <c r="AX714" t="inlineStr">
        <is>
          <t>991000052079702656</t>
        </is>
      </c>
      <c r="AY714" t="inlineStr">
        <is>
          <t>2272669950002656</t>
        </is>
      </c>
      <c r="AZ714" t="inlineStr">
        <is>
          <t>BOOK</t>
        </is>
      </c>
      <c r="BB714" t="inlineStr">
        <is>
          <t>9780816184866</t>
        </is>
      </c>
      <c r="BC714" t="inlineStr">
        <is>
          <t>32285000379114</t>
        </is>
      </c>
      <c r="BD714" t="inlineStr">
        <is>
          <t>893871357</t>
        </is>
      </c>
    </row>
    <row r="715">
      <c r="A715" t="inlineStr">
        <is>
          <t>No</t>
        </is>
      </c>
      <c r="B715" t="inlineStr">
        <is>
          <t>PS3519.O2625 Z67 1987</t>
        </is>
      </c>
      <c r="C715" t="inlineStr">
        <is>
          <t>0                      PS 3519000O  2625               Z  67          1987</t>
        </is>
      </c>
      <c r="D715" t="inlineStr">
        <is>
          <t>James Weldon Johnson / by Robert E. Fleming.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Fleming, Robert E. (Robert Edward), 1936-</t>
        </is>
      </c>
      <c r="L715" t="inlineStr">
        <is>
          <t>Boston : Twayne Publishers, c1987.</t>
        </is>
      </c>
      <c r="M715" t="inlineStr">
        <is>
          <t>1987</t>
        </is>
      </c>
      <c r="O715" t="inlineStr">
        <is>
          <t>eng</t>
        </is>
      </c>
      <c r="P715" t="inlineStr">
        <is>
          <t>mau</t>
        </is>
      </c>
      <c r="Q715" t="inlineStr">
        <is>
          <t>Twayne's United States authors series ; TUSAS 496</t>
        </is>
      </c>
      <c r="R715" t="inlineStr">
        <is>
          <t xml:space="preserve">PS </t>
        </is>
      </c>
      <c r="S715" t="n">
        <v>4</v>
      </c>
      <c r="T715" t="n">
        <v>4</v>
      </c>
      <c r="U715" t="inlineStr">
        <is>
          <t>1994-12-05</t>
        </is>
      </c>
      <c r="V715" t="inlineStr">
        <is>
          <t>1994-12-05</t>
        </is>
      </c>
      <c r="W715" t="inlineStr">
        <is>
          <t>1990-11-15</t>
        </is>
      </c>
      <c r="X715" t="inlineStr">
        <is>
          <t>1990-11-15</t>
        </is>
      </c>
      <c r="Y715" t="n">
        <v>760</v>
      </c>
      <c r="Z715" t="n">
        <v>696</v>
      </c>
      <c r="AA715" t="n">
        <v>786</v>
      </c>
      <c r="AB715" t="n">
        <v>6</v>
      </c>
      <c r="AC715" t="n">
        <v>6</v>
      </c>
      <c r="AD715" t="n">
        <v>27</v>
      </c>
      <c r="AE715" t="n">
        <v>28</v>
      </c>
      <c r="AF715" t="n">
        <v>9</v>
      </c>
      <c r="AG715" t="n">
        <v>9</v>
      </c>
      <c r="AH715" t="n">
        <v>5</v>
      </c>
      <c r="AI715" t="n">
        <v>5</v>
      </c>
      <c r="AJ715" t="n">
        <v>15</v>
      </c>
      <c r="AK715" t="n">
        <v>16</v>
      </c>
      <c r="AL715" t="n">
        <v>5</v>
      </c>
      <c r="AM715" t="n">
        <v>5</v>
      </c>
      <c r="AN715" t="n">
        <v>0</v>
      </c>
      <c r="AO715" t="n">
        <v>0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HYPERLINK("http://catalog.hathitrust.org/Record/004554793","HathiTrust Record")</f>
        <v/>
      </c>
      <c r="AS715">
        <f>HYPERLINK("https://creighton-primo.hosted.exlibrisgroup.com/primo-explore/search?tab=default_tab&amp;search_scope=EVERYTHING&amp;vid=01CRU&amp;lang=en_US&amp;offset=0&amp;query=any,contains,991000973519702656","Catalog Record")</f>
        <v/>
      </c>
      <c r="AT715">
        <f>HYPERLINK("http://www.worldcat.org/oclc/14967380","WorldCat Record")</f>
        <v/>
      </c>
      <c r="AU715" t="inlineStr">
        <is>
          <t>8564211:eng</t>
        </is>
      </c>
      <c r="AV715" t="inlineStr">
        <is>
          <t>14967380</t>
        </is>
      </c>
      <c r="AW715" t="inlineStr">
        <is>
          <t>991000973519702656</t>
        </is>
      </c>
      <c r="AX715" t="inlineStr">
        <is>
          <t>991000973519702656</t>
        </is>
      </c>
      <c r="AY715" t="inlineStr">
        <is>
          <t>2262364270002656</t>
        </is>
      </c>
      <c r="AZ715" t="inlineStr">
        <is>
          <t>BOOK</t>
        </is>
      </c>
      <c r="BB715" t="inlineStr">
        <is>
          <t>9780805774917</t>
        </is>
      </c>
      <c r="BC715" t="inlineStr">
        <is>
          <t>32285000379171</t>
        </is>
      </c>
      <c r="BD715" t="inlineStr">
        <is>
          <t>893340052</t>
        </is>
      </c>
    </row>
    <row r="716">
      <c r="A716" t="inlineStr">
        <is>
          <t>No</t>
        </is>
      </c>
      <c r="B716" t="inlineStr">
        <is>
          <t>PS352 .C64 1993</t>
        </is>
      </c>
      <c r="C716" t="inlineStr">
        <is>
          <t>0                      PS 0352000C  64          1993</t>
        </is>
      </c>
      <c r="D716" t="inlineStr">
        <is>
          <t>The classics in the American theater of the 1960s and early 1970s / Marianthe Colakis.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Colakis, Marianthe.</t>
        </is>
      </c>
      <c r="L716" t="inlineStr">
        <is>
          <t>Lanham : University Press of America, c1993.</t>
        </is>
      </c>
      <c r="M716" t="inlineStr">
        <is>
          <t>1993</t>
        </is>
      </c>
      <c r="O716" t="inlineStr">
        <is>
          <t>eng</t>
        </is>
      </c>
      <c r="P716" t="inlineStr">
        <is>
          <t>mdu</t>
        </is>
      </c>
      <c r="R716" t="inlineStr">
        <is>
          <t xml:space="preserve">PS </t>
        </is>
      </c>
      <c r="S716" t="n">
        <v>3</v>
      </c>
      <c r="T716" t="n">
        <v>3</v>
      </c>
      <c r="U716" t="inlineStr">
        <is>
          <t>1996-11-04</t>
        </is>
      </c>
      <c r="V716" t="inlineStr">
        <is>
          <t>1996-11-04</t>
        </is>
      </c>
      <c r="W716" t="inlineStr">
        <is>
          <t>1994-02-03</t>
        </is>
      </c>
      <c r="X716" t="inlineStr">
        <is>
          <t>1994-02-03</t>
        </is>
      </c>
      <c r="Y716" t="n">
        <v>208</v>
      </c>
      <c r="Z716" t="n">
        <v>168</v>
      </c>
      <c r="AA716" t="n">
        <v>170</v>
      </c>
      <c r="AB716" t="n">
        <v>3</v>
      </c>
      <c r="AC716" t="n">
        <v>3</v>
      </c>
      <c r="AD716" t="n">
        <v>9</v>
      </c>
      <c r="AE716" t="n">
        <v>9</v>
      </c>
      <c r="AF716" t="n">
        <v>3</v>
      </c>
      <c r="AG716" t="n">
        <v>3</v>
      </c>
      <c r="AH716" t="n">
        <v>2</v>
      </c>
      <c r="AI716" t="n">
        <v>2</v>
      </c>
      <c r="AJ716" t="n">
        <v>5</v>
      </c>
      <c r="AK716" t="n">
        <v>5</v>
      </c>
      <c r="AL716" t="n">
        <v>2</v>
      </c>
      <c r="AM716" t="n">
        <v>2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HYPERLINK("http://catalog.hathitrust.org/Record/002643520","HathiTrust Record")</f>
        <v/>
      </c>
      <c r="AS716">
        <f>HYPERLINK("https://creighton-primo.hosted.exlibrisgroup.com/primo-explore/search?tab=default_tab&amp;search_scope=EVERYTHING&amp;vid=01CRU&amp;lang=en_US&amp;offset=0&amp;query=any,contains,991002093959702656","Catalog Record")</f>
        <v/>
      </c>
      <c r="AT716">
        <f>HYPERLINK("http://www.worldcat.org/oclc/26854359","WorldCat Record")</f>
        <v/>
      </c>
      <c r="AU716" t="inlineStr">
        <is>
          <t>21021022:eng</t>
        </is>
      </c>
      <c r="AV716" t="inlineStr">
        <is>
          <t>26854359</t>
        </is>
      </c>
      <c r="AW716" t="inlineStr">
        <is>
          <t>991002093959702656</t>
        </is>
      </c>
      <c r="AX716" t="inlineStr">
        <is>
          <t>991002093959702656</t>
        </is>
      </c>
      <c r="AY716" t="inlineStr">
        <is>
          <t>2268048120002656</t>
        </is>
      </c>
      <c r="AZ716" t="inlineStr">
        <is>
          <t>BOOK</t>
        </is>
      </c>
      <c r="BB716" t="inlineStr">
        <is>
          <t>9780819189721</t>
        </is>
      </c>
      <c r="BC716" t="inlineStr">
        <is>
          <t>32285001834869</t>
        </is>
      </c>
      <c r="BD716" t="inlineStr">
        <is>
          <t>893697332</t>
        </is>
      </c>
    </row>
    <row r="717">
      <c r="A717" t="inlineStr">
        <is>
          <t>No</t>
        </is>
      </c>
      <c r="B717" t="inlineStr">
        <is>
          <t>PS3521.A45 G5</t>
        </is>
      </c>
      <c r="C717" t="inlineStr">
        <is>
          <t>0                      PS 3521000A  45                 G  5</t>
        </is>
      </c>
      <c r="D717" t="inlineStr">
        <is>
          <t>A gift of time : a drama in two acts / adapted from Death of a man by Lael Tucker Wertenbaker.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Kanin, Garson, 1912-1999.</t>
        </is>
      </c>
      <c r="L717" t="inlineStr">
        <is>
          <t>New York : Random House, [c1962]</t>
        </is>
      </c>
      <c r="M717" t="inlineStr">
        <is>
          <t>1962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PS </t>
        </is>
      </c>
      <c r="S717" t="n">
        <v>2</v>
      </c>
      <c r="T717" t="n">
        <v>2</v>
      </c>
      <c r="U717" t="inlineStr">
        <is>
          <t>1993-12-14</t>
        </is>
      </c>
      <c r="V717" t="inlineStr">
        <is>
          <t>1993-12-14</t>
        </is>
      </c>
      <c r="W717" t="inlineStr">
        <is>
          <t>1990-07-27</t>
        </is>
      </c>
      <c r="X717" t="inlineStr">
        <is>
          <t>1990-07-27</t>
        </is>
      </c>
      <c r="Y717" t="n">
        <v>516</v>
      </c>
      <c r="Z717" t="n">
        <v>500</v>
      </c>
      <c r="AA717" t="n">
        <v>549</v>
      </c>
      <c r="AB717" t="n">
        <v>2</v>
      </c>
      <c r="AC717" t="n">
        <v>2</v>
      </c>
      <c r="AD717" t="n">
        <v>21</v>
      </c>
      <c r="AE717" t="n">
        <v>22</v>
      </c>
      <c r="AF717" t="n">
        <v>9</v>
      </c>
      <c r="AG717" t="n">
        <v>10</v>
      </c>
      <c r="AH717" t="n">
        <v>2</v>
      </c>
      <c r="AI717" t="n">
        <v>2</v>
      </c>
      <c r="AJ717" t="n">
        <v>13</v>
      </c>
      <c r="AK717" t="n">
        <v>13</v>
      </c>
      <c r="AL717" t="n">
        <v>1</v>
      </c>
      <c r="AM717" t="n">
        <v>1</v>
      </c>
      <c r="AN717" t="n">
        <v>0</v>
      </c>
      <c r="AO717" t="n">
        <v>0</v>
      </c>
      <c r="AP717" t="inlineStr">
        <is>
          <t>No</t>
        </is>
      </c>
      <c r="AQ717" t="inlineStr">
        <is>
          <t>No</t>
        </is>
      </c>
      <c r="AS717">
        <f>HYPERLINK("https://creighton-primo.hosted.exlibrisgroup.com/primo-explore/search?tab=default_tab&amp;search_scope=EVERYTHING&amp;vid=01CRU&amp;lang=en_US&amp;offset=0&amp;query=any,contains,991003602159702656","Catalog Record")</f>
        <v/>
      </c>
      <c r="AT717">
        <f>HYPERLINK("http://www.worldcat.org/oclc/1180301","WorldCat Record")</f>
        <v/>
      </c>
      <c r="AU717" t="inlineStr">
        <is>
          <t>51938636:eng</t>
        </is>
      </c>
      <c r="AV717" t="inlineStr">
        <is>
          <t>1180301</t>
        </is>
      </c>
      <c r="AW717" t="inlineStr">
        <is>
          <t>991003602159702656</t>
        </is>
      </c>
      <c r="AX717" t="inlineStr">
        <is>
          <t>991003602159702656</t>
        </is>
      </c>
      <c r="AY717" t="inlineStr">
        <is>
          <t>2256328830002656</t>
        </is>
      </c>
      <c r="AZ717" t="inlineStr">
        <is>
          <t>BOOK</t>
        </is>
      </c>
      <c r="BC717" t="inlineStr">
        <is>
          <t>32285000252105</t>
        </is>
      </c>
      <c r="BD717" t="inlineStr">
        <is>
          <t>893611217</t>
        </is>
      </c>
    </row>
    <row r="718">
      <c r="A718" t="inlineStr">
        <is>
          <t>No</t>
        </is>
      </c>
      <c r="B718" t="inlineStr">
        <is>
          <t>PS3521.A68 Z6 1947</t>
        </is>
      </c>
      <c r="C718" t="inlineStr">
        <is>
          <t>0                      PS 3521000A  68                 Z  6           1947</t>
        </is>
      </c>
      <c r="D718" t="inlineStr">
        <is>
          <t>Zotz! / by Walter Karig ; with drawings by the author.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Karig, Walter, 1898-1956.</t>
        </is>
      </c>
      <c r="L718" t="inlineStr">
        <is>
          <t>New York ; Toronto : Rinehart &amp; Company, Inc., c1947.</t>
        </is>
      </c>
      <c r="M718" t="inlineStr">
        <is>
          <t>1947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PS </t>
        </is>
      </c>
      <c r="S718" t="n">
        <v>1</v>
      </c>
      <c r="T718" t="n">
        <v>1</v>
      </c>
      <c r="U718" t="inlineStr">
        <is>
          <t>1996-07-16</t>
        </is>
      </c>
      <c r="V718" t="inlineStr">
        <is>
          <t>1996-07-16</t>
        </is>
      </c>
      <c r="W718" t="inlineStr">
        <is>
          <t>1996-07-16</t>
        </is>
      </c>
      <c r="X718" t="inlineStr">
        <is>
          <t>1996-07-16</t>
        </is>
      </c>
      <c r="Y718" t="n">
        <v>409</v>
      </c>
      <c r="Z718" t="n">
        <v>382</v>
      </c>
      <c r="AA718" t="n">
        <v>389</v>
      </c>
      <c r="AB718" t="n">
        <v>5</v>
      </c>
      <c r="AC718" t="n">
        <v>5</v>
      </c>
      <c r="AD718" t="n">
        <v>12</v>
      </c>
      <c r="AE718" t="n">
        <v>12</v>
      </c>
      <c r="AF718" t="n">
        <v>1</v>
      </c>
      <c r="AG718" t="n">
        <v>1</v>
      </c>
      <c r="AH718" t="n">
        <v>3</v>
      </c>
      <c r="AI718" t="n">
        <v>3</v>
      </c>
      <c r="AJ718" t="n">
        <v>5</v>
      </c>
      <c r="AK718" t="n">
        <v>5</v>
      </c>
      <c r="AL718" t="n">
        <v>4</v>
      </c>
      <c r="AM718" t="n">
        <v>4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HYPERLINK("http://catalog.hathitrust.org/Record/000483986","HathiTrust Record")</f>
        <v/>
      </c>
      <c r="AS718">
        <f>HYPERLINK("https://creighton-primo.hosted.exlibrisgroup.com/primo-explore/search?tab=default_tab&amp;search_scope=EVERYTHING&amp;vid=01CRU&amp;lang=en_US&amp;offset=0&amp;query=any,contains,991002203479702656","Catalog Record")</f>
        <v/>
      </c>
      <c r="AT718">
        <f>HYPERLINK("http://www.worldcat.org/oclc/284996","WorldCat Record")</f>
        <v/>
      </c>
      <c r="AU718" t="inlineStr">
        <is>
          <t>1447017:eng</t>
        </is>
      </c>
      <c r="AV718" t="inlineStr">
        <is>
          <t>284996</t>
        </is>
      </c>
      <c r="AW718" t="inlineStr">
        <is>
          <t>991002203479702656</t>
        </is>
      </c>
      <c r="AX718" t="inlineStr">
        <is>
          <t>991002203479702656</t>
        </is>
      </c>
      <c r="AY718" t="inlineStr">
        <is>
          <t>2262518880002656</t>
        </is>
      </c>
      <c r="AZ718" t="inlineStr">
        <is>
          <t>BOOK</t>
        </is>
      </c>
      <c r="BC718" t="inlineStr">
        <is>
          <t>32285002213063</t>
        </is>
      </c>
      <c r="BD718" t="inlineStr">
        <is>
          <t>893523314</t>
        </is>
      </c>
    </row>
    <row r="719">
      <c r="A719" t="inlineStr">
        <is>
          <t>No</t>
        </is>
      </c>
      <c r="B719" t="inlineStr">
        <is>
          <t>PS3521.E735 Z73 1974</t>
        </is>
      </c>
      <c r="C719" t="inlineStr">
        <is>
          <t>0                      PS 3521000E  735                Z  73          1974</t>
        </is>
      </c>
      <c r="D719" t="inlineStr">
        <is>
          <t>Visions of Kerouac / Charles E. Jarvis.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Jarvis, Charles E.</t>
        </is>
      </c>
      <c r="L719" t="inlineStr">
        <is>
          <t>Lowell, Mass. : Ithaca Press, [c1974]</t>
        </is>
      </c>
      <c r="M719" t="inlineStr">
        <is>
          <t>1974</t>
        </is>
      </c>
      <c r="N719" t="inlineStr">
        <is>
          <t>2d ed.</t>
        </is>
      </c>
      <c r="O719" t="inlineStr">
        <is>
          <t>eng</t>
        </is>
      </c>
      <c r="P719" t="inlineStr">
        <is>
          <t>mau</t>
        </is>
      </c>
      <c r="R719" t="inlineStr">
        <is>
          <t xml:space="preserve">PS </t>
        </is>
      </c>
      <c r="S719" t="n">
        <v>2</v>
      </c>
      <c r="T719" t="n">
        <v>2</v>
      </c>
      <c r="U719" t="inlineStr">
        <is>
          <t>2003-10-15</t>
        </is>
      </c>
      <c r="V719" t="inlineStr">
        <is>
          <t>2003-10-15</t>
        </is>
      </c>
      <c r="W719" t="inlineStr">
        <is>
          <t>2003-10-15</t>
        </is>
      </c>
      <c r="X719" t="inlineStr">
        <is>
          <t>2003-10-15</t>
        </is>
      </c>
      <c r="Y719" t="n">
        <v>143</v>
      </c>
      <c r="Z719" t="n">
        <v>122</v>
      </c>
      <c r="AA719" t="n">
        <v>175</v>
      </c>
      <c r="AB719" t="n">
        <v>2</v>
      </c>
      <c r="AC719" t="n">
        <v>2</v>
      </c>
      <c r="AD719" t="n">
        <v>5</v>
      </c>
      <c r="AE719" t="n">
        <v>9</v>
      </c>
      <c r="AF719" t="n">
        <v>3</v>
      </c>
      <c r="AG719" t="n">
        <v>4</v>
      </c>
      <c r="AH719" t="n">
        <v>0</v>
      </c>
      <c r="AI719" t="n">
        <v>2</v>
      </c>
      <c r="AJ719" t="n">
        <v>2</v>
      </c>
      <c r="AK719" t="n">
        <v>4</v>
      </c>
      <c r="AL719" t="n">
        <v>1</v>
      </c>
      <c r="AM719" t="n">
        <v>1</v>
      </c>
      <c r="AN719" t="n">
        <v>0</v>
      </c>
      <c r="AO719" t="n">
        <v>0</v>
      </c>
      <c r="AP719" t="inlineStr">
        <is>
          <t>No</t>
        </is>
      </c>
      <c r="AQ719" t="inlineStr">
        <is>
          <t>No</t>
        </is>
      </c>
      <c r="AS719">
        <f>HYPERLINK("https://creighton-primo.hosted.exlibrisgroup.com/primo-explore/search?tab=default_tab&amp;search_scope=EVERYTHING&amp;vid=01CRU&amp;lang=en_US&amp;offset=0&amp;query=any,contains,991004162319702656","Catalog Record")</f>
        <v/>
      </c>
      <c r="AT719">
        <f>HYPERLINK("http://www.worldcat.org/oclc/2737349","WorldCat Record")</f>
        <v/>
      </c>
      <c r="AU719" t="inlineStr">
        <is>
          <t>2498626:eng</t>
        </is>
      </c>
      <c r="AV719" t="inlineStr">
        <is>
          <t>2737349</t>
        </is>
      </c>
      <c r="AW719" t="inlineStr">
        <is>
          <t>991004162319702656</t>
        </is>
      </c>
      <c r="AX719" t="inlineStr">
        <is>
          <t>991004162319702656</t>
        </is>
      </c>
      <c r="AY719" t="inlineStr">
        <is>
          <t>2258501940002656</t>
        </is>
      </c>
      <c r="AZ719" t="inlineStr">
        <is>
          <t>BOOK</t>
        </is>
      </c>
      <c r="BB719" t="inlineStr">
        <is>
          <t>9780915940004</t>
        </is>
      </c>
      <c r="BC719" t="inlineStr">
        <is>
          <t>32285004788625</t>
        </is>
      </c>
      <c r="BD719" t="inlineStr">
        <is>
          <t>893535845</t>
        </is>
      </c>
    </row>
    <row r="720">
      <c r="A720" t="inlineStr">
        <is>
          <t>No</t>
        </is>
      </c>
      <c r="B720" t="inlineStr">
        <is>
          <t>PS3521.E735 Z775 1980</t>
        </is>
      </c>
      <c r="C720" t="inlineStr">
        <is>
          <t>0                      PS 3521000E  735                Z  775         1980</t>
        </is>
      </c>
      <c r="D720" t="inlineStr">
        <is>
          <t>Desolate angel : Jack Kerouac, the Beat generation, and America / Dennis McNally.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McNally, Dennis.</t>
        </is>
      </c>
      <c r="L720" t="inlineStr">
        <is>
          <t>New York : McGraw-Hill, 1980, c1979.</t>
        </is>
      </c>
      <c r="M720" t="inlineStr">
        <is>
          <t>1980</t>
        </is>
      </c>
      <c r="N720" t="inlineStr">
        <is>
          <t>1st McGraw-Hill paperback ed.</t>
        </is>
      </c>
      <c r="O720" t="inlineStr">
        <is>
          <t>eng</t>
        </is>
      </c>
      <c r="P720" t="inlineStr">
        <is>
          <t>nyu</t>
        </is>
      </c>
      <c r="R720" t="inlineStr">
        <is>
          <t xml:space="preserve">PS </t>
        </is>
      </c>
      <c r="S720" t="n">
        <v>2</v>
      </c>
      <c r="T720" t="n">
        <v>2</v>
      </c>
      <c r="U720" t="inlineStr">
        <is>
          <t>2003-12-05</t>
        </is>
      </c>
      <c r="V720" t="inlineStr">
        <is>
          <t>2003-12-05</t>
        </is>
      </c>
      <c r="W720" t="inlineStr">
        <is>
          <t>2003-10-15</t>
        </is>
      </c>
      <c r="X720" t="inlineStr">
        <is>
          <t>2003-10-15</t>
        </is>
      </c>
      <c r="Y720" t="n">
        <v>133</v>
      </c>
      <c r="Z720" t="n">
        <v>120</v>
      </c>
      <c r="AA720" t="n">
        <v>1315</v>
      </c>
      <c r="AB720" t="n">
        <v>1</v>
      </c>
      <c r="AC720" t="n">
        <v>10</v>
      </c>
      <c r="AD720" t="n">
        <v>4</v>
      </c>
      <c r="AE720" t="n">
        <v>37</v>
      </c>
      <c r="AF720" t="n">
        <v>3</v>
      </c>
      <c r="AG720" t="n">
        <v>20</v>
      </c>
      <c r="AH720" t="n">
        <v>0</v>
      </c>
      <c r="AI720" t="n">
        <v>8</v>
      </c>
      <c r="AJ720" t="n">
        <v>2</v>
      </c>
      <c r="AK720" t="n">
        <v>14</v>
      </c>
      <c r="AL720" t="n">
        <v>0</v>
      </c>
      <c r="AM720" t="n">
        <v>6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HYPERLINK("http://catalog.hathitrust.org/Record/102087479","HathiTrust Record")</f>
        <v/>
      </c>
      <c r="AS720">
        <f>HYPERLINK("https://creighton-primo.hosted.exlibrisgroup.com/primo-explore/search?tab=default_tab&amp;search_scope=EVERYTHING&amp;vid=01CRU&amp;lang=en_US&amp;offset=0&amp;query=any,contains,991004162389702656","Catalog Record")</f>
        <v/>
      </c>
      <c r="AT720">
        <f>HYPERLINK("http://www.worldcat.org/oclc/6378468","WorldCat Record")</f>
        <v/>
      </c>
      <c r="AU720" t="inlineStr">
        <is>
          <t>406059:eng</t>
        </is>
      </c>
      <c r="AV720" t="inlineStr">
        <is>
          <t>6378468</t>
        </is>
      </c>
      <c r="AW720" t="inlineStr">
        <is>
          <t>991004162389702656</t>
        </is>
      </c>
      <c r="AX720" t="inlineStr">
        <is>
          <t>991004162389702656</t>
        </is>
      </c>
      <c r="AY720" t="inlineStr">
        <is>
          <t>2269289710002656</t>
        </is>
      </c>
      <c r="AZ720" t="inlineStr">
        <is>
          <t>BOOK</t>
        </is>
      </c>
      <c r="BB720" t="inlineStr">
        <is>
          <t>9780070456709</t>
        </is>
      </c>
      <c r="BC720" t="inlineStr">
        <is>
          <t>32285004788567</t>
        </is>
      </c>
      <c r="BD720" t="inlineStr">
        <is>
          <t>893722305</t>
        </is>
      </c>
    </row>
    <row r="721">
      <c r="A721" t="inlineStr">
        <is>
          <t>No</t>
        </is>
      </c>
      <c r="B721" t="inlineStr">
        <is>
          <t>PS3521.E735 Z79 1983</t>
        </is>
      </c>
      <c r="C721" t="inlineStr">
        <is>
          <t>0                      PS 3521000E  735                Z  79          1983</t>
        </is>
      </c>
      <c r="D721" t="inlineStr">
        <is>
          <t>Memory babe : a critical biography of Jack Kerouac / Gerald Nicosia.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K721" t="inlineStr">
        <is>
          <t>Nicosia, Gerald.</t>
        </is>
      </c>
      <c r="L721" t="inlineStr">
        <is>
          <t>New York : Grove Press, 1983.</t>
        </is>
      </c>
      <c r="M721" t="inlineStr">
        <is>
          <t>1983</t>
        </is>
      </c>
      <c r="N721" t="inlineStr">
        <is>
          <t>1st hardcover ed.</t>
        </is>
      </c>
      <c r="O721" t="inlineStr">
        <is>
          <t>eng</t>
        </is>
      </c>
      <c r="P721" t="inlineStr">
        <is>
          <t>nyu</t>
        </is>
      </c>
      <c r="R721" t="inlineStr">
        <is>
          <t xml:space="preserve">PS </t>
        </is>
      </c>
      <c r="S721" t="n">
        <v>10</v>
      </c>
      <c r="T721" t="n">
        <v>10</v>
      </c>
      <c r="U721" t="inlineStr">
        <is>
          <t>2003-09-29</t>
        </is>
      </c>
      <c r="V721" t="inlineStr">
        <is>
          <t>2003-09-29</t>
        </is>
      </c>
      <c r="W721" t="inlineStr">
        <is>
          <t>1990-05-24</t>
        </is>
      </c>
      <c r="X721" t="inlineStr">
        <is>
          <t>1990-05-24</t>
        </is>
      </c>
      <c r="Y721" t="n">
        <v>743</v>
      </c>
      <c r="Z721" t="n">
        <v>645</v>
      </c>
      <c r="AA721" t="n">
        <v>1051</v>
      </c>
      <c r="AB721" t="n">
        <v>3</v>
      </c>
      <c r="AC721" t="n">
        <v>7</v>
      </c>
      <c r="AD721" t="n">
        <v>17</v>
      </c>
      <c r="AE721" t="n">
        <v>28</v>
      </c>
      <c r="AF721" t="n">
        <v>8</v>
      </c>
      <c r="AG721" t="n">
        <v>13</v>
      </c>
      <c r="AH721" t="n">
        <v>4</v>
      </c>
      <c r="AI721" t="n">
        <v>4</v>
      </c>
      <c r="AJ721" t="n">
        <v>8</v>
      </c>
      <c r="AK721" t="n">
        <v>13</v>
      </c>
      <c r="AL721" t="n">
        <v>2</v>
      </c>
      <c r="AM721" t="n">
        <v>5</v>
      </c>
      <c r="AN721" t="n">
        <v>0</v>
      </c>
      <c r="AO721" t="n">
        <v>0</v>
      </c>
      <c r="AP721" t="inlineStr">
        <is>
          <t>No</t>
        </is>
      </c>
      <c r="AQ721" t="inlineStr">
        <is>
          <t>Yes</t>
        </is>
      </c>
      <c r="AR721">
        <f>HYPERLINK("http://catalog.hathitrust.org/Record/000274754","HathiTrust Record")</f>
        <v/>
      </c>
      <c r="AS721">
        <f>HYPERLINK("https://creighton-primo.hosted.exlibrisgroup.com/primo-explore/search?tab=default_tab&amp;search_scope=EVERYTHING&amp;vid=01CRU&amp;lang=en_US&amp;offset=0&amp;query=any,contains,991000183329702656","Catalog Record")</f>
        <v/>
      </c>
      <c r="AT721">
        <f>HYPERLINK("http://www.worldcat.org/oclc/9392871","WorldCat Record")</f>
        <v/>
      </c>
      <c r="AU721" t="inlineStr">
        <is>
          <t>4864358:eng</t>
        </is>
      </c>
      <c r="AV721" t="inlineStr">
        <is>
          <t>9392871</t>
        </is>
      </c>
      <c r="AW721" t="inlineStr">
        <is>
          <t>991000183329702656</t>
        </is>
      </c>
      <c r="AX721" t="inlineStr">
        <is>
          <t>991000183329702656</t>
        </is>
      </c>
      <c r="AY721" t="inlineStr">
        <is>
          <t>2268718240002656</t>
        </is>
      </c>
      <c r="AZ721" t="inlineStr">
        <is>
          <t>BOOK</t>
        </is>
      </c>
      <c r="BB721" t="inlineStr">
        <is>
          <t>9780394522708</t>
        </is>
      </c>
      <c r="BC721" t="inlineStr">
        <is>
          <t>32285000165935</t>
        </is>
      </c>
      <c r="BD721" t="inlineStr">
        <is>
          <t>893351457</t>
        </is>
      </c>
    </row>
    <row r="722">
      <c r="A722" t="inlineStr">
        <is>
          <t>No</t>
        </is>
      </c>
      <c r="B722" t="inlineStr">
        <is>
          <t>PS3521.I582 Z63 1992</t>
        </is>
      </c>
      <c r="C722" t="inlineStr">
        <is>
          <t>0                      PS 3521000I  582                Z  63          1992</t>
        </is>
      </c>
      <c r="D722" t="inlineStr">
        <is>
          <t>Galway Kinnell / Richard J. Calhoun.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Calhoun, Richard James.</t>
        </is>
      </c>
      <c r="L722" t="inlineStr">
        <is>
          <t>New York : Twayne Publishers ; Toronto : Maxwell Macmillan Canada ; New York : Maxwell Macmillan International, c1992.</t>
        </is>
      </c>
      <c r="M722" t="inlineStr">
        <is>
          <t>1992</t>
        </is>
      </c>
      <c r="O722" t="inlineStr">
        <is>
          <t>eng</t>
        </is>
      </c>
      <c r="P722" t="inlineStr">
        <is>
          <t>nyu</t>
        </is>
      </c>
      <c r="Q722" t="inlineStr">
        <is>
          <t>Twayne's United States authors series ; TUSAS 603</t>
        </is>
      </c>
      <c r="R722" t="inlineStr">
        <is>
          <t xml:space="preserve">PS </t>
        </is>
      </c>
      <c r="S722" t="n">
        <v>4</v>
      </c>
      <c r="T722" t="n">
        <v>4</v>
      </c>
      <c r="U722" t="inlineStr">
        <is>
          <t>1993-11-11</t>
        </is>
      </c>
      <c r="V722" t="inlineStr">
        <is>
          <t>1993-11-11</t>
        </is>
      </c>
      <c r="W722" t="inlineStr">
        <is>
          <t>1992-07-16</t>
        </is>
      </c>
      <c r="X722" t="inlineStr">
        <is>
          <t>1992-07-16</t>
        </is>
      </c>
      <c r="Y722" t="n">
        <v>717</v>
      </c>
      <c r="Z722" t="n">
        <v>665</v>
      </c>
      <c r="AA722" t="n">
        <v>670</v>
      </c>
      <c r="AB722" t="n">
        <v>8</v>
      </c>
      <c r="AC722" t="n">
        <v>8</v>
      </c>
      <c r="AD722" t="n">
        <v>36</v>
      </c>
      <c r="AE722" t="n">
        <v>36</v>
      </c>
      <c r="AF722" t="n">
        <v>14</v>
      </c>
      <c r="AG722" t="n">
        <v>14</v>
      </c>
      <c r="AH722" t="n">
        <v>7</v>
      </c>
      <c r="AI722" t="n">
        <v>7</v>
      </c>
      <c r="AJ722" t="n">
        <v>15</v>
      </c>
      <c r="AK722" t="n">
        <v>15</v>
      </c>
      <c r="AL722" t="n">
        <v>7</v>
      </c>
      <c r="AM722" t="n">
        <v>7</v>
      </c>
      <c r="AN722" t="n">
        <v>0</v>
      </c>
      <c r="AO722" t="n">
        <v>0</v>
      </c>
      <c r="AP722" t="inlineStr">
        <is>
          <t>No</t>
        </is>
      </c>
      <c r="AQ722" t="inlineStr">
        <is>
          <t>Yes</t>
        </is>
      </c>
      <c r="AR722">
        <f>HYPERLINK("http://catalog.hathitrust.org/Record/002556303","HathiTrust Record")</f>
        <v/>
      </c>
      <c r="AS722">
        <f>HYPERLINK("https://creighton-primo.hosted.exlibrisgroup.com/primo-explore/search?tab=default_tab&amp;search_scope=EVERYTHING&amp;vid=01CRU&amp;lang=en_US&amp;offset=0&amp;query=any,contains,991001996529702656","Catalog Record")</f>
        <v/>
      </c>
      <c r="AT722">
        <f>HYPERLINK("http://www.worldcat.org/oclc/25370816","WorldCat Record")</f>
        <v/>
      </c>
      <c r="AU722" t="inlineStr">
        <is>
          <t>28143319:eng</t>
        </is>
      </c>
      <c r="AV722" t="inlineStr">
        <is>
          <t>25370816</t>
        </is>
      </c>
      <c r="AW722" t="inlineStr">
        <is>
          <t>991001996529702656</t>
        </is>
      </c>
      <c r="AX722" t="inlineStr">
        <is>
          <t>991001996529702656</t>
        </is>
      </c>
      <c r="AY722" t="inlineStr">
        <is>
          <t>2268995150002656</t>
        </is>
      </c>
      <c r="AZ722" t="inlineStr">
        <is>
          <t>BOOK</t>
        </is>
      </c>
      <c r="BB722" t="inlineStr">
        <is>
          <t>9780805739558</t>
        </is>
      </c>
      <c r="BC722" t="inlineStr">
        <is>
          <t>32285001187623</t>
        </is>
      </c>
      <c r="BD722" t="inlineStr">
        <is>
          <t>893785602</t>
        </is>
      </c>
    </row>
    <row r="723">
      <c r="A723" t="inlineStr">
        <is>
          <t>No</t>
        </is>
      </c>
      <c r="B723" t="inlineStr">
        <is>
          <t>PS3521.I6996 T6 1934</t>
        </is>
      </c>
      <c r="C723" t="inlineStr">
        <is>
          <t>0                      PS 3521000I  6996               T  6           1934</t>
        </is>
      </c>
      <c r="D723" t="inlineStr">
        <is>
          <t>Tobacco road : a three act play / by Jack Kirkland, from the novel by Erskine Caldwell.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Kirkland, Jack, 1902-1969.</t>
        </is>
      </c>
      <c r="L723" t="inlineStr">
        <is>
          <t>New York : Viking press, 1934.</t>
        </is>
      </c>
      <c r="M723" t="inlineStr">
        <is>
          <t>1934</t>
        </is>
      </c>
      <c r="O723" t="inlineStr">
        <is>
          <t>eng</t>
        </is>
      </c>
      <c r="P723" t="inlineStr">
        <is>
          <t>nyu</t>
        </is>
      </c>
      <c r="R723" t="inlineStr">
        <is>
          <t xml:space="preserve">PS </t>
        </is>
      </c>
      <c r="S723" t="n">
        <v>5</v>
      </c>
      <c r="T723" t="n">
        <v>5</v>
      </c>
      <c r="U723" t="inlineStr">
        <is>
          <t>1995-03-12</t>
        </is>
      </c>
      <c r="V723" t="inlineStr">
        <is>
          <t>1995-03-12</t>
        </is>
      </c>
      <c r="W723" t="inlineStr">
        <is>
          <t>1990-07-13</t>
        </is>
      </c>
      <c r="X723" t="inlineStr">
        <is>
          <t>1990-07-13</t>
        </is>
      </c>
      <c r="Y723" t="n">
        <v>195</v>
      </c>
      <c r="Z723" t="n">
        <v>190</v>
      </c>
      <c r="AA723" t="n">
        <v>214</v>
      </c>
      <c r="AB723" t="n">
        <v>2</v>
      </c>
      <c r="AC723" t="n">
        <v>2</v>
      </c>
      <c r="AD723" t="n">
        <v>4</v>
      </c>
      <c r="AE723" t="n">
        <v>4</v>
      </c>
      <c r="AF723" t="n">
        <v>2</v>
      </c>
      <c r="AG723" t="n">
        <v>2</v>
      </c>
      <c r="AH723" t="n">
        <v>1</v>
      </c>
      <c r="AI723" t="n">
        <v>1</v>
      </c>
      <c r="AJ723" t="n">
        <v>1</v>
      </c>
      <c r="AK723" t="n">
        <v>1</v>
      </c>
      <c r="AL723" t="n">
        <v>1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No</t>
        </is>
      </c>
      <c r="AR723">
        <f>HYPERLINK("http://catalog.hathitrust.org/Record/001028739","HathiTrust Record")</f>
        <v/>
      </c>
      <c r="AS723">
        <f>HYPERLINK("https://creighton-primo.hosted.exlibrisgroup.com/primo-explore/search?tab=default_tab&amp;search_scope=EVERYTHING&amp;vid=01CRU&amp;lang=en_US&amp;offset=0&amp;query=any,contains,991003912999702656","Catalog Record")</f>
        <v/>
      </c>
      <c r="AT723">
        <f>HYPERLINK("http://www.worldcat.org/oclc/1856196","WorldCat Record")</f>
        <v/>
      </c>
      <c r="AU723" t="inlineStr">
        <is>
          <t>3855421038:eng</t>
        </is>
      </c>
      <c r="AV723" t="inlineStr">
        <is>
          <t>1856196</t>
        </is>
      </c>
      <c r="AW723" t="inlineStr">
        <is>
          <t>991003912999702656</t>
        </is>
      </c>
      <c r="AX723" t="inlineStr">
        <is>
          <t>991003912999702656</t>
        </is>
      </c>
      <c r="AY723" t="inlineStr">
        <is>
          <t>2265881930002656</t>
        </is>
      </c>
      <c r="AZ723" t="inlineStr">
        <is>
          <t>BOOK</t>
        </is>
      </c>
      <c r="BC723" t="inlineStr">
        <is>
          <t>32285000231356</t>
        </is>
      </c>
      <c r="BD723" t="inlineStr">
        <is>
          <t>893441948</t>
        </is>
      </c>
    </row>
    <row r="724">
      <c r="A724" t="inlineStr">
        <is>
          <t>No</t>
        </is>
      </c>
      <c r="B724" t="inlineStr">
        <is>
          <t>PS3521.U6 P7</t>
        </is>
      </c>
      <c r="C724" t="inlineStr">
        <is>
          <t>0                      PS 3521000U  6                  P  7</t>
        </is>
      </c>
      <c r="D724" t="inlineStr">
        <is>
          <t>The privilege / [by] Maxine Kumin.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K724" t="inlineStr">
        <is>
          <t>Kumin, Maxine, 1925-2014.</t>
        </is>
      </c>
      <c r="L724" t="inlineStr">
        <is>
          <t>New York : Harper &amp; Row, [1965]</t>
        </is>
      </c>
      <c r="M724" t="inlineStr">
        <is>
          <t>1965</t>
        </is>
      </c>
      <c r="N724" t="inlineStr">
        <is>
          <t>[1st ed.]</t>
        </is>
      </c>
      <c r="O724" t="inlineStr">
        <is>
          <t>eng</t>
        </is>
      </c>
      <c r="P724" t="inlineStr">
        <is>
          <t>nyu</t>
        </is>
      </c>
      <c r="R724" t="inlineStr">
        <is>
          <t xml:space="preserve">PS </t>
        </is>
      </c>
      <c r="S724" t="n">
        <v>2</v>
      </c>
      <c r="T724" t="n">
        <v>2</v>
      </c>
      <c r="U724" t="inlineStr">
        <is>
          <t>2002-08-28</t>
        </is>
      </c>
      <c r="V724" t="inlineStr">
        <is>
          <t>2002-08-28</t>
        </is>
      </c>
      <c r="W724" t="inlineStr">
        <is>
          <t>1995-01-09</t>
        </is>
      </c>
      <c r="X724" t="inlineStr">
        <is>
          <t>1995-01-09</t>
        </is>
      </c>
      <c r="Y724" t="n">
        <v>262</v>
      </c>
      <c r="Z724" t="n">
        <v>243</v>
      </c>
      <c r="AA724" t="n">
        <v>250</v>
      </c>
      <c r="AB724" t="n">
        <v>1</v>
      </c>
      <c r="AC724" t="n">
        <v>1</v>
      </c>
      <c r="AD724" t="n">
        <v>2</v>
      </c>
      <c r="AE724" t="n">
        <v>2</v>
      </c>
      <c r="AF724" t="n">
        <v>1</v>
      </c>
      <c r="AG724" t="n">
        <v>1</v>
      </c>
      <c r="AH724" t="n">
        <v>1</v>
      </c>
      <c r="AI724" t="n">
        <v>1</v>
      </c>
      <c r="AJ724" t="n">
        <v>1</v>
      </c>
      <c r="AK724" t="n">
        <v>1</v>
      </c>
      <c r="AL724" t="n">
        <v>0</v>
      </c>
      <c r="AM724" t="n">
        <v>0</v>
      </c>
      <c r="AN724" t="n">
        <v>0</v>
      </c>
      <c r="AO724" t="n">
        <v>0</v>
      </c>
      <c r="AP724" t="inlineStr">
        <is>
          <t>No</t>
        </is>
      </c>
      <c r="AQ724" t="inlineStr">
        <is>
          <t>Yes</t>
        </is>
      </c>
      <c r="AR724">
        <f>HYPERLINK("http://catalog.hathitrust.org/Record/009241537","HathiTrust Record")</f>
        <v/>
      </c>
      <c r="AS724">
        <f>HYPERLINK("https://creighton-primo.hosted.exlibrisgroup.com/primo-explore/search?tab=default_tab&amp;search_scope=EVERYTHING&amp;vid=01CRU&amp;lang=en_US&amp;offset=0&amp;query=any,contains,991002216629702656","Catalog Record")</f>
        <v/>
      </c>
      <c r="AT724">
        <f>HYPERLINK("http://www.worldcat.org/oclc/288952","WorldCat Record")</f>
        <v/>
      </c>
      <c r="AU724" t="inlineStr">
        <is>
          <t>1150942474:eng</t>
        </is>
      </c>
      <c r="AV724" t="inlineStr">
        <is>
          <t>288952</t>
        </is>
      </c>
      <c r="AW724" t="inlineStr">
        <is>
          <t>991002216629702656</t>
        </is>
      </c>
      <c r="AX724" t="inlineStr">
        <is>
          <t>991002216629702656</t>
        </is>
      </c>
      <c r="AY724" t="inlineStr">
        <is>
          <t>2264037300002656</t>
        </is>
      </c>
      <c r="AZ724" t="inlineStr">
        <is>
          <t>BOOK</t>
        </is>
      </c>
      <c r="BC724" t="inlineStr">
        <is>
          <t>32285001986412</t>
        </is>
      </c>
      <c r="BD724" t="inlineStr">
        <is>
          <t>893685105</t>
        </is>
      </c>
    </row>
    <row r="725">
      <c r="A725" t="inlineStr">
        <is>
          <t>No</t>
        </is>
      </c>
      <c r="B725" t="inlineStr">
        <is>
          <t>PS3523.A446 Z67 1985</t>
        </is>
      </c>
      <c r="C725" t="inlineStr">
        <is>
          <t>0                      PS 3523000A  446                Z  67          1985</t>
        </is>
      </c>
      <c r="D725" t="inlineStr">
        <is>
          <t>Louis L'Amour / by Robert L. Gale.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Yes</t>
        </is>
      </c>
      <c r="J725" t="inlineStr">
        <is>
          <t>0</t>
        </is>
      </c>
      <c r="K725" t="inlineStr">
        <is>
          <t>Gale, Robert L.</t>
        </is>
      </c>
      <c r="L725" t="inlineStr">
        <is>
          <t>Boston : Twayne Publishers, c1985.</t>
        </is>
      </c>
      <c r="M725" t="inlineStr">
        <is>
          <t>1985</t>
        </is>
      </c>
      <c r="O725" t="inlineStr">
        <is>
          <t>eng</t>
        </is>
      </c>
      <c r="P725" t="inlineStr">
        <is>
          <t>mau</t>
        </is>
      </c>
      <c r="Q725" t="inlineStr">
        <is>
          <t>Twayne's United States authors series ; TUSAS 491</t>
        </is>
      </c>
      <c r="R725" t="inlineStr">
        <is>
          <t xml:space="preserve">PS </t>
        </is>
      </c>
      <c r="S725" t="n">
        <v>1</v>
      </c>
      <c r="T725" t="n">
        <v>1</v>
      </c>
      <c r="U725" t="inlineStr">
        <is>
          <t>2001-01-19</t>
        </is>
      </c>
      <c r="V725" t="inlineStr">
        <is>
          <t>2001-01-19</t>
        </is>
      </c>
      <c r="W725" t="inlineStr">
        <is>
          <t>1990-11-15</t>
        </is>
      </c>
      <c r="X725" t="inlineStr">
        <is>
          <t>1990-11-15</t>
        </is>
      </c>
      <c r="Y725" t="n">
        <v>882</v>
      </c>
      <c r="Z725" t="n">
        <v>821</v>
      </c>
      <c r="AA725" t="n">
        <v>1056</v>
      </c>
      <c r="AB725" t="n">
        <v>6</v>
      </c>
      <c r="AC725" t="n">
        <v>10</v>
      </c>
      <c r="AD725" t="n">
        <v>18</v>
      </c>
      <c r="AE725" t="n">
        <v>29</v>
      </c>
      <c r="AF725" t="n">
        <v>3</v>
      </c>
      <c r="AG725" t="n">
        <v>7</v>
      </c>
      <c r="AH725" t="n">
        <v>5</v>
      </c>
      <c r="AI725" t="n">
        <v>6</v>
      </c>
      <c r="AJ725" t="n">
        <v>11</v>
      </c>
      <c r="AK725" t="n">
        <v>15</v>
      </c>
      <c r="AL725" t="n">
        <v>4</v>
      </c>
      <c r="AM725" t="n">
        <v>7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HYPERLINK("http://catalog.hathitrust.org/Record/000464330","HathiTrust Record")</f>
        <v/>
      </c>
      <c r="AS725">
        <f>HYPERLINK("https://creighton-primo.hosted.exlibrisgroup.com/primo-explore/search?tab=default_tab&amp;search_scope=EVERYTHING&amp;vid=01CRU&amp;lang=en_US&amp;offset=0&amp;query=any,contains,991000640859702656","Catalog Record")</f>
        <v/>
      </c>
      <c r="AT725">
        <f>HYPERLINK("http://www.worldcat.org/oclc/12104091","WorldCat Record")</f>
        <v/>
      </c>
      <c r="AU725" t="inlineStr">
        <is>
          <t>143745126:eng</t>
        </is>
      </c>
      <c r="AV725" t="inlineStr">
        <is>
          <t>12104091</t>
        </is>
      </c>
      <c r="AW725" t="inlineStr">
        <is>
          <t>991000640859702656</t>
        </is>
      </c>
      <c r="AX725" t="inlineStr">
        <is>
          <t>991000640859702656</t>
        </is>
      </c>
      <c r="AY725" t="inlineStr">
        <is>
          <t>2260100430002656</t>
        </is>
      </c>
      <c r="AZ725" t="inlineStr">
        <is>
          <t>BOOK</t>
        </is>
      </c>
      <c r="BB725" t="inlineStr">
        <is>
          <t>9780805774504</t>
        </is>
      </c>
      <c r="BC725" t="inlineStr">
        <is>
          <t>32285000379460</t>
        </is>
      </c>
      <c r="BD725" t="inlineStr">
        <is>
          <t>893407389</t>
        </is>
      </c>
    </row>
    <row r="726">
      <c r="A726" t="inlineStr">
        <is>
          <t>No</t>
        </is>
      </c>
      <c r="B726" t="inlineStr">
        <is>
          <t>PS3523.A446 Z67 1992</t>
        </is>
      </c>
      <c r="C726" t="inlineStr">
        <is>
          <t>0                      PS 3523000A  446                Z  67          1992</t>
        </is>
      </c>
      <c r="D726" t="inlineStr">
        <is>
          <t>Louis L'Amour / Robert L. Gale.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Yes</t>
        </is>
      </c>
      <c r="J726" t="inlineStr">
        <is>
          <t>0</t>
        </is>
      </c>
      <c r="K726" t="inlineStr">
        <is>
          <t>Gale, Robert L., 1919-</t>
        </is>
      </c>
      <c r="L726" t="inlineStr">
        <is>
          <t>New York : Twayne Publishers ; Toronto : Maxwell Macmillan Canada ; New York : Maxwell Macmillan International, c1992.</t>
        </is>
      </c>
      <c r="M726" t="inlineStr">
        <is>
          <t>1992</t>
        </is>
      </c>
      <c r="N726" t="inlineStr">
        <is>
          <t>Rev. ed.</t>
        </is>
      </c>
      <c r="O726" t="inlineStr">
        <is>
          <t>eng</t>
        </is>
      </c>
      <c r="P726" t="inlineStr">
        <is>
          <t>nyu</t>
        </is>
      </c>
      <c r="Q726" t="inlineStr">
        <is>
          <t>Twayne's United States authors series ; TUSAS 491</t>
        </is>
      </c>
      <c r="R726" t="inlineStr">
        <is>
          <t xml:space="preserve">PS </t>
        </is>
      </c>
      <c r="S726" t="n">
        <v>4</v>
      </c>
      <c r="T726" t="n">
        <v>4</v>
      </c>
      <c r="U726" t="inlineStr">
        <is>
          <t>2004-09-07</t>
        </is>
      </c>
      <c r="V726" t="inlineStr">
        <is>
          <t>2004-09-07</t>
        </is>
      </c>
      <c r="W726" t="inlineStr">
        <is>
          <t>1992-04-09</t>
        </is>
      </c>
      <c r="X726" t="inlineStr">
        <is>
          <t>1992-04-09</t>
        </is>
      </c>
      <c r="Y726" t="n">
        <v>541</v>
      </c>
      <c r="Z726" t="n">
        <v>505</v>
      </c>
      <c r="AA726" t="n">
        <v>1056</v>
      </c>
      <c r="AB726" t="n">
        <v>8</v>
      </c>
      <c r="AC726" t="n">
        <v>10</v>
      </c>
      <c r="AD726" t="n">
        <v>23</v>
      </c>
      <c r="AE726" t="n">
        <v>29</v>
      </c>
      <c r="AF726" t="n">
        <v>6</v>
      </c>
      <c r="AG726" t="n">
        <v>7</v>
      </c>
      <c r="AH726" t="n">
        <v>3</v>
      </c>
      <c r="AI726" t="n">
        <v>6</v>
      </c>
      <c r="AJ726" t="n">
        <v>13</v>
      </c>
      <c r="AK726" t="n">
        <v>15</v>
      </c>
      <c r="AL726" t="n">
        <v>6</v>
      </c>
      <c r="AM726" t="n">
        <v>7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HYPERLINK("http://catalog.hathitrust.org/Record/002524153","HathiTrust Record")</f>
        <v/>
      </c>
      <c r="AS726">
        <f>HYPERLINK("https://creighton-primo.hosted.exlibrisgroup.com/primo-explore/search?tab=default_tab&amp;search_scope=EVERYTHING&amp;vid=01CRU&amp;lang=en_US&amp;offset=0&amp;query=any,contains,991001970829702656","Catalog Record")</f>
        <v/>
      </c>
      <c r="AT726">
        <f>HYPERLINK("http://www.worldcat.org/oclc/25008809","WorldCat Record")</f>
        <v/>
      </c>
      <c r="AU726" t="inlineStr">
        <is>
          <t>143745126:eng</t>
        </is>
      </c>
      <c r="AV726" t="inlineStr">
        <is>
          <t>25008809</t>
        </is>
      </c>
      <c r="AW726" t="inlineStr">
        <is>
          <t>991001970829702656</t>
        </is>
      </c>
      <c r="AX726" t="inlineStr">
        <is>
          <t>991001970829702656</t>
        </is>
      </c>
      <c r="AY726" t="inlineStr">
        <is>
          <t>2269077570002656</t>
        </is>
      </c>
      <c r="AZ726" t="inlineStr">
        <is>
          <t>BOOK</t>
        </is>
      </c>
      <c r="BB726" t="inlineStr">
        <is>
          <t>9780805776492</t>
        </is>
      </c>
      <c r="BC726" t="inlineStr">
        <is>
          <t>32285001046936</t>
        </is>
      </c>
      <c r="BD726" t="inlineStr">
        <is>
          <t>893615533</t>
        </is>
      </c>
    </row>
    <row r="727">
      <c r="A727" t="inlineStr">
        <is>
          <t>No</t>
        </is>
      </c>
      <c r="B727" t="inlineStr">
        <is>
          <t>PS3523.A7 H6 1924</t>
        </is>
      </c>
      <c r="C727" t="inlineStr">
        <is>
          <t>0                      PS 3523000A  7                  H  6           1924</t>
        </is>
      </c>
      <c r="D727" t="inlineStr">
        <is>
          <t>How to write short stories : &lt;with samples&gt; / by Ring W. Lardner.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Lardner, Ring, 1885-1933.</t>
        </is>
      </c>
      <c r="L727" t="inlineStr">
        <is>
          <t>New York ; London : Charles Scribner's Sons, 1924.</t>
        </is>
      </c>
      <c r="M727" t="inlineStr">
        <is>
          <t>1924</t>
        </is>
      </c>
      <c r="O727" t="inlineStr">
        <is>
          <t>eng</t>
        </is>
      </c>
      <c r="P727" t="inlineStr">
        <is>
          <t>nyu</t>
        </is>
      </c>
      <c r="R727" t="inlineStr">
        <is>
          <t xml:space="preserve">PS </t>
        </is>
      </c>
      <c r="S727" t="n">
        <v>5</v>
      </c>
      <c r="T727" t="n">
        <v>5</v>
      </c>
      <c r="U727" t="inlineStr">
        <is>
          <t>1999-03-24</t>
        </is>
      </c>
      <c r="V727" t="inlineStr">
        <is>
          <t>1999-03-24</t>
        </is>
      </c>
      <c r="W727" t="inlineStr">
        <is>
          <t>1997-06-09</t>
        </is>
      </c>
      <c r="X727" t="inlineStr">
        <is>
          <t>1997-06-09</t>
        </is>
      </c>
      <c r="Y727" t="n">
        <v>506</v>
      </c>
      <c r="Z727" t="n">
        <v>479</v>
      </c>
      <c r="AA727" t="n">
        <v>725</v>
      </c>
      <c r="AB727" t="n">
        <v>3</v>
      </c>
      <c r="AC727" t="n">
        <v>7</v>
      </c>
      <c r="AD727" t="n">
        <v>24</v>
      </c>
      <c r="AE727" t="n">
        <v>35</v>
      </c>
      <c r="AF727" t="n">
        <v>8</v>
      </c>
      <c r="AG727" t="n">
        <v>13</v>
      </c>
      <c r="AH727" t="n">
        <v>7</v>
      </c>
      <c r="AI727" t="n">
        <v>8</v>
      </c>
      <c r="AJ727" t="n">
        <v>13</v>
      </c>
      <c r="AK727" t="n">
        <v>16</v>
      </c>
      <c r="AL727" t="n">
        <v>2</v>
      </c>
      <c r="AM727" t="n">
        <v>6</v>
      </c>
      <c r="AN727" t="n">
        <v>0</v>
      </c>
      <c r="AO727" t="n">
        <v>0</v>
      </c>
      <c r="AP727" t="inlineStr">
        <is>
          <t>Yes</t>
        </is>
      </c>
      <c r="AQ727" t="inlineStr">
        <is>
          <t>No</t>
        </is>
      </c>
      <c r="AR727">
        <f>HYPERLINK("http://catalog.hathitrust.org/Record/000536371","HathiTrust Record")</f>
        <v/>
      </c>
      <c r="AS727">
        <f>HYPERLINK("https://creighton-primo.hosted.exlibrisgroup.com/primo-explore/search?tab=default_tab&amp;search_scope=EVERYTHING&amp;vid=01CRU&amp;lang=en_US&amp;offset=0&amp;query=any,contains,991002215779702656","Catalog Record")</f>
        <v/>
      </c>
      <c r="AT727">
        <f>HYPERLINK("http://www.worldcat.org/oclc/288675","WorldCat Record")</f>
        <v/>
      </c>
      <c r="AU727" t="inlineStr">
        <is>
          <t>474171:eng</t>
        </is>
      </c>
      <c r="AV727" t="inlineStr">
        <is>
          <t>288675</t>
        </is>
      </c>
      <c r="AW727" t="inlineStr">
        <is>
          <t>991002215779702656</t>
        </is>
      </c>
      <c r="AX727" t="inlineStr">
        <is>
          <t>991002215779702656</t>
        </is>
      </c>
      <c r="AY727" t="inlineStr">
        <is>
          <t>2264123550002656</t>
        </is>
      </c>
      <c r="AZ727" t="inlineStr">
        <is>
          <t>BOOK</t>
        </is>
      </c>
      <c r="BB727" t="inlineStr">
        <is>
          <t>9780403010639</t>
        </is>
      </c>
      <c r="BC727" t="inlineStr">
        <is>
          <t>32285002786365</t>
        </is>
      </c>
      <c r="BD727" t="inlineStr">
        <is>
          <t>893341165</t>
        </is>
      </c>
    </row>
    <row r="728">
      <c r="A728" t="inlineStr">
        <is>
          <t>No</t>
        </is>
      </c>
      <c r="B728" t="inlineStr">
        <is>
          <t>PS3523.A7 Z9</t>
        </is>
      </c>
      <c r="C728" t="inlineStr">
        <is>
          <t>0                      PS 3523000A  7                  Z  9</t>
        </is>
      </c>
      <c r="D728" t="inlineStr">
        <is>
          <t>Ring : a biography of Ring Lardner / by Jonathan Yardley.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Yardley, Jonathan.</t>
        </is>
      </c>
      <c r="L728" t="inlineStr">
        <is>
          <t>New York : Random House, c1977.</t>
        </is>
      </c>
      <c r="M728" t="inlineStr">
        <is>
          <t>1977</t>
        </is>
      </c>
      <c r="N728" t="inlineStr">
        <is>
          <t>1st ed.</t>
        </is>
      </c>
      <c r="O728" t="inlineStr">
        <is>
          <t>eng</t>
        </is>
      </c>
      <c r="P728" t="inlineStr">
        <is>
          <t>nyu</t>
        </is>
      </c>
      <c r="R728" t="inlineStr">
        <is>
          <t xml:space="preserve">PS </t>
        </is>
      </c>
      <c r="S728" t="n">
        <v>0</v>
      </c>
      <c r="T728" t="n">
        <v>0</v>
      </c>
      <c r="U728" t="inlineStr">
        <is>
          <t>2001-12-03</t>
        </is>
      </c>
      <c r="V728" t="inlineStr">
        <is>
          <t>2001-12-03</t>
        </is>
      </c>
      <c r="W728" t="inlineStr">
        <is>
          <t>1997-06-10</t>
        </is>
      </c>
      <c r="X728" t="inlineStr">
        <is>
          <t>1997-06-10</t>
        </is>
      </c>
      <c r="Y728" t="n">
        <v>1092</v>
      </c>
      <c r="Z728" t="n">
        <v>1016</v>
      </c>
      <c r="AA728" t="n">
        <v>1073</v>
      </c>
      <c r="AB728" t="n">
        <v>6</v>
      </c>
      <c r="AC728" t="n">
        <v>7</v>
      </c>
      <c r="AD728" t="n">
        <v>32</v>
      </c>
      <c r="AE728" t="n">
        <v>34</v>
      </c>
      <c r="AF728" t="n">
        <v>14</v>
      </c>
      <c r="AG728" t="n">
        <v>14</v>
      </c>
      <c r="AH728" t="n">
        <v>8</v>
      </c>
      <c r="AI728" t="n">
        <v>9</v>
      </c>
      <c r="AJ728" t="n">
        <v>17</v>
      </c>
      <c r="AK728" t="n">
        <v>18</v>
      </c>
      <c r="AL728" t="n">
        <v>4</v>
      </c>
      <c r="AM728" t="n">
        <v>5</v>
      </c>
      <c r="AN728" t="n">
        <v>0</v>
      </c>
      <c r="AO728" t="n">
        <v>0</v>
      </c>
      <c r="AP728" t="inlineStr">
        <is>
          <t>No</t>
        </is>
      </c>
      <c r="AQ728" t="inlineStr">
        <is>
          <t>Yes</t>
        </is>
      </c>
      <c r="AR728">
        <f>HYPERLINK("http://catalog.hathitrust.org/Record/000173320","HathiTrust Record")</f>
        <v/>
      </c>
      <c r="AS728">
        <f>HYPERLINK("https://creighton-primo.hosted.exlibrisgroup.com/primo-explore/search?tab=default_tab&amp;search_scope=EVERYTHING&amp;vid=01CRU&amp;lang=en_US&amp;offset=0&amp;query=any,contains,991004245269702656","Catalog Record")</f>
        <v/>
      </c>
      <c r="AT728">
        <f>HYPERLINK("http://www.worldcat.org/oclc/2798215","WorldCat Record")</f>
        <v/>
      </c>
      <c r="AU728" t="inlineStr">
        <is>
          <t>2915939:eng</t>
        </is>
      </c>
      <c r="AV728" t="inlineStr">
        <is>
          <t>2798215</t>
        </is>
      </c>
      <c r="AW728" t="inlineStr">
        <is>
          <t>991004245269702656</t>
        </is>
      </c>
      <c r="AX728" t="inlineStr">
        <is>
          <t>991004245269702656</t>
        </is>
      </c>
      <c r="AY728" t="inlineStr">
        <is>
          <t>2270959630002656</t>
        </is>
      </c>
      <c r="AZ728" t="inlineStr">
        <is>
          <t>BOOK</t>
        </is>
      </c>
      <c r="BB728" t="inlineStr">
        <is>
          <t>9780394498119</t>
        </is>
      </c>
      <c r="BC728" t="inlineStr">
        <is>
          <t>32285002786415</t>
        </is>
      </c>
      <c r="BD728" t="inlineStr">
        <is>
          <t>893624506</t>
        </is>
      </c>
    </row>
    <row r="729">
      <c r="A729" t="inlineStr">
        <is>
          <t>No</t>
        </is>
      </c>
      <c r="B729" t="inlineStr">
        <is>
          <t>PS3523.E94 A83</t>
        </is>
      </c>
      <c r="C729" t="inlineStr">
        <is>
          <t>0                      PS 3523000E  94                 A  83</t>
        </is>
      </c>
      <c r="D729" t="inlineStr">
        <is>
          <t>Twentieth century interpretations of Arrowsmith; a collection of critical essays. Edited by Robert J. Griffin.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Griffin, Robert J., compiler.</t>
        </is>
      </c>
      <c r="L729" t="inlineStr">
        <is>
          <t>Englewood Cliffs, N.J., Prentice-Hall [1968]</t>
        </is>
      </c>
      <c r="M729" t="inlineStr">
        <is>
          <t>1968</t>
        </is>
      </c>
      <c r="O729" t="inlineStr">
        <is>
          <t>eng</t>
        </is>
      </c>
      <c r="P729" t="inlineStr">
        <is>
          <t>nju</t>
        </is>
      </c>
      <c r="Q729" t="inlineStr">
        <is>
          <t>A Spectrum book, S-815</t>
        </is>
      </c>
      <c r="R729" t="inlineStr">
        <is>
          <t xml:space="preserve">PS </t>
        </is>
      </c>
      <c r="S729" t="n">
        <v>1</v>
      </c>
      <c r="T729" t="n">
        <v>1</v>
      </c>
      <c r="U729" t="inlineStr">
        <is>
          <t>2004-02-10</t>
        </is>
      </c>
      <c r="V729" t="inlineStr">
        <is>
          <t>2004-02-10</t>
        </is>
      </c>
      <c r="W729" t="inlineStr">
        <is>
          <t>1997-06-10</t>
        </is>
      </c>
      <c r="X729" t="inlineStr">
        <is>
          <t>1997-06-10</t>
        </is>
      </c>
      <c r="Y729" t="n">
        <v>1488</v>
      </c>
      <c r="Z729" t="n">
        <v>1371</v>
      </c>
      <c r="AA729" t="n">
        <v>1378</v>
      </c>
      <c r="AB729" t="n">
        <v>14</v>
      </c>
      <c r="AC729" t="n">
        <v>14</v>
      </c>
      <c r="AD729" t="n">
        <v>54</v>
      </c>
      <c r="AE729" t="n">
        <v>54</v>
      </c>
      <c r="AF729" t="n">
        <v>21</v>
      </c>
      <c r="AG729" t="n">
        <v>21</v>
      </c>
      <c r="AH729" t="n">
        <v>8</v>
      </c>
      <c r="AI729" t="n">
        <v>8</v>
      </c>
      <c r="AJ729" t="n">
        <v>23</v>
      </c>
      <c r="AK729" t="n">
        <v>23</v>
      </c>
      <c r="AL729" t="n">
        <v>12</v>
      </c>
      <c r="AM729" t="n">
        <v>12</v>
      </c>
      <c r="AN729" t="n">
        <v>0</v>
      </c>
      <c r="AO729" t="n">
        <v>0</v>
      </c>
      <c r="AP729" t="inlineStr">
        <is>
          <t>No</t>
        </is>
      </c>
      <c r="AQ729" t="inlineStr">
        <is>
          <t>No</t>
        </is>
      </c>
      <c r="AS729">
        <f>HYPERLINK("https://creighton-primo.hosted.exlibrisgroup.com/primo-explore/search?tab=default_tab&amp;search_scope=EVERYTHING&amp;vid=01CRU&amp;lang=en_US&amp;offset=0&amp;query=any,contains,991000991419702656","Catalog Record")</f>
        <v/>
      </c>
      <c r="AT729">
        <f>HYPERLINK("http://www.worldcat.org/oclc/171197","WorldCat Record")</f>
        <v/>
      </c>
      <c r="AU729" t="inlineStr">
        <is>
          <t>914099584:eng</t>
        </is>
      </c>
      <c r="AV729" t="inlineStr">
        <is>
          <t>171197</t>
        </is>
      </c>
      <c r="AW729" t="inlineStr">
        <is>
          <t>991000991419702656</t>
        </is>
      </c>
      <c r="AX729" t="inlineStr">
        <is>
          <t>991000991419702656</t>
        </is>
      </c>
      <c r="AY729" t="inlineStr">
        <is>
          <t>2267321320002656</t>
        </is>
      </c>
      <c r="AZ729" t="inlineStr">
        <is>
          <t>BOOK</t>
        </is>
      </c>
      <c r="BC729" t="inlineStr">
        <is>
          <t>32285002786621</t>
        </is>
      </c>
      <c r="BD729" t="inlineStr">
        <is>
          <t>893690228</t>
        </is>
      </c>
    </row>
    <row r="730">
      <c r="A730" t="inlineStr">
        <is>
          <t>No</t>
        </is>
      </c>
      <c r="B730" t="inlineStr">
        <is>
          <t>PS3523.E94 Z566 1967</t>
        </is>
      </c>
      <c r="C730" t="inlineStr">
        <is>
          <t>0                      PS 3523000E  94                 Z  566         1967</t>
        </is>
      </c>
      <c r="D730" t="inlineStr">
        <is>
          <t>The art of Sinclair Lewis / by D. J. Dooley.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Dooley, D. J. (David Joseph), 1921-</t>
        </is>
      </c>
      <c r="L730" t="inlineStr">
        <is>
          <t>Lincoln : University of Nebraska Press, [1967]</t>
        </is>
      </c>
      <c r="M730" t="inlineStr">
        <is>
          <t>1967</t>
        </is>
      </c>
      <c r="O730" t="inlineStr">
        <is>
          <t>eng</t>
        </is>
      </c>
      <c r="P730" t="inlineStr">
        <is>
          <t>nbu</t>
        </is>
      </c>
      <c r="R730" t="inlineStr">
        <is>
          <t xml:space="preserve">PS </t>
        </is>
      </c>
      <c r="S730" t="n">
        <v>2</v>
      </c>
      <c r="T730" t="n">
        <v>2</v>
      </c>
      <c r="U730" t="inlineStr">
        <is>
          <t>1996-04-11</t>
        </is>
      </c>
      <c r="V730" t="inlineStr">
        <is>
          <t>1996-04-11</t>
        </is>
      </c>
      <c r="W730" t="inlineStr">
        <is>
          <t>1991-01-10</t>
        </is>
      </c>
      <c r="X730" t="inlineStr">
        <is>
          <t>1991-01-10</t>
        </is>
      </c>
      <c r="Y730" t="n">
        <v>1248</v>
      </c>
      <c r="Z730" t="n">
        <v>1133</v>
      </c>
      <c r="AA730" t="n">
        <v>1145</v>
      </c>
      <c r="AB730" t="n">
        <v>10</v>
      </c>
      <c r="AC730" t="n">
        <v>10</v>
      </c>
      <c r="AD730" t="n">
        <v>41</v>
      </c>
      <c r="AE730" t="n">
        <v>41</v>
      </c>
      <c r="AF730" t="n">
        <v>19</v>
      </c>
      <c r="AG730" t="n">
        <v>19</v>
      </c>
      <c r="AH730" t="n">
        <v>4</v>
      </c>
      <c r="AI730" t="n">
        <v>4</v>
      </c>
      <c r="AJ730" t="n">
        <v>20</v>
      </c>
      <c r="AK730" t="n">
        <v>20</v>
      </c>
      <c r="AL730" t="n">
        <v>7</v>
      </c>
      <c r="AM730" t="n">
        <v>7</v>
      </c>
      <c r="AN730" t="n">
        <v>0</v>
      </c>
      <c r="AO730" t="n">
        <v>0</v>
      </c>
      <c r="AP730" t="inlineStr">
        <is>
          <t>No</t>
        </is>
      </c>
      <c r="AQ730" t="inlineStr">
        <is>
          <t>Yes</t>
        </is>
      </c>
      <c r="AR730">
        <f>HYPERLINK("http://catalog.hathitrust.org/Record/001426465","HathiTrust Record")</f>
        <v/>
      </c>
      <c r="AS730">
        <f>HYPERLINK("https://creighton-primo.hosted.exlibrisgroup.com/primo-explore/search?tab=default_tab&amp;search_scope=EVERYTHING&amp;vid=01CRU&amp;lang=en_US&amp;offset=0&amp;query=any,contains,991002215299702656","Catalog Record")</f>
        <v/>
      </c>
      <c r="AT730">
        <f>HYPERLINK("http://www.worldcat.org/oclc/288531","WorldCat Record")</f>
        <v/>
      </c>
      <c r="AU730" t="inlineStr">
        <is>
          <t>455309:eng</t>
        </is>
      </c>
      <c r="AV730" t="inlineStr">
        <is>
          <t>288531</t>
        </is>
      </c>
      <c r="AW730" t="inlineStr">
        <is>
          <t>991002215299702656</t>
        </is>
      </c>
      <c r="AX730" t="inlineStr">
        <is>
          <t>991002215299702656</t>
        </is>
      </c>
      <c r="AY730" t="inlineStr">
        <is>
          <t>2264011350002656</t>
        </is>
      </c>
      <c r="AZ730" t="inlineStr">
        <is>
          <t>BOOK</t>
        </is>
      </c>
      <c r="BC730" t="inlineStr">
        <is>
          <t>32285000475045</t>
        </is>
      </c>
      <c r="BD730" t="inlineStr">
        <is>
          <t>893885979</t>
        </is>
      </c>
    </row>
    <row r="731">
      <c r="A731" t="inlineStr">
        <is>
          <t>No</t>
        </is>
      </c>
      <c r="B731" t="inlineStr">
        <is>
          <t>PS3523.E94 Z633 1973</t>
        </is>
      </c>
      <c r="C731" t="inlineStr">
        <is>
          <t>0                      PS 3523000E  94                 Z  633         1973</t>
        </is>
      </c>
      <c r="D731" t="inlineStr">
        <is>
          <t>Sinclair Lewis.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Lundquist, James.</t>
        </is>
      </c>
      <c r="L731" t="inlineStr">
        <is>
          <t>New York : Ungar, [1972, c1973]</t>
        </is>
      </c>
      <c r="M731" t="inlineStr">
        <is>
          <t>1972</t>
        </is>
      </c>
      <c r="O731" t="inlineStr">
        <is>
          <t>eng</t>
        </is>
      </c>
      <c r="P731" t="inlineStr">
        <is>
          <t>nyu</t>
        </is>
      </c>
      <c r="Q731" t="inlineStr">
        <is>
          <t>Modern literature monographs</t>
        </is>
      </c>
      <c r="R731" t="inlineStr">
        <is>
          <t xml:space="preserve">PS </t>
        </is>
      </c>
      <c r="S731" t="n">
        <v>2</v>
      </c>
      <c r="T731" t="n">
        <v>2</v>
      </c>
      <c r="U731" t="inlineStr">
        <is>
          <t>1996-04-11</t>
        </is>
      </c>
      <c r="V731" t="inlineStr">
        <is>
          <t>1996-04-11</t>
        </is>
      </c>
      <c r="W731" t="inlineStr">
        <is>
          <t>1990-03-12</t>
        </is>
      </c>
      <c r="X731" t="inlineStr">
        <is>
          <t>1990-03-12</t>
        </is>
      </c>
      <c r="Y731" t="n">
        <v>1008</v>
      </c>
      <c r="Z731" t="n">
        <v>930</v>
      </c>
      <c r="AA731" t="n">
        <v>1032</v>
      </c>
      <c r="AB731" t="n">
        <v>6</v>
      </c>
      <c r="AC731" t="n">
        <v>7</v>
      </c>
      <c r="AD731" t="n">
        <v>27</v>
      </c>
      <c r="AE731" t="n">
        <v>30</v>
      </c>
      <c r="AF731" t="n">
        <v>10</v>
      </c>
      <c r="AG731" t="n">
        <v>11</v>
      </c>
      <c r="AH731" t="n">
        <v>6</v>
      </c>
      <c r="AI731" t="n">
        <v>7</v>
      </c>
      <c r="AJ731" t="n">
        <v>16</v>
      </c>
      <c r="AK731" t="n">
        <v>16</v>
      </c>
      <c r="AL731" t="n">
        <v>3</v>
      </c>
      <c r="AM731" t="n">
        <v>4</v>
      </c>
      <c r="AN731" t="n">
        <v>0</v>
      </c>
      <c r="AO731" t="n">
        <v>0</v>
      </c>
      <c r="AP731" t="inlineStr">
        <is>
          <t>No</t>
        </is>
      </c>
      <c r="AQ731" t="inlineStr">
        <is>
          <t>Yes</t>
        </is>
      </c>
      <c r="AR731">
        <f>HYPERLINK("http://catalog.hathitrust.org/Record/000538206","HathiTrust Record")</f>
        <v/>
      </c>
      <c r="AS731">
        <f>HYPERLINK("https://creighton-primo.hosted.exlibrisgroup.com/primo-explore/search?tab=default_tab&amp;search_scope=EVERYTHING&amp;vid=01CRU&amp;lang=en_US&amp;offset=0&amp;query=any,contains,991002978779702656","Catalog Record")</f>
        <v/>
      </c>
      <c r="AT731">
        <f>HYPERLINK("http://www.worldcat.org/oclc/553521","WorldCat Record")</f>
        <v/>
      </c>
      <c r="AU731" t="inlineStr">
        <is>
          <t>457884:eng</t>
        </is>
      </c>
      <c r="AV731" t="inlineStr">
        <is>
          <t>553521</t>
        </is>
      </c>
      <c r="AW731" t="inlineStr">
        <is>
          <t>991002978779702656</t>
        </is>
      </c>
      <c r="AX731" t="inlineStr">
        <is>
          <t>991002978779702656</t>
        </is>
      </c>
      <c r="AY731" t="inlineStr">
        <is>
          <t>2259031710002656</t>
        </is>
      </c>
      <c r="AZ731" t="inlineStr">
        <is>
          <t>BOOK</t>
        </is>
      </c>
      <c r="BB731" t="inlineStr">
        <is>
          <t>9780804425629</t>
        </is>
      </c>
      <c r="BC731" t="inlineStr">
        <is>
          <t>32285000081462</t>
        </is>
      </c>
      <c r="BD731" t="inlineStr">
        <is>
          <t>893622982</t>
        </is>
      </c>
    </row>
    <row r="732">
      <c r="A732" t="inlineStr">
        <is>
          <t>No</t>
        </is>
      </c>
      <c r="B732" t="inlineStr">
        <is>
          <t>PS3523.E94 Z78</t>
        </is>
      </c>
      <c r="C732" t="inlineStr">
        <is>
          <t>0                      PS 3523000E  94                 Z  78</t>
        </is>
      </c>
      <c r="D732" t="inlineStr">
        <is>
          <t>Sinclair Lewis : an American life.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Schorer, Mark, 1908-1977.</t>
        </is>
      </c>
      <c r="L732" t="inlineStr">
        <is>
          <t>New York : McGraw-Hill, [1961]</t>
        </is>
      </c>
      <c r="M732" t="inlineStr">
        <is>
          <t>1961</t>
        </is>
      </c>
      <c r="N732" t="inlineStr">
        <is>
          <t>[1st ed.]</t>
        </is>
      </c>
      <c r="O732" t="inlineStr">
        <is>
          <t>eng</t>
        </is>
      </c>
      <c r="P732" t="inlineStr">
        <is>
          <t>nyu</t>
        </is>
      </c>
      <c r="R732" t="inlineStr">
        <is>
          <t xml:space="preserve">PS </t>
        </is>
      </c>
      <c r="S732" t="n">
        <v>3</v>
      </c>
      <c r="T732" t="n">
        <v>3</v>
      </c>
      <c r="U732" t="inlineStr">
        <is>
          <t>2004-02-10</t>
        </is>
      </c>
      <c r="V732" t="inlineStr">
        <is>
          <t>2004-02-10</t>
        </is>
      </c>
      <c r="W732" t="inlineStr">
        <is>
          <t>1990-02-27</t>
        </is>
      </c>
      <c r="X732" t="inlineStr">
        <is>
          <t>1990-02-27</t>
        </is>
      </c>
      <c r="Y732" t="n">
        <v>2512</v>
      </c>
      <c r="Z732" t="n">
        <v>2341</v>
      </c>
      <c r="AA732" t="n">
        <v>2386</v>
      </c>
      <c r="AB732" t="n">
        <v>23</v>
      </c>
      <c r="AC732" t="n">
        <v>24</v>
      </c>
      <c r="AD732" t="n">
        <v>58</v>
      </c>
      <c r="AE732" t="n">
        <v>61</v>
      </c>
      <c r="AF732" t="n">
        <v>24</v>
      </c>
      <c r="AG732" t="n">
        <v>25</v>
      </c>
      <c r="AH732" t="n">
        <v>8</v>
      </c>
      <c r="AI732" t="n">
        <v>8</v>
      </c>
      <c r="AJ732" t="n">
        <v>24</v>
      </c>
      <c r="AK732" t="n">
        <v>26</v>
      </c>
      <c r="AL732" t="n">
        <v>13</v>
      </c>
      <c r="AM732" t="n">
        <v>13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HYPERLINK("http://catalog.hathitrust.org/Record/000538225","HathiTrust Record")</f>
        <v/>
      </c>
      <c r="AS732">
        <f>HYPERLINK("https://creighton-primo.hosted.exlibrisgroup.com/primo-explore/search?tab=default_tab&amp;search_scope=EVERYTHING&amp;vid=01CRU&amp;lang=en_US&amp;offset=0&amp;query=any,contains,991002216199702656","Catalog Record")</f>
        <v/>
      </c>
      <c r="AT732">
        <f>HYPERLINK("http://www.worldcat.org/oclc/288825","WorldCat Record")</f>
        <v/>
      </c>
      <c r="AU732" t="inlineStr">
        <is>
          <t>1151418120:eng</t>
        </is>
      </c>
      <c r="AV732" t="inlineStr">
        <is>
          <t>288825</t>
        </is>
      </c>
      <c r="AW732" t="inlineStr">
        <is>
          <t>991002216199702656</t>
        </is>
      </c>
      <c r="AX732" t="inlineStr">
        <is>
          <t>991002216199702656</t>
        </is>
      </c>
      <c r="AY732" t="inlineStr">
        <is>
          <t>2264147680002656</t>
        </is>
      </c>
      <c r="AZ732" t="inlineStr">
        <is>
          <t>BOOK</t>
        </is>
      </c>
      <c r="BC732" t="inlineStr">
        <is>
          <t>32285000061779</t>
        </is>
      </c>
      <c r="BD732" t="inlineStr">
        <is>
          <t>893792173</t>
        </is>
      </c>
    </row>
    <row r="733">
      <c r="A733" t="inlineStr">
        <is>
          <t>No</t>
        </is>
      </c>
      <c r="B733" t="inlineStr">
        <is>
          <t>PS3523.I516 Z69 2000</t>
        </is>
      </c>
      <c r="C733" t="inlineStr">
        <is>
          <t>0                      PS 3523000I  516                Z  69          2000</t>
        </is>
      </c>
      <c r="D733" t="inlineStr">
        <is>
          <t>Anne Morrow Lindbergh : her life / Susan Hertog.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Hertog, Susan.</t>
        </is>
      </c>
      <c r="L733" t="inlineStr">
        <is>
          <t>New York : Anchor Books, c2000.</t>
        </is>
      </c>
      <c r="M733" t="inlineStr">
        <is>
          <t>2000</t>
        </is>
      </c>
      <c r="N733" t="inlineStr">
        <is>
          <t>1st Anchor Books ed.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PS </t>
        </is>
      </c>
      <c r="S733" t="n">
        <v>2</v>
      </c>
      <c r="T733" t="n">
        <v>2</v>
      </c>
      <c r="U733" t="inlineStr">
        <is>
          <t>2000-11-15</t>
        </is>
      </c>
      <c r="V733" t="inlineStr">
        <is>
          <t>2000-11-15</t>
        </is>
      </c>
      <c r="W733" t="inlineStr">
        <is>
          <t>2000-11-15</t>
        </is>
      </c>
      <c r="X733" t="inlineStr">
        <is>
          <t>2000-11-15</t>
        </is>
      </c>
      <c r="Y733" t="n">
        <v>107</v>
      </c>
      <c r="Z733" t="n">
        <v>100</v>
      </c>
      <c r="AA733" t="n">
        <v>1451</v>
      </c>
      <c r="AB733" t="n">
        <v>1</v>
      </c>
      <c r="AC733" t="n">
        <v>20</v>
      </c>
      <c r="AD733" t="n">
        <v>3</v>
      </c>
      <c r="AE733" t="n">
        <v>25</v>
      </c>
      <c r="AF733" t="n">
        <v>2</v>
      </c>
      <c r="AG733" t="n">
        <v>9</v>
      </c>
      <c r="AH733" t="n">
        <v>0</v>
      </c>
      <c r="AI733" t="n">
        <v>5</v>
      </c>
      <c r="AJ733" t="n">
        <v>2</v>
      </c>
      <c r="AK733" t="n">
        <v>12</v>
      </c>
      <c r="AL733" t="n">
        <v>0</v>
      </c>
      <c r="AM733" t="n">
        <v>4</v>
      </c>
      <c r="AN733" t="n">
        <v>0</v>
      </c>
      <c r="AO733" t="n">
        <v>0</v>
      </c>
      <c r="AP733" t="inlineStr">
        <is>
          <t>No</t>
        </is>
      </c>
      <c r="AQ733" t="inlineStr">
        <is>
          <t>Yes</t>
        </is>
      </c>
      <c r="AR733">
        <f>HYPERLINK("http://catalog.hathitrust.org/Record/007066687","HathiTrust Record")</f>
        <v/>
      </c>
      <c r="AS733">
        <f>HYPERLINK("https://creighton-primo.hosted.exlibrisgroup.com/primo-explore/search?tab=default_tab&amp;search_scope=EVERYTHING&amp;vid=01CRU&amp;lang=en_US&amp;offset=0&amp;query=any,contains,991003297989702656","Catalog Record")</f>
        <v/>
      </c>
      <c r="AT733">
        <f>HYPERLINK("http://www.worldcat.org/oclc/46842358","WorldCat Record")</f>
        <v/>
      </c>
      <c r="AU733" t="inlineStr">
        <is>
          <t>20280778:eng</t>
        </is>
      </c>
      <c r="AV733" t="inlineStr">
        <is>
          <t>46842358</t>
        </is>
      </c>
      <c r="AW733" t="inlineStr">
        <is>
          <t>991003297989702656</t>
        </is>
      </c>
      <c r="AX733" t="inlineStr">
        <is>
          <t>991003297989702656</t>
        </is>
      </c>
      <c r="AY733" t="inlineStr">
        <is>
          <t>2267915860002656</t>
        </is>
      </c>
      <c r="AZ733" t="inlineStr">
        <is>
          <t>BOOK</t>
        </is>
      </c>
      <c r="BB733" t="inlineStr">
        <is>
          <t>9780385720076</t>
        </is>
      </c>
      <c r="BC733" t="inlineStr">
        <is>
          <t>32285004261300</t>
        </is>
      </c>
      <c r="BD733" t="inlineStr">
        <is>
          <t>893348523</t>
        </is>
      </c>
    </row>
    <row r="734">
      <c r="A734" t="inlineStr">
        <is>
          <t>No</t>
        </is>
      </c>
      <c r="B734" t="inlineStr">
        <is>
          <t>PS3523.I58 Z58</t>
        </is>
      </c>
      <c r="C734" t="inlineStr">
        <is>
          <t>0                      PS 3523000I  58                 Z  58</t>
        </is>
      </c>
      <c r="D734" t="inlineStr">
        <is>
          <t>Profile of Vachel Lindsay. Compiled by John T. Flanagan.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Flanagan, John T. (John Theodore), 1906-1996, compiler.</t>
        </is>
      </c>
      <c r="L734" t="inlineStr">
        <is>
          <t>Columbus, Ohio, Merrill [1970]</t>
        </is>
      </c>
      <c r="M734" t="inlineStr">
        <is>
          <t>1970</t>
        </is>
      </c>
      <c r="O734" t="inlineStr">
        <is>
          <t>eng</t>
        </is>
      </c>
      <c r="P734" t="inlineStr">
        <is>
          <t>ohu</t>
        </is>
      </c>
      <c r="Q734" t="inlineStr">
        <is>
          <t>Charles E. Merrill profiles</t>
        </is>
      </c>
      <c r="R734" t="inlineStr">
        <is>
          <t xml:space="preserve">PS </t>
        </is>
      </c>
      <c r="S734" t="n">
        <v>3</v>
      </c>
      <c r="T734" t="n">
        <v>3</v>
      </c>
      <c r="U734" t="inlineStr">
        <is>
          <t>2000-09-18</t>
        </is>
      </c>
      <c r="V734" t="inlineStr">
        <is>
          <t>2000-09-18</t>
        </is>
      </c>
      <c r="W734" t="inlineStr">
        <is>
          <t>1997-06-10</t>
        </is>
      </c>
      <c r="X734" t="inlineStr">
        <is>
          <t>1997-06-10</t>
        </is>
      </c>
      <c r="Y734" t="n">
        <v>439</v>
      </c>
      <c r="Z734" t="n">
        <v>414</v>
      </c>
      <c r="AA734" t="n">
        <v>421</v>
      </c>
      <c r="AB734" t="n">
        <v>5</v>
      </c>
      <c r="AC734" t="n">
        <v>5</v>
      </c>
      <c r="AD734" t="n">
        <v>17</v>
      </c>
      <c r="AE734" t="n">
        <v>17</v>
      </c>
      <c r="AF734" t="n">
        <v>5</v>
      </c>
      <c r="AG734" t="n">
        <v>5</v>
      </c>
      <c r="AH734" t="n">
        <v>2</v>
      </c>
      <c r="AI734" t="n">
        <v>2</v>
      </c>
      <c r="AJ734" t="n">
        <v>9</v>
      </c>
      <c r="AK734" t="n">
        <v>9</v>
      </c>
      <c r="AL734" t="n">
        <v>4</v>
      </c>
      <c r="AM734" t="n">
        <v>4</v>
      </c>
      <c r="AN734" t="n">
        <v>0</v>
      </c>
      <c r="AO734" t="n">
        <v>0</v>
      </c>
      <c r="AP734" t="inlineStr">
        <is>
          <t>No</t>
        </is>
      </c>
      <c r="AQ734" t="inlineStr">
        <is>
          <t>Yes</t>
        </is>
      </c>
      <c r="AR734">
        <f>HYPERLINK("http://catalog.hathitrust.org/Record/000629144","HathiTrust Record")</f>
        <v/>
      </c>
      <c r="AS734">
        <f>HYPERLINK("https://creighton-primo.hosted.exlibrisgroup.com/primo-explore/search?tab=default_tab&amp;search_scope=EVERYTHING&amp;vid=01CRU&amp;lang=en_US&amp;offset=0&amp;query=any,contains,991000621309702656","Catalog Record")</f>
        <v/>
      </c>
      <c r="AT734">
        <f>HYPERLINK("http://www.worldcat.org/oclc/102335","WorldCat Record")</f>
        <v/>
      </c>
      <c r="AU734" t="inlineStr">
        <is>
          <t>1174734:eng</t>
        </is>
      </c>
      <c r="AV734" t="inlineStr">
        <is>
          <t>102335</t>
        </is>
      </c>
      <c r="AW734" t="inlineStr">
        <is>
          <t>991000621309702656</t>
        </is>
      </c>
      <c r="AX734" t="inlineStr">
        <is>
          <t>991000621309702656</t>
        </is>
      </c>
      <c r="AY734" t="inlineStr">
        <is>
          <t>2259789420002656</t>
        </is>
      </c>
      <c r="AZ734" t="inlineStr">
        <is>
          <t>BOOK</t>
        </is>
      </c>
      <c r="BB734" t="inlineStr">
        <is>
          <t>9780675092876</t>
        </is>
      </c>
      <c r="BC734" t="inlineStr">
        <is>
          <t>32285002786852</t>
        </is>
      </c>
      <c r="BD734" t="inlineStr">
        <is>
          <t>893689871</t>
        </is>
      </c>
    </row>
    <row r="735">
      <c r="A735" t="inlineStr">
        <is>
          <t>No</t>
        </is>
      </c>
      <c r="B735" t="inlineStr">
        <is>
          <t>PS3523.O46 Z62 1962</t>
        </is>
      </c>
      <c r="C735" t="inlineStr">
        <is>
          <t>0                      PS 3523000O  46                 Z  62          1962</t>
        </is>
      </c>
      <c r="D735" t="inlineStr">
        <is>
          <t>Lone wolf; the story of Jack London. Illustrated by Biro.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Calder-Marshall, Arthur, 1908-1992.</t>
        </is>
      </c>
      <c r="L735" t="inlineStr">
        <is>
          <t>New York, Duell, Sloan and Pearce [1962,c1961]</t>
        </is>
      </c>
      <c r="M735" t="inlineStr">
        <is>
          <t>1962</t>
        </is>
      </c>
      <c r="N735" t="inlineStr">
        <is>
          <t>[1st ed.]</t>
        </is>
      </c>
      <c r="O735" t="inlineStr">
        <is>
          <t>eng</t>
        </is>
      </c>
      <c r="P735" t="inlineStr">
        <is>
          <t xml:space="preserve">xx </t>
        </is>
      </c>
      <c r="R735" t="inlineStr">
        <is>
          <t xml:space="preserve">PS </t>
        </is>
      </c>
      <c r="S735" t="n">
        <v>4</v>
      </c>
      <c r="T735" t="n">
        <v>4</v>
      </c>
      <c r="U735" t="inlineStr">
        <is>
          <t>2000-04-03</t>
        </is>
      </c>
      <c r="V735" t="inlineStr">
        <is>
          <t>2000-04-03</t>
        </is>
      </c>
      <c r="W735" t="inlineStr">
        <is>
          <t>1997-06-10</t>
        </is>
      </c>
      <c r="X735" t="inlineStr">
        <is>
          <t>1997-06-10</t>
        </is>
      </c>
      <c r="Y735" t="n">
        <v>284</v>
      </c>
      <c r="Z735" t="n">
        <v>276</v>
      </c>
      <c r="AA735" t="n">
        <v>371</v>
      </c>
      <c r="AB735" t="n">
        <v>2</v>
      </c>
      <c r="AC735" t="n">
        <v>2</v>
      </c>
      <c r="AD735" t="n">
        <v>4</v>
      </c>
      <c r="AE735" t="n">
        <v>5</v>
      </c>
      <c r="AF735" t="n">
        <v>2</v>
      </c>
      <c r="AG735" t="n">
        <v>2</v>
      </c>
      <c r="AH735" t="n">
        <v>1</v>
      </c>
      <c r="AI735" t="n">
        <v>1</v>
      </c>
      <c r="AJ735" t="n">
        <v>1</v>
      </c>
      <c r="AK735" t="n">
        <v>2</v>
      </c>
      <c r="AL735" t="n">
        <v>1</v>
      </c>
      <c r="AM735" t="n">
        <v>1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HYPERLINK("https://creighton-primo.hosted.exlibrisgroup.com/primo-explore/search?tab=default_tab&amp;search_scope=EVERYTHING&amp;vid=01CRU&amp;lang=en_US&amp;offset=0&amp;query=any,contains,991003845489702656","Catalog Record")</f>
        <v/>
      </c>
      <c r="AT735">
        <f>HYPERLINK("http://www.worldcat.org/oclc/1629300","WorldCat Record")</f>
        <v/>
      </c>
      <c r="AU735" t="inlineStr">
        <is>
          <t>2472075:eng</t>
        </is>
      </c>
      <c r="AV735" t="inlineStr">
        <is>
          <t>1629300</t>
        </is>
      </c>
      <c r="AW735" t="inlineStr">
        <is>
          <t>991003845489702656</t>
        </is>
      </c>
      <c r="AX735" t="inlineStr">
        <is>
          <t>991003845489702656</t>
        </is>
      </c>
      <c r="AY735" t="inlineStr">
        <is>
          <t>2262717330002656</t>
        </is>
      </c>
      <c r="AZ735" t="inlineStr">
        <is>
          <t>BOOK</t>
        </is>
      </c>
      <c r="BC735" t="inlineStr">
        <is>
          <t>32285002787116</t>
        </is>
      </c>
      <c r="BD735" t="inlineStr">
        <is>
          <t>893228538</t>
        </is>
      </c>
    </row>
    <row r="736">
      <c r="A736" t="inlineStr">
        <is>
          <t>No</t>
        </is>
      </c>
      <c r="B736" t="inlineStr">
        <is>
          <t>PS3523.O46 Z84</t>
        </is>
      </c>
      <c r="C736" t="inlineStr">
        <is>
          <t>0                      PS 3523000O  46                 Z  84</t>
        </is>
      </c>
      <c r="D736" t="inlineStr">
        <is>
          <t>Jack London, a biography.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O'Connor, Richard, 1915-1975.</t>
        </is>
      </c>
      <c r="L736" t="inlineStr">
        <is>
          <t>Boston : Little, Brown, [1964]</t>
        </is>
      </c>
      <c r="M736" t="inlineStr">
        <is>
          <t>1964</t>
        </is>
      </c>
      <c r="N736" t="inlineStr">
        <is>
          <t>[1st ed.]</t>
        </is>
      </c>
      <c r="O736" t="inlineStr">
        <is>
          <t>eng</t>
        </is>
      </c>
      <c r="P736" t="inlineStr">
        <is>
          <t>mau</t>
        </is>
      </c>
      <c r="R736" t="inlineStr">
        <is>
          <t xml:space="preserve">PS </t>
        </is>
      </c>
      <c r="S736" t="n">
        <v>5</v>
      </c>
      <c r="T736" t="n">
        <v>5</v>
      </c>
      <c r="U736" t="inlineStr">
        <is>
          <t>2000-04-01</t>
        </is>
      </c>
      <c r="V736" t="inlineStr">
        <is>
          <t>2000-04-01</t>
        </is>
      </c>
      <c r="W736" t="inlineStr">
        <is>
          <t>1990-07-23</t>
        </is>
      </c>
      <c r="X736" t="inlineStr">
        <is>
          <t>1990-07-23</t>
        </is>
      </c>
      <c r="Y736" t="n">
        <v>1137</v>
      </c>
      <c r="Z736" t="n">
        <v>1075</v>
      </c>
      <c r="AA736" t="n">
        <v>1091</v>
      </c>
      <c r="AB736" t="n">
        <v>8</v>
      </c>
      <c r="AC736" t="n">
        <v>8</v>
      </c>
      <c r="AD736" t="n">
        <v>33</v>
      </c>
      <c r="AE736" t="n">
        <v>34</v>
      </c>
      <c r="AF736" t="n">
        <v>12</v>
      </c>
      <c r="AG736" t="n">
        <v>13</v>
      </c>
      <c r="AH736" t="n">
        <v>8</v>
      </c>
      <c r="AI736" t="n">
        <v>8</v>
      </c>
      <c r="AJ736" t="n">
        <v>17</v>
      </c>
      <c r="AK736" t="n">
        <v>18</v>
      </c>
      <c r="AL736" t="n">
        <v>4</v>
      </c>
      <c r="AM736" t="n">
        <v>4</v>
      </c>
      <c r="AN736" t="n">
        <v>0</v>
      </c>
      <c r="AO736" t="n">
        <v>0</v>
      </c>
      <c r="AP736" t="inlineStr">
        <is>
          <t>No</t>
        </is>
      </c>
      <c r="AQ736" t="inlineStr">
        <is>
          <t>Yes</t>
        </is>
      </c>
      <c r="AR736">
        <f>HYPERLINK("http://catalog.hathitrust.org/Record/000629729","HathiTrust Record")</f>
        <v/>
      </c>
      <c r="AS736">
        <f>HYPERLINK("https://creighton-primo.hosted.exlibrisgroup.com/primo-explore/search?tab=default_tab&amp;search_scope=EVERYTHING&amp;vid=01CRU&amp;lang=en_US&amp;offset=0&amp;query=any,contains,991002215149702656","Catalog Record")</f>
        <v/>
      </c>
      <c r="AT736">
        <f>HYPERLINK("http://www.worldcat.org/oclc/288498","WorldCat Record")</f>
        <v/>
      </c>
      <c r="AU736" t="inlineStr">
        <is>
          <t>4917781554:eng</t>
        </is>
      </c>
      <c r="AV736" t="inlineStr">
        <is>
          <t>288498</t>
        </is>
      </c>
      <c r="AW736" t="inlineStr">
        <is>
          <t>991002215149702656</t>
        </is>
      </c>
      <c r="AX736" t="inlineStr">
        <is>
          <t>991002215149702656</t>
        </is>
      </c>
      <c r="AY736" t="inlineStr">
        <is>
          <t>2263986770002656</t>
        </is>
      </c>
      <c r="AZ736" t="inlineStr">
        <is>
          <t>BOOK</t>
        </is>
      </c>
      <c r="BC736" t="inlineStr">
        <is>
          <t>32285000233220</t>
        </is>
      </c>
      <c r="BD736" t="inlineStr">
        <is>
          <t>893603322</t>
        </is>
      </c>
    </row>
    <row r="737">
      <c r="A737" t="inlineStr">
        <is>
          <t>No</t>
        </is>
      </c>
      <c r="B737" t="inlineStr">
        <is>
          <t>PS3523.O46 Z86</t>
        </is>
      </c>
      <c r="C737" t="inlineStr">
        <is>
          <t>0                      PS 3523000O  46                 Z  86</t>
        </is>
      </c>
      <c r="D737" t="inlineStr">
        <is>
          <t>Jack London : a reference guide / Joan R. Sherman.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Sherman, Joan R.</t>
        </is>
      </c>
      <c r="L737" t="inlineStr">
        <is>
          <t>Boston : G. K. Hall, c1977.</t>
        </is>
      </c>
      <c r="M737" t="inlineStr">
        <is>
          <t>1977</t>
        </is>
      </c>
      <c r="O737" t="inlineStr">
        <is>
          <t>eng</t>
        </is>
      </c>
      <c r="P737" t="inlineStr">
        <is>
          <t>mau</t>
        </is>
      </c>
      <c r="Q737" t="inlineStr">
        <is>
          <t>Reference guides in literature</t>
        </is>
      </c>
      <c r="R737" t="inlineStr">
        <is>
          <t xml:space="preserve">PS </t>
        </is>
      </c>
      <c r="S737" t="n">
        <v>2</v>
      </c>
      <c r="T737" t="n">
        <v>2</v>
      </c>
      <c r="U737" t="inlineStr">
        <is>
          <t>2000-04-01</t>
        </is>
      </c>
      <c r="V737" t="inlineStr">
        <is>
          <t>2000-04-01</t>
        </is>
      </c>
      <c r="W737" t="inlineStr">
        <is>
          <t>1992-06-10</t>
        </is>
      </c>
      <c r="X737" t="inlineStr">
        <is>
          <t>1992-06-10</t>
        </is>
      </c>
      <c r="Y737" t="n">
        <v>579</v>
      </c>
      <c r="Z737" t="n">
        <v>504</v>
      </c>
      <c r="AA737" t="n">
        <v>511</v>
      </c>
      <c r="AB737" t="n">
        <v>6</v>
      </c>
      <c r="AC737" t="n">
        <v>6</v>
      </c>
      <c r="AD737" t="n">
        <v>28</v>
      </c>
      <c r="AE737" t="n">
        <v>28</v>
      </c>
      <c r="AF737" t="n">
        <v>11</v>
      </c>
      <c r="AG737" t="n">
        <v>11</v>
      </c>
      <c r="AH737" t="n">
        <v>9</v>
      </c>
      <c r="AI737" t="n">
        <v>9</v>
      </c>
      <c r="AJ737" t="n">
        <v>10</v>
      </c>
      <c r="AK737" t="n">
        <v>10</v>
      </c>
      <c r="AL737" t="n">
        <v>5</v>
      </c>
      <c r="AM737" t="n">
        <v>5</v>
      </c>
      <c r="AN737" t="n">
        <v>0</v>
      </c>
      <c r="AO737" t="n">
        <v>0</v>
      </c>
      <c r="AP737" t="inlineStr">
        <is>
          <t>No</t>
        </is>
      </c>
      <c r="AQ737" t="inlineStr">
        <is>
          <t>Yes</t>
        </is>
      </c>
      <c r="AR737">
        <f>HYPERLINK("http://catalog.hathitrust.org/Record/000127502","HathiTrust Record")</f>
        <v/>
      </c>
      <c r="AS737">
        <f>HYPERLINK("https://creighton-primo.hosted.exlibrisgroup.com/primo-explore/search?tab=default_tab&amp;search_scope=EVERYTHING&amp;vid=01CRU&amp;lang=en_US&amp;offset=0&amp;query=any,contains,991004184889702656","Catalog Record")</f>
        <v/>
      </c>
      <c r="AT737">
        <f>HYPERLINK("http://www.worldcat.org/oclc/2614292","WorldCat Record")</f>
        <v/>
      </c>
      <c r="AU737" t="inlineStr">
        <is>
          <t>2280874000:eng</t>
        </is>
      </c>
      <c r="AV737" t="inlineStr">
        <is>
          <t>2614292</t>
        </is>
      </c>
      <c r="AW737" t="inlineStr">
        <is>
          <t>991004184889702656</t>
        </is>
      </c>
      <c r="AX737" t="inlineStr">
        <is>
          <t>991004184889702656</t>
        </is>
      </c>
      <c r="AY737" t="inlineStr">
        <is>
          <t>2266067530002656</t>
        </is>
      </c>
      <c r="AZ737" t="inlineStr">
        <is>
          <t>BOOK</t>
        </is>
      </c>
      <c r="BB737" t="inlineStr">
        <is>
          <t>9780816178490</t>
        </is>
      </c>
      <c r="BC737" t="inlineStr">
        <is>
          <t>32285001076040</t>
        </is>
      </c>
      <c r="BD737" t="inlineStr">
        <is>
          <t>893506515</t>
        </is>
      </c>
    </row>
    <row r="738">
      <c r="A738" t="inlineStr">
        <is>
          <t>No</t>
        </is>
      </c>
      <c r="B738" t="inlineStr">
        <is>
          <t>PS3523.O46 Z995 1966a</t>
        </is>
      </c>
      <c r="C738" t="inlineStr">
        <is>
          <t>0                      PS 3523000O  46                 Z  995         1966a</t>
        </is>
      </c>
      <c r="D738" t="inlineStr">
        <is>
          <t>Jack London and the Klondike : the genesis of an American writer / [by] Franklin Walker.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K738" t="inlineStr">
        <is>
          <t>Walker, Franklin, 1900-1978.</t>
        </is>
      </c>
      <c r="L738" t="inlineStr">
        <is>
          <t>San Marino, Calif. : Huntington Library, 1966.</t>
        </is>
      </c>
      <c r="M738" t="inlineStr">
        <is>
          <t>1966</t>
        </is>
      </c>
      <c r="O738" t="inlineStr">
        <is>
          <t>eng</t>
        </is>
      </c>
      <c r="P738" t="inlineStr">
        <is>
          <t>cau</t>
        </is>
      </c>
      <c r="R738" t="inlineStr">
        <is>
          <t xml:space="preserve">PS </t>
        </is>
      </c>
      <c r="S738" t="n">
        <v>5</v>
      </c>
      <c r="T738" t="n">
        <v>5</v>
      </c>
      <c r="U738" t="inlineStr">
        <is>
          <t>2000-04-03</t>
        </is>
      </c>
      <c r="V738" t="inlineStr">
        <is>
          <t>2000-04-03</t>
        </is>
      </c>
      <c r="W738" t="inlineStr">
        <is>
          <t>1990-07-23</t>
        </is>
      </c>
      <c r="X738" t="inlineStr">
        <is>
          <t>1990-07-23</t>
        </is>
      </c>
      <c r="Y738" t="n">
        <v>622</v>
      </c>
      <c r="Z738" t="n">
        <v>566</v>
      </c>
      <c r="AA738" t="n">
        <v>713</v>
      </c>
      <c r="AB738" t="n">
        <v>4</v>
      </c>
      <c r="AC738" t="n">
        <v>7</v>
      </c>
      <c r="AD738" t="n">
        <v>21</v>
      </c>
      <c r="AE738" t="n">
        <v>30</v>
      </c>
      <c r="AF738" t="n">
        <v>8</v>
      </c>
      <c r="AG738" t="n">
        <v>10</v>
      </c>
      <c r="AH738" t="n">
        <v>5</v>
      </c>
      <c r="AI738" t="n">
        <v>6</v>
      </c>
      <c r="AJ738" t="n">
        <v>10</v>
      </c>
      <c r="AK738" t="n">
        <v>17</v>
      </c>
      <c r="AL738" t="n">
        <v>3</v>
      </c>
      <c r="AM738" t="n">
        <v>5</v>
      </c>
      <c r="AN738" t="n">
        <v>0</v>
      </c>
      <c r="AO738" t="n">
        <v>0</v>
      </c>
      <c r="AP738" t="inlineStr">
        <is>
          <t>No</t>
        </is>
      </c>
      <c r="AQ738" t="inlineStr">
        <is>
          <t>Yes</t>
        </is>
      </c>
      <c r="AR738">
        <f>HYPERLINK("http://catalog.hathitrust.org/Record/002903148","HathiTrust Record")</f>
        <v/>
      </c>
      <c r="AS738">
        <f>HYPERLINK("https://creighton-primo.hosted.exlibrisgroup.com/primo-explore/search?tab=default_tab&amp;search_scope=EVERYTHING&amp;vid=01CRU&amp;lang=en_US&amp;offset=0&amp;query=any,contains,991002215179702656","Catalog Record")</f>
        <v/>
      </c>
      <c r="AT738">
        <f>HYPERLINK("http://www.worldcat.org/oclc/288500","WorldCat Record")</f>
        <v/>
      </c>
      <c r="AU738" t="inlineStr">
        <is>
          <t>347648797:eng</t>
        </is>
      </c>
      <c r="AV738" t="inlineStr">
        <is>
          <t>288500</t>
        </is>
      </c>
      <c r="AW738" t="inlineStr">
        <is>
          <t>991002215179702656</t>
        </is>
      </c>
      <c r="AX738" t="inlineStr">
        <is>
          <t>991002215179702656</t>
        </is>
      </c>
      <c r="AY738" t="inlineStr">
        <is>
          <t>2264015690002656</t>
        </is>
      </c>
      <c r="AZ738" t="inlineStr">
        <is>
          <t>BOOK</t>
        </is>
      </c>
      <c r="BC738" t="inlineStr">
        <is>
          <t>32285000233212</t>
        </is>
      </c>
      <c r="BD738" t="inlineStr">
        <is>
          <t>893517016</t>
        </is>
      </c>
    </row>
    <row r="739">
      <c r="A739" t="inlineStr">
        <is>
          <t>No</t>
        </is>
      </c>
      <c r="B739" t="inlineStr">
        <is>
          <t>PS3523.O46 Z9954 1983</t>
        </is>
      </c>
      <c r="C739" t="inlineStr">
        <is>
          <t>0                      PS 3523000O  46                 Z  9954        1983</t>
        </is>
      </c>
      <c r="D739" t="inlineStr">
        <is>
          <t>The novels of Jack London : a reappraisal / Charles N. Watson, Jr.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Watson, Charles N., 1939-</t>
        </is>
      </c>
      <c r="L739" t="inlineStr">
        <is>
          <t>Madison, Wis. : University of Wisconsin Press, 1983.</t>
        </is>
      </c>
      <c r="M739" t="inlineStr">
        <is>
          <t>1982</t>
        </is>
      </c>
      <c r="O739" t="inlineStr">
        <is>
          <t>eng</t>
        </is>
      </c>
      <c r="P739" t="inlineStr">
        <is>
          <t>wiu</t>
        </is>
      </c>
      <c r="R739" t="inlineStr">
        <is>
          <t xml:space="preserve">PS </t>
        </is>
      </c>
      <c r="S739" t="n">
        <v>3</v>
      </c>
      <c r="T739" t="n">
        <v>3</v>
      </c>
      <c r="U739" t="inlineStr">
        <is>
          <t>1997-02-23</t>
        </is>
      </c>
      <c r="V739" t="inlineStr">
        <is>
          <t>1997-02-23</t>
        </is>
      </c>
      <c r="W739" t="inlineStr">
        <is>
          <t>1992-06-10</t>
        </is>
      </c>
      <c r="X739" t="inlineStr">
        <is>
          <t>1992-06-10</t>
        </is>
      </c>
      <c r="Y739" t="n">
        <v>974</v>
      </c>
      <c r="Z739" t="n">
        <v>869</v>
      </c>
      <c r="AA739" t="n">
        <v>892</v>
      </c>
      <c r="AB739" t="n">
        <v>7</v>
      </c>
      <c r="AC739" t="n">
        <v>7</v>
      </c>
      <c r="AD739" t="n">
        <v>33</v>
      </c>
      <c r="AE739" t="n">
        <v>34</v>
      </c>
      <c r="AF739" t="n">
        <v>13</v>
      </c>
      <c r="AG739" t="n">
        <v>13</v>
      </c>
      <c r="AH739" t="n">
        <v>6</v>
      </c>
      <c r="AI739" t="n">
        <v>7</v>
      </c>
      <c r="AJ739" t="n">
        <v>14</v>
      </c>
      <c r="AK739" t="n">
        <v>15</v>
      </c>
      <c r="AL739" t="n">
        <v>6</v>
      </c>
      <c r="AM739" t="n">
        <v>6</v>
      </c>
      <c r="AN739" t="n">
        <v>0</v>
      </c>
      <c r="AO739" t="n">
        <v>0</v>
      </c>
      <c r="AP739" t="inlineStr">
        <is>
          <t>No</t>
        </is>
      </c>
      <c r="AQ739" t="inlineStr">
        <is>
          <t>Yes</t>
        </is>
      </c>
      <c r="AR739">
        <f>HYPERLINK("http://catalog.hathitrust.org/Record/000309164","HathiTrust Record")</f>
        <v/>
      </c>
      <c r="AS739">
        <f>HYPERLINK("https://creighton-primo.hosted.exlibrisgroup.com/primo-explore/search?tab=default_tab&amp;search_scope=EVERYTHING&amp;vid=01CRU&amp;lang=en_US&amp;offset=0&amp;query=any,contains,991000057489702656","Catalog Record")</f>
        <v/>
      </c>
      <c r="AT739">
        <f>HYPERLINK("http://www.worldcat.org/oclc/8709447","WorldCat Record")</f>
        <v/>
      </c>
      <c r="AU739" t="inlineStr">
        <is>
          <t>434679:eng</t>
        </is>
      </c>
      <c r="AV739" t="inlineStr">
        <is>
          <t>8709447</t>
        </is>
      </c>
      <c r="AW739" t="inlineStr">
        <is>
          <t>991000057489702656</t>
        </is>
      </c>
      <c r="AX739" t="inlineStr">
        <is>
          <t>991000057489702656</t>
        </is>
      </c>
      <c r="AY739" t="inlineStr">
        <is>
          <t>2256660840002656</t>
        </is>
      </c>
      <c r="AZ739" t="inlineStr">
        <is>
          <t>BOOK</t>
        </is>
      </c>
      <c r="BB739" t="inlineStr">
        <is>
          <t>9780299093006</t>
        </is>
      </c>
      <c r="BC739" t="inlineStr">
        <is>
          <t>32285001076065</t>
        </is>
      </c>
      <c r="BD739" t="inlineStr">
        <is>
          <t>893413036</t>
        </is>
      </c>
    </row>
    <row r="740">
      <c r="A740" t="inlineStr">
        <is>
          <t>No</t>
        </is>
      </c>
      <c r="B740" t="inlineStr">
        <is>
          <t>PS3523.O612 S6</t>
        </is>
      </c>
      <c r="C740" t="inlineStr">
        <is>
          <t>0                      PS 3523000O  612                S  6</t>
        </is>
      </c>
      <c r="D740" t="inlineStr">
        <is>
          <t>The song of the rosary; a rhythm on the fifteen mysteries of Mary's rosary. Illus. by Lee G. Hines.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Lord, Daniel A. (Daniel Aloysius), 1888-1955.</t>
        </is>
      </c>
      <c r="M740" t="inlineStr">
        <is>
          <t>1954</t>
        </is>
      </c>
      <c r="O740" t="inlineStr">
        <is>
          <t>eng</t>
        </is>
      </c>
      <c r="P740" t="inlineStr">
        <is>
          <t xml:space="preserve">xx </t>
        </is>
      </c>
      <c r="R740" t="inlineStr">
        <is>
          <t xml:space="preserve">PS </t>
        </is>
      </c>
      <c r="S740" t="n">
        <v>1</v>
      </c>
      <c r="T740" t="n">
        <v>1</v>
      </c>
      <c r="U740" t="inlineStr">
        <is>
          <t>1994-06-25</t>
        </is>
      </c>
      <c r="V740" t="inlineStr">
        <is>
          <t>1994-06-25</t>
        </is>
      </c>
      <c r="W740" t="inlineStr">
        <is>
          <t>1992-02-26</t>
        </is>
      </c>
      <c r="X740" t="inlineStr">
        <is>
          <t>1992-02-26</t>
        </is>
      </c>
      <c r="Y740" t="n">
        <v>48</v>
      </c>
      <c r="Z740" t="n">
        <v>48</v>
      </c>
      <c r="AA740" t="n">
        <v>70</v>
      </c>
      <c r="AB740" t="n">
        <v>2</v>
      </c>
      <c r="AC740" t="n">
        <v>4</v>
      </c>
      <c r="AD740" t="n">
        <v>13</v>
      </c>
      <c r="AE740" t="n">
        <v>14</v>
      </c>
      <c r="AF740" t="n">
        <v>2</v>
      </c>
      <c r="AG740" t="n">
        <v>2</v>
      </c>
      <c r="AH740" t="n">
        <v>2</v>
      </c>
      <c r="AI740" t="n">
        <v>2</v>
      </c>
      <c r="AJ740" t="n">
        <v>13</v>
      </c>
      <c r="AK740" t="n">
        <v>13</v>
      </c>
      <c r="AL740" t="n">
        <v>0</v>
      </c>
      <c r="AM740" t="n">
        <v>1</v>
      </c>
      <c r="AN740" t="n">
        <v>0</v>
      </c>
      <c r="AO740" t="n">
        <v>0</v>
      </c>
      <c r="AP740" t="inlineStr">
        <is>
          <t>No</t>
        </is>
      </c>
      <c r="AQ740" t="inlineStr">
        <is>
          <t>No</t>
        </is>
      </c>
      <c r="AS740">
        <f>HYPERLINK("https://creighton-primo.hosted.exlibrisgroup.com/primo-explore/search?tab=default_tab&amp;search_scope=EVERYTHING&amp;vid=01CRU&amp;lang=en_US&amp;offset=0&amp;query=any,contains,991004408759702656","Catalog Record")</f>
        <v/>
      </c>
      <c r="AT740">
        <f>HYPERLINK("http://www.worldcat.org/oclc/3331163","WorldCat Record")</f>
        <v/>
      </c>
      <c r="AU740" t="inlineStr">
        <is>
          <t>9810638:eng</t>
        </is>
      </c>
      <c r="AV740" t="inlineStr">
        <is>
          <t>3331163</t>
        </is>
      </c>
      <c r="AW740" t="inlineStr">
        <is>
          <t>991004408759702656</t>
        </is>
      </c>
      <c r="AX740" t="inlineStr">
        <is>
          <t>991004408759702656</t>
        </is>
      </c>
      <c r="AY740" t="inlineStr">
        <is>
          <t>2255103370002656</t>
        </is>
      </c>
      <c r="AZ740" t="inlineStr">
        <is>
          <t>BOOK</t>
        </is>
      </c>
      <c r="BC740" t="inlineStr">
        <is>
          <t>32285000949106</t>
        </is>
      </c>
      <c r="BD740" t="inlineStr">
        <is>
          <t>893718866</t>
        </is>
      </c>
    </row>
    <row r="741">
      <c r="A741" t="inlineStr">
        <is>
          <t>No</t>
        </is>
      </c>
      <c r="B741" t="inlineStr">
        <is>
          <t>PS3523.O88 Z58 1985</t>
        </is>
      </c>
      <c r="C741" t="inlineStr">
        <is>
          <t>0                      PS 3523000O  88                 Z  58          1985</t>
        </is>
      </c>
      <c r="D741" t="inlineStr">
        <is>
          <t>Amy Lowell / by Richard Benvenuto.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Benvenuto, Richard.</t>
        </is>
      </c>
      <c r="L741" t="inlineStr">
        <is>
          <t>Boston : Twayne Publishers, c1985.</t>
        </is>
      </c>
      <c r="M741" t="inlineStr">
        <is>
          <t>1985</t>
        </is>
      </c>
      <c r="O741" t="inlineStr">
        <is>
          <t>eng</t>
        </is>
      </c>
      <c r="P741" t="inlineStr">
        <is>
          <t>mau</t>
        </is>
      </c>
      <c r="Q741" t="inlineStr">
        <is>
          <t>Twayne's United States authors series ; TUSAS 483</t>
        </is>
      </c>
      <c r="R741" t="inlineStr">
        <is>
          <t xml:space="preserve">PS </t>
        </is>
      </c>
      <c r="S741" t="n">
        <v>1</v>
      </c>
      <c r="T741" t="n">
        <v>1</v>
      </c>
      <c r="U741" t="inlineStr">
        <is>
          <t>1992-06-23</t>
        </is>
      </c>
      <c r="V741" t="inlineStr">
        <is>
          <t>1992-06-23</t>
        </is>
      </c>
      <c r="W741" t="inlineStr">
        <is>
          <t>1990-11-15</t>
        </is>
      </c>
      <c r="X741" t="inlineStr">
        <is>
          <t>1990-11-15</t>
        </is>
      </c>
      <c r="Y741" t="n">
        <v>898</v>
      </c>
      <c r="Z741" t="n">
        <v>802</v>
      </c>
      <c r="AA741" t="n">
        <v>894</v>
      </c>
      <c r="AB741" t="n">
        <v>7</v>
      </c>
      <c r="AC741" t="n">
        <v>7</v>
      </c>
      <c r="AD741" t="n">
        <v>28</v>
      </c>
      <c r="AE741" t="n">
        <v>29</v>
      </c>
      <c r="AF741" t="n">
        <v>9</v>
      </c>
      <c r="AG741" t="n">
        <v>9</v>
      </c>
      <c r="AH741" t="n">
        <v>6</v>
      </c>
      <c r="AI741" t="n">
        <v>6</v>
      </c>
      <c r="AJ741" t="n">
        <v>16</v>
      </c>
      <c r="AK741" t="n">
        <v>17</v>
      </c>
      <c r="AL741" t="n">
        <v>5</v>
      </c>
      <c r="AM741" t="n">
        <v>5</v>
      </c>
      <c r="AN741" t="n">
        <v>0</v>
      </c>
      <c r="AO741" t="n">
        <v>0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HYPERLINK("http://catalog.hathitrust.org/Record/000351483","HathiTrust Record")</f>
        <v/>
      </c>
      <c r="AS741">
        <f>HYPERLINK("https://creighton-primo.hosted.exlibrisgroup.com/primo-explore/search?tab=default_tab&amp;search_scope=EVERYTHING&amp;vid=01CRU&amp;lang=en_US&amp;offset=0&amp;query=any,contains,991000592769702656","Catalog Record")</f>
        <v/>
      </c>
      <c r="AT741">
        <f>HYPERLINK("http://www.worldcat.org/oclc/11785909","WorldCat Record")</f>
        <v/>
      </c>
      <c r="AU741" t="inlineStr">
        <is>
          <t>4641220:eng</t>
        </is>
      </c>
      <c r="AV741" t="inlineStr">
        <is>
          <t>11785909</t>
        </is>
      </c>
      <c r="AW741" t="inlineStr">
        <is>
          <t>991000592769702656</t>
        </is>
      </c>
      <c r="AX741" t="inlineStr">
        <is>
          <t>991000592769702656</t>
        </is>
      </c>
      <c r="AY741" t="inlineStr">
        <is>
          <t>2255638810002656</t>
        </is>
      </c>
      <c r="AZ741" t="inlineStr">
        <is>
          <t>BOOK</t>
        </is>
      </c>
      <c r="BB741" t="inlineStr">
        <is>
          <t>9780805774368</t>
        </is>
      </c>
      <c r="BC741" t="inlineStr">
        <is>
          <t>32285000379718</t>
        </is>
      </c>
      <c r="BD741" t="inlineStr">
        <is>
          <t>893589588</t>
        </is>
      </c>
    </row>
    <row r="742">
      <c r="A742" t="inlineStr">
        <is>
          <t>No</t>
        </is>
      </c>
      <c r="B742" t="inlineStr">
        <is>
          <t>PS3523.O89 Z6</t>
        </is>
      </c>
      <c r="C742" t="inlineStr">
        <is>
          <t>0                      PS 3523000O  89                 Z  6</t>
        </is>
      </c>
      <c r="D742" t="inlineStr">
        <is>
          <t>The autobiographical myth of Robert Lowell.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Cooper, Philip, 1926-1977.</t>
        </is>
      </c>
      <c r="L742" t="inlineStr">
        <is>
          <t>Chapel Hill : University of North Carolina Press, [1970]</t>
        </is>
      </c>
      <c r="M742" t="inlineStr">
        <is>
          <t>1970</t>
        </is>
      </c>
      <c r="O742" t="inlineStr">
        <is>
          <t>eng</t>
        </is>
      </c>
      <c r="P742" t="inlineStr">
        <is>
          <t>ncu</t>
        </is>
      </c>
      <c r="R742" t="inlineStr">
        <is>
          <t xml:space="preserve">PS </t>
        </is>
      </c>
      <c r="S742" t="n">
        <v>3</v>
      </c>
      <c r="T742" t="n">
        <v>3</v>
      </c>
      <c r="U742" t="inlineStr">
        <is>
          <t>2002-11-21</t>
        </is>
      </c>
      <c r="V742" t="inlineStr">
        <is>
          <t>2002-11-21</t>
        </is>
      </c>
      <c r="W742" t="inlineStr">
        <is>
          <t>1990-10-05</t>
        </is>
      </c>
      <c r="X742" t="inlineStr">
        <is>
          <t>1990-10-05</t>
        </is>
      </c>
      <c r="Y742" t="n">
        <v>908</v>
      </c>
      <c r="Z742" t="n">
        <v>780</v>
      </c>
      <c r="AA742" t="n">
        <v>797</v>
      </c>
      <c r="AB742" t="n">
        <v>9</v>
      </c>
      <c r="AC742" t="n">
        <v>9</v>
      </c>
      <c r="AD742" t="n">
        <v>44</v>
      </c>
      <c r="AE742" t="n">
        <v>45</v>
      </c>
      <c r="AF742" t="n">
        <v>17</v>
      </c>
      <c r="AG742" t="n">
        <v>18</v>
      </c>
      <c r="AH742" t="n">
        <v>9</v>
      </c>
      <c r="AI742" t="n">
        <v>9</v>
      </c>
      <c r="AJ742" t="n">
        <v>21</v>
      </c>
      <c r="AK742" t="n">
        <v>21</v>
      </c>
      <c r="AL742" t="n">
        <v>8</v>
      </c>
      <c r="AM742" t="n">
        <v>8</v>
      </c>
      <c r="AN742" t="n">
        <v>0</v>
      </c>
      <c r="AO742" t="n">
        <v>0</v>
      </c>
      <c r="AP742" t="inlineStr">
        <is>
          <t>No</t>
        </is>
      </c>
      <c r="AQ742" t="inlineStr">
        <is>
          <t>Yes</t>
        </is>
      </c>
      <c r="AR742">
        <f>HYPERLINK("http://catalog.hathitrust.org/Record/000629650","HathiTrust Record")</f>
        <v/>
      </c>
      <c r="AS742">
        <f>HYPERLINK("https://creighton-primo.hosted.exlibrisgroup.com/primo-explore/search?tab=default_tab&amp;search_scope=EVERYTHING&amp;vid=01CRU&amp;lang=en_US&amp;offset=0&amp;query=any,contains,991000620979702656","Catalog Record")</f>
        <v/>
      </c>
      <c r="AT742">
        <f>HYPERLINK("http://www.worldcat.org/oclc/102187","WorldCat Record")</f>
        <v/>
      </c>
      <c r="AU742" t="inlineStr">
        <is>
          <t>20462253:eng</t>
        </is>
      </c>
      <c r="AV742" t="inlineStr">
        <is>
          <t>102187</t>
        </is>
      </c>
      <c r="AW742" t="inlineStr">
        <is>
          <t>991000620979702656</t>
        </is>
      </c>
      <c r="AX742" t="inlineStr">
        <is>
          <t>991000620979702656</t>
        </is>
      </c>
      <c r="AY742" t="inlineStr">
        <is>
          <t>2261713240002656</t>
        </is>
      </c>
      <c r="AZ742" t="inlineStr">
        <is>
          <t>BOOK</t>
        </is>
      </c>
      <c r="BB742" t="inlineStr">
        <is>
          <t>9780807811474</t>
        </is>
      </c>
      <c r="BC742" t="inlineStr">
        <is>
          <t>32285000332774</t>
        </is>
      </c>
      <c r="BD742" t="inlineStr">
        <is>
          <t>893351591</t>
        </is>
      </c>
    </row>
    <row r="743">
      <c r="A743" t="inlineStr">
        <is>
          <t>No</t>
        </is>
      </c>
      <c r="B743" t="inlineStr">
        <is>
          <t>PS3523.O89 Z63 1970</t>
        </is>
      </c>
      <c r="C743" t="inlineStr">
        <is>
          <t>0                      PS 3523000O  89                 Z  63          1970</t>
        </is>
      </c>
      <c r="D743" t="inlineStr">
        <is>
          <t>The public poetry of Robert Lowell.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Cosgrave, Patrick, 1941-</t>
        </is>
      </c>
      <c r="L743" t="inlineStr">
        <is>
          <t>London : V. Gollancz, 1970.</t>
        </is>
      </c>
      <c r="M743" t="inlineStr">
        <is>
          <t>1970</t>
        </is>
      </c>
      <c r="O743" t="inlineStr">
        <is>
          <t>eng</t>
        </is>
      </c>
      <c r="P743" t="inlineStr">
        <is>
          <t>enk</t>
        </is>
      </c>
      <c r="R743" t="inlineStr">
        <is>
          <t xml:space="preserve">PS </t>
        </is>
      </c>
      <c r="S743" t="n">
        <v>3</v>
      </c>
      <c r="T743" t="n">
        <v>3</v>
      </c>
      <c r="U743" t="inlineStr">
        <is>
          <t>1992-10-05</t>
        </is>
      </c>
      <c r="V743" t="inlineStr">
        <is>
          <t>1992-10-05</t>
        </is>
      </c>
      <c r="W743" t="inlineStr">
        <is>
          <t>1990-09-06</t>
        </is>
      </c>
      <c r="X743" t="inlineStr">
        <is>
          <t>1990-09-06</t>
        </is>
      </c>
      <c r="Y743" t="n">
        <v>300</v>
      </c>
      <c r="Z743" t="n">
        <v>175</v>
      </c>
      <c r="AA743" t="n">
        <v>568</v>
      </c>
      <c r="AB743" t="n">
        <v>2</v>
      </c>
      <c r="AC743" t="n">
        <v>3</v>
      </c>
      <c r="AD743" t="n">
        <v>8</v>
      </c>
      <c r="AE743" t="n">
        <v>23</v>
      </c>
      <c r="AF743" t="n">
        <v>2</v>
      </c>
      <c r="AG743" t="n">
        <v>7</v>
      </c>
      <c r="AH743" t="n">
        <v>2</v>
      </c>
      <c r="AI743" t="n">
        <v>6</v>
      </c>
      <c r="AJ743" t="n">
        <v>5</v>
      </c>
      <c r="AK743" t="n">
        <v>13</v>
      </c>
      <c r="AL743" t="n">
        <v>1</v>
      </c>
      <c r="AM743" t="n">
        <v>2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HYPERLINK("http://catalog.hathitrust.org/Record/000629654","HathiTrust Record")</f>
        <v/>
      </c>
      <c r="AS743">
        <f>HYPERLINK("https://creighton-primo.hosted.exlibrisgroup.com/primo-explore/search?tab=default_tab&amp;search_scope=EVERYTHING&amp;vid=01CRU&amp;lang=en_US&amp;offset=0&amp;query=any,contains,991000718369702656","Catalog Record")</f>
        <v/>
      </c>
      <c r="AT743">
        <f>HYPERLINK("http://www.worldcat.org/oclc/125755","WorldCat Record")</f>
        <v/>
      </c>
      <c r="AU743" t="inlineStr">
        <is>
          <t>351025548:eng</t>
        </is>
      </c>
      <c r="AV743" t="inlineStr">
        <is>
          <t>125755</t>
        </is>
      </c>
      <c r="AW743" t="inlineStr">
        <is>
          <t>991000718369702656</t>
        </is>
      </c>
      <c r="AX743" t="inlineStr">
        <is>
          <t>991000718369702656</t>
        </is>
      </c>
      <c r="AY743" t="inlineStr">
        <is>
          <t>2260307340002656</t>
        </is>
      </c>
      <c r="AZ743" t="inlineStr">
        <is>
          <t>BOOK</t>
        </is>
      </c>
      <c r="BB743" t="inlineStr">
        <is>
          <t>9780575005396</t>
        </is>
      </c>
      <c r="BC743" t="inlineStr">
        <is>
          <t>32285000300664</t>
        </is>
      </c>
      <c r="BD743" t="inlineStr">
        <is>
          <t>893890972</t>
        </is>
      </c>
    </row>
    <row r="744">
      <c r="A744" t="inlineStr">
        <is>
          <t>No</t>
        </is>
      </c>
      <c r="B744" t="inlineStr">
        <is>
          <t>PS3523.O89 Z66</t>
        </is>
      </c>
      <c r="C744" t="inlineStr">
        <is>
          <t>0                      PS 3523000O  89                 Z  66</t>
        </is>
      </c>
      <c r="D744" t="inlineStr">
        <is>
          <t>Robert Lowell / by Richard J. Fein.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Yes</t>
        </is>
      </c>
      <c r="J744" t="inlineStr">
        <is>
          <t>0</t>
        </is>
      </c>
      <c r="K744" t="inlineStr">
        <is>
          <t>Fein, Richard J., 1929-</t>
        </is>
      </c>
      <c r="L744" t="inlineStr">
        <is>
          <t>New York : Twayne Publishers, [1970]</t>
        </is>
      </c>
      <c r="M744" t="inlineStr">
        <is>
          <t>1970</t>
        </is>
      </c>
      <c r="O744" t="inlineStr">
        <is>
          <t>eng</t>
        </is>
      </c>
      <c r="P744" t="inlineStr">
        <is>
          <t>nyu</t>
        </is>
      </c>
      <c r="Q744" t="inlineStr">
        <is>
          <t>Twayne's United States authors series ; TUSAS 176</t>
        </is>
      </c>
      <c r="R744" t="inlineStr">
        <is>
          <t xml:space="preserve">PS </t>
        </is>
      </c>
      <c r="S744" t="n">
        <v>2</v>
      </c>
      <c r="T744" t="n">
        <v>2</v>
      </c>
      <c r="U744" t="inlineStr">
        <is>
          <t>1992-10-02</t>
        </is>
      </c>
      <c r="V744" t="inlineStr">
        <is>
          <t>1992-10-02</t>
        </is>
      </c>
      <c r="W744" t="inlineStr">
        <is>
          <t>1992-04-23</t>
        </is>
      </c>
      <c r="X744" t="inlineStr">
        <is>
          <t>1992-04-23</t>
        </is>
      </c>
      <c r="Y744" t="n">
        <v>937</v>
      </c>
      <c r="Z744" t="n">
        <v>839</v>
      </c>
      <c r="AA744" t="n">
        <v>1313</v>
      </c>
      <c r="AB744" t="n">
        <v>8</v>
      </c>
      <c r="AC744" t="n">
        <v>9</v>
      </c>
      <c r="AD744" t="n">
        <v>34</v>
      </c>
      <c r="AE744" t="n">
        <v>49</v>
      </c>
      <c r="AF744" t="n">
        <v>11</v>
      </c>
      <c r="AG744" t="n">
        <v>21</v>
      </c>
      <c r="AH744" t="n">
        <v>7</v>
      </c>
      <c r="AI744" t="n">
        <v>9</v>
      </c>
      <c r="AJ744" t="n">
        <v>17</v>
      </c>
      <c r="AK744" t="n">
        <v>23</v>
      </c>
      <c r="AL744" t="n">
        <v>7</v>
      </c>
      <c r="AM744" t="n">
        <v>8</v>
      </c>
      <c r="AN744" t="n">
        <v>0</v>
      </c>
      <c r="AO744" t="n">
        <v>0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HYPERLINK("http://catalog.hathitrust.org/Record/000002016","HathiTrust Record")</f>
        <v/>
      </c>
      <c r="AS744">
        <f>HYPERLINK("https://creighton-primo.hosted.exlibrisgroup.com/primo-explore/search?tab=default_tab&amp;search_scope=EVERYTHING&amp;vid=01CRU&amp;lang=en_US&amp;offset=0&amp;query=any,contains,991000798769702656","Catalog Record")</f>
        <v/>
      </c>
      <c r="AT744">
        <f>HYPERLINK("http://www.worldcat.org/oclc/138104","WorldCat Record")</f>
        <v/>
      </c>
      <c r="AU744" t="inlineStr">
        <is>
          <t>461649:eng</t>
        </is>
      </c>
      <c r="AV744" t="inlineStr">
        <is>
          <t>138104</t>
        </is>
      </c>
      <c r="AW744" t="inlineStr">
        <is>
          <t>991000798769702656</t>
        </is>
      </c>
      <c r="AX744" t="inlineStr">
        <is>
          <t>991000798769702656</t>
        </is>
      </c>
      <c r="AY744" t="inlineStr">
        <is>
          <t>2262331010002656</t>
        </is>
      </c>
      <c r="AZ744" t="inlineStr">
        <is>
          <t>BOOK</t>
        </is>
      </c>
      <c r="BC744" t="inlineStr">
        <is>
          <t>32285001085140</t>
        </is>
      </c>
      <c r="BD744" t="inlineStr">
        <is>
          <t>893509121</t>
        </is>
      </c>
    </row>
    <row r="745">
      <c r="A745" t="inlineStr">
        <is>
          <t>No</t>
        </is>
      </c>
      <c r="B745" t="inlineStr">
        <is>
          <t>PS3523.O89 Z66 1979</t>
        </is>
      </c>
      <c r="C745" t="inlineStr">
        <is>
          <t>0                      PS 3523000O  89                 Z  66          1979</t>
        </is>
      </c>
      <c r="D745" t="inlineStr">
        <is>
          <t>Robert Lowell / Richard J. Fein.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Yes</t>
        </is>
      </c>
      <c r="J745" t="inlineStr">
        <is>
          <t>0</t>
        </is>
      </c>
      <c r="K745" t="inlineStr">
        <is>
          <t>Fein, Richard J., 1929-</t>
        </is>
      </c>
      <c r="L745" t="inlineStr">
        <is>
          <t>Boston : Twayne Publishers, 1979.</t>
        </is>
      </c>
      <c r="M745" t="inlineStr">
        <is>
          <t>1979</t>
        </is>
      </c>
      <c r="N745" t="inlineStr">
        <is>
          <t>2d ed.</t>
        </is>
      </c>
      <c r="O745" t="inlineStr">
        <is>
          <t>eng</t>
        </is>
      </c>
      <c r="P745" t="inlineStr">
        <is>
          <t>mau</t>
        </is>
      </c>
      <c r="Q745" t="inlineStr">
        <is>
          <t>Twayne's United States authors series ; TUSAS 176</t>
        </is>
      </c>
      <c r="R745" t="inlineStr">
        <is>
          <t xml:space="preserve">PS </t>
        </is>
      </c>
      <c r="S745" t="n">
        <v>4</v>
      </c>
      <c r="T745" t="n">
        <v>4</v>
      </c>
      <c r="U745" t="inlineStr">
        <is>
          <t>2002-11-21</t>
        </is>
      </c>
      <c r="V745" t="inlineStr">
        <is>
          <t>2002-11-21</t>
        </is>
      </c>
      <c r="W745" t="inlineStr">
        <is>
          <t>1990-11-15</t>
        </is>
      </c>
      <c r="X745" t="inlineStr">
        <is>
          <t>1990-11-15</t>
        </is>
      </c>
      <c r="Y745" t="n">
        <v>953</v>
      </c>
      <c r="Z745" t="n">
        <v>864</v>
      </c>
      <c r="AA745" t="n">
        <v>1313</v>
      </c>
      <c r="AB745" t="n">
        <v>5</v>
      </c>
      <c r="AC745" t="n">
        <v>9</v>
      </c>
      <c r="AD745" t="n">
        <v>35</v>
      </c>
      <c r="AE745" t="n">
        <v>49</v>
      </c>
      <c r="AF745" t="n">
        <v>15</v>
      </c>
      <c r="AG745" t="n">
        <v>21</v>
      </c>
      <c r="AH745" t="n">
        <v>7</v>
      </c>
      <c r="AI745" t="n">
        <v>9</v>
      </c>
      <c r="AJ745" t="n">
        <v>17</v>
      </c>
      <c r="AK745" t="n">
        <v>23</v>
      </c>
      <c r="AL745" t="n">
        <v>4</v>
      </c>
      <c r="AM745" t="n">
        <v>8</v>
      </c>
      <c r="AN745" t="n">
        <v>0</v>
      </c>
      <c r="AO745" t="n">
        <v>0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HYPERLINK("http://catalog.hathitrust.org/Record/000260625","HathiTrust Record")</f>
        <v/>
      </c>
      <c r="AS745">
        <f>HYPERLINK("https://creighton-primo.hosted.exlibrisgroup.com/primo-explore/search?tab=default_tab&amp;search_scope=EVERYTHING&amp;vid=01CRU&amp;lang=en_US&amp;offset=0&amp;query=any,contains,991004700449702656","Catalog Record")</f>
        <v/>
      </c>
      <c r="AT745">
        <f>HYPERLINK("http://www.worldcat.org/oclc/4665725","WorldCat Record")</f>
        <v/>
      </c>
      <c r="AU745" t="inlineStr">
        <is>
          <t>461649:eng</t>
        </is>
      </c>
      <c r="AV745" t="inlineStr">
        <is>
          <t>4665725</t>
        </is>
      </c>
      <c r="AW745" t="inlineStr">
        <is>
          <t>991004700449702656</t>
        </is>
      </c>
      <c r="AX745" t="inlineStr">
        <is>
          <t>991004700449702656</t>
        </is>
      </c>
      <c r="AY745" t="inlineStr">
        <is>
          <t>2259452180002656</t>
        </is>
      </c>
      <c r="AZ745" t="inlineStr">
        <is>
          <t>BOOK</t>
        </is>
      </c>
      <c r="BB745" t="inlineStr">
        <is>
          <t>9780805772791</t>
        </is>
      </c>
      <c r="BC745" t="inlineStr">
        <is>
          <t>32285000379775</t>
        </is>
      </c>
      <c r="BD745" t="inlineStr">
        <is>
          <t>893889154</t>
        </is>
      </c>
    </row>
    <row r="746">
      <c r="A746" t="inlineStr">
        <is>
          <t>No</t>
        </is>
      </c>
      <c r="B746" t="inlineStr">
        <is>
          <t>PS3523.O89 Z74</t>
        </is>
      </c>
      <c r="C746" t="inlineStr">
        <is>
          <t>0                      PS 3523000O  89                 Z  74</t>
        </is>
      </c>
      <c r="D746" t="inlineStr">
        <is>
          <t>Robert Lowell, a reference guide / Steven Gould Axelrod, Helen Deese.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Axelrod, Steven Gould, 1944-</t>
        </is>
      </c>
      <c r="L746" t="inlineStr">
        <is>
          <t>Boston, Mass. : G.K. Hall, c1982.</t>
        </is>
      </c>
      <c r="M746" t="inlineStr">
        <is>
          <t>1982</t>
        </is>
      </c>
      <c r="O746" t="inlineStr">
        <is>
          <t>eng</t>
        </is>
      </c>
      <c r="P746" t="inlineStr">
        <is>
          <t>mau</t>
        </is>
      </c>
      <c r="Q746" t="inlineStr">
        <is>
          <t>A Reference guide to literature</t>
        </is>
      </c>
      <c r="R746" t="inlineStr">
        <is>
          <t xml:space="preserve">PS </t>
        </is>
      </c>
      <c r="S746" t="n">
        <v>2</v>
      </c>
      <c r="T746" t="n">
        <v>2</v>
      </c>
      <c r="U746" t="inlineStr">
        <is>
          <t>1992-10-05</t>
        </is>
      </c>
      <c r="V746" t="inlineStr">
        <is>
          <t>1992-10-05</t>
        </is>
      </c>
      <c r="W746" t="inlineStr">
        <is>
          <t>1990-11-15</t>
        </is>
      </c>
      <c r="X746" t="inlineStr">
        <is>
          <t>1990-11-15</t>
        </is>
      </c>
      <c r="Y746" t="n">
        <v>372</v>
      </c>
      <c r="Z746" t="n">
        <v>307</v>
      </c>
      <c r="AA746" t="n">
        <v>309</v>
      </c>
      <c r="AB746" t="n">
        <v>3</v>
      </c>
      <c r="AC746" t="n">
        <v>3</v>
      </c>
      <c r="AD746" t="n">
        <v>13</v>
      </c>
      <c r="AE746" t="n">
        <v>13</v>
      </c>
      <c r="AF746" t="n">
        <v>4</v>
      </c>
      <c r="AG746" t="n">
        <v>4</v>
      </c>
      <c r="AH746" t="n">
        <v>4</v>
      </c>
      <c r="AI746" t="n">
        <v>4</v>
      </c>
      <c r="AJ746" t="n">
        <v>7</v>
      </c>
      <c r="AK746" t="n">
        <v>7</v>
      </c>
      <c r="AL746" t="n">
        <v>2</v>
      </c>
      <c r="AM746" t="n">
        <v>2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HYPERLINK("http://catalog.hathitrust.org/Record/000760836","HathiTrust Record")</f>
        <v/>
      </c>
      <c r="AS746">
        <f>HYPERLINK("https://creighton-primo.hosted.exlibrisgroup.com/primo-explore/search?tab=default_tab&amp;search_scope=EVERYTHING&amp;vid=01CRU&amp;lang=en_US&amp;offset=0&amp;query=any,contains,991005172699702656","Catalog Record")</f>
        <v/>
      </c>
      <c r="AT746">
        <f>HYPERLINK("http://www.worldcat.org/oclc/7876268","WorldCat Record")</f>
        <v/>
      </c>
      <c r="AU746" t="inlineStr">
        <is>
          <t>3945675386:eng</t>
        </is>
      </c>
      <c r="AV746" t="inlineStr">
        <is>
          <t>7876268</t>
        </is>
      </c>
      <c r="AW746" t="inlineStr">
        <is>
          <t>991005172699702656</t>
        </is>
      </c>
      <c r="AX746" t="inlineStr">
        <is>
          <t>991005172699702656</t>
        </is>
      </c>
      <c r="AY746" t="inlineStr">
        <is>
          <t>2268833560002656</t>
        </is>
      </c>
      <c r="AZ746" t="inlineStr">
        <is>
          <t>BOOK</t>
        </is>
      </c>
      <c r="BB746" t="inlineStr">
        <is>
          <t>9780816178148</t>
        </is>
      </c>
      <c r="BC746" t="inlineStr">
        <is>
          <t>32285000379791</t>
        </is>
      </c>
      <c r="BD746" t="inlineStr">
        <is>
          <t>893896001</t>
        </is>
      </c>
    </row>
    <row r="747">
      <c r="A747" t="inlineStr">
        <is>
          <t>No</t>
        </is>
      </c>
      <c r="B747" t="inlineStr">
        <is>
          <t>PS3523.O89 Z77</t>
        </is>
      </c>
      <c r="C747" t="inlineStr">
        <is>
          <t>0                      PS 3523000O  89                 Z  77</t>
        </is>
      </c>
      <c r="D747" t="inlineStr">
        <is>
          <t>The poetic themes of Robert Lowell.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Mazzaro, Jerome.</t>
        </is>
      </c>
      <c r="L747" t="inlineStr">
        <is>
          <t>Ann Arbor : University of Michigan Press, [1965]</t>
        </is>
      </c>
      <c r="M747" t="inlineStr">
        <is>
          <t>1965</t>
        </is>
      </c>
      <c r="O747" t="inlineStr">
        <is>
          <t>eng</t>
        </is>
      </c>
      <c r="P747" t="inlineStr">
        <is>
          <t>miu</t>
        </is>
      </c>
      <c r="R747" t="inlineStr">
        <is>
          <t xml:space="preserve">PS </t>
        </is>
      </c>
      <c r="S747" t="n">
        <v>3</v>
      </c>
      <c r="T747" t="n">
        <v>3</v>
      </c>
      <c r="U747" t="inlineStr">
        <is>
          <t>1992-09-28</t>
        </is>
      </c>
      <c r="V747" t="inlineStr">
        <is>
          <t>1992-09-28</t>
        </is>
      </c>
      <c r="W747" t="inlineStr">
        <is>
          <t>1991-02-06</t>
        </is>
      </c>
      <c r="X747" t="inlineStr">
        <is>
          <t>1991-02-06</t>
        </is>
      </c>
      <c r="Y747" t="n">
        <v>1115</v>
      </c>
      <c r="Z747" t="n">
        <v>980</v>
      </c>
      <c r="AA747" t="n">
        <v>987</v>
      </c>
      <c r="AB747" t="n">
        <v>5</v>
      </c>
      <c r="AC747" t="n">
        <v>5</v>
      </c>
      <c r="AD747" t="n">
        <v>46</v>
      </c>
      <c r="AE747" t="n">
        <v>46</v>
      </c>
      <c r="AF747" t="n">
        <v>23</v>
      </c>
      <c r="AG747" t="n">
        <v>23</v>
      </c>
      <c r="AH747" t="n">
        <v>7</v>
      </c>
      <c r="AI747" t="n">
        <v>7</v>
      </c>
      <c r="AJ747" t="n">
        <v>23</v>
      </c>
      <c r="AK747" t="n">
        <v>23</v>
      </c>
      <c r="AL747" t="n">
        <v>4</v>
      </c>
      <c r="AM747" t="n">
        <v>4</v>
      </c>
      <c r="AN747" t="n">
        <v>0</v>
      </c>
      <c r="AO747" t="n">
        <v>0</v>
      </c>
      <c r="AP747" t="inlineStr">
        <is>
          <t>No</t>
        </is>
      </c>
      <c r="AQ747" t="inlineStr">
        <is>
          <t>Yes</t>
        </is>
      </c>
      <c r="AR747">
        <f>HYPERLINK("http://catalog.hathitrust.org/Record/000629668","HathiTrust Record")</f>
        <v/>
      </c>
      <c r="AS747">
        <f>HYPERLINK("https://creighton-primo.hosted.exlibrisgroup.com/primo-explore/search?tab=default_tab&amp;search_scope=EVERYTHING&amp;vid=01CRU&amp;lang=en_US&amp;offset=0&amp;query=any,contains,991001939769702656","Catalog Record")</f>
        <v/>
      </c>
      <c r="AT747">
        <f>HYPERLINK("http://www.worldcat.org/oclc/250671","WorldCat Record")</f>
        <v/>
      </c>
      <c r="AU747" t="inlineStr">
        <is>
          <t>1337381:eng</t>
        </is>
      </c>
      <c r="AV747" t="inlineStr">
        <is>
          <t>250671</t>
        </is>
      </c>
      <c r="AW747" t="inlineStr">
        <is>
          <t>991001939769702656</t>
        </is>
      </c>
      <c r="AX747" t="inlineStr">
        <is>
          <t>991001939769702656</t>
        </is>
      </c>
      <c r="AY747" t="inlineStr">
        <is>
          <t>2266986810002656</t>
        </is>
      </c>
      <c r="AZ747" t="inlineStr">
        <is>
          <t>BOOK</t>
        </is>
      </c>
      <c r="BC747" t="inlineStr">
        <is>
          <t>32285000473339</t>
        </is>
      </c>
      <c r="BD747" t="inlineStr">
        <is>
          <t>893596858</t>
        </is>
      </c>
    </row>
    <row r="748">
      <c r="A748" t="inlineStr">
        <is>
          <t>No</t>
        </is>
      </c>
      <c r="B748" t="inlineStr">
        <is>
          <t>PS3523.O89 Z8</t>
        </is>
      </c>
      <c r="C748" t="inlineStr">
        <is>
          <t>0                      PS 3523000O  89                 Z  8</t>
        </is>
      </c>
      <c r="D748" t="inlineStr">
        <is>
          <t>Robert Lowell, a collection of critical essays.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K748" t="inlineStr">
        <is>
          <t>Parkinson, Thomas Francis, 1920-1992 compiler.</t>
        </is>
      </c>
      <c r="L748" t="inlineStr">
        <is>
          <t>Englewood Cliffs, N.J. : Prentice-Hall, [1968]</t>
        </is>
      </c>
      <c r="M748" t="inlineStr">
        <is>
          <t>1968</t>
        </is>
      </c>
      <c r="O748" t="inlineStr">
        <is>
          <t>eng</t>
        </is>
      </c>
      <c r="P748" t="inlineStr">
        <is>
          <t>nju</t>
        </is>
      </c>
      <c r="Q748" t="inlineStr">
        <is>
          <t>A Spectrum book.</t>
        </is>
      </c>
      <c r="R748" t="inlineStr">
        <is>
          <t xml:space="preserve">PS </t>
        </is>
      </c>
      <c r="S748" t="n">
        <v>2</v>
      </c>
      <c r="T748" t="n">
        <v>2</v>
      </c>
      <c r="U748" t="inlineStr">
        <is>
          <t>1992-09-28</t>
        </is>
      </c>
      <c r="V748" t="inlineStr">
        <is>
          <t>1992-09-28</t>
        </is>
      </c>
      <c r="W748" t="inlineStr">
        <is>
          <t>1990-10-08</t>
        </is>
      </c>
      <c r="X748" t="inlineStr">
        <is>
          <t>1990-10-08</t>
        </is>
      </c>
      <c r="Y748" t="n">
        <v>1633</v>
      </c>
      <c r="Z748" t="n">
        <v>1485</v>
      </c>
      <c r="AA748" t="n">
        <v>1533</v>
      </c>
      <c r="AB748" t="n">
        <v>13</v>
      </c>
      <c r="AC748" t="n">
        <v>13</v>
      </c>
      <c r="AD748" t="n">
        <v>52</v>
      </c>
      <c r="AE748" t="n">
        <v>53</v>
      </c>
      <c r="AF748" t="n">
        <v>22</v>
      </c>
      <c r="AG748" t="n">
        <v>23</v>
      </c>
      <c r="AH748" t="n">
        <v>8</v>
      </c>
      <c r="AI748" t="n">
        <v>8</v>
      </c>
      <c r="AJ748" t="n">
        <v>23</v>
      </c>
      <c r="AK748" t="n">
        <v>23</v>
      </c>
      <c r="AL748" t="n">
        <v>11</v>
      </c>
      <c r="AM748" t="n">
        <v>11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HYPERLINK("http://catalog.hathitrust.org/Record/000629674","HathiTrust Record")</f>
        <v/>
      </c>
      <c r="AS748">
        <f>HYPERLINK("https://creighton-primo.hosted.exlibrisgroup.com/primo-explore/search?tab=default_tab&amp;search_scope=EVERYTHING&amp;vid=01CRU&amp;lang=en_US&amp;offset=0&amp;query=any,contains,991002766519702656","Catalog Record")</f>
        <v/>
      </c>
      <c r="AT748">
        <f>HYPERLINK("http://www.worldcat.org/oclc/435124","WorldCat Record")</f>
        <v/>
      </c>
      <c r="AU748" t="inlineStr">
        <is>
          <t>820906308:eng</t>
        </is>
      </c>
      <c r="AV748" t="inlineStr">
        <is>
          <t>435124</t>
        </is>
      </c>
      <c r="AW748" t="inlineStr">
        <is>
          <t>991002766519702656</t>
        </is>
      </c>
      <c r="AX748" t="inlineStr">
        <is>
          <t>991002766519702656</t>
        </is>
      </c>
      <c r="AY748" t="inlineStr">
        <is>
          <t>2269501690002656</t>
        </is>
      </c>
      <c r="AZ748" t="inlineStr">
        <is>
          <t>BOOK</t>
        </is>
      </c>
      <c r="BC748" t="inlineStr">
        <is>
          <t>32285000334564</t>
        </is>
      </c>
      <c r="BD748" t="inlineStr">
        <is>
          <t>893427991</t>
        </is>
      </c>
    </row>
    <row r="749">
      <c r="A749" t="inlineStr">
        <is>
          <t>No</t>
        </is>
      </c>
      <c r="B749" t="inlineStr">
        <is>
          <t>PS3523.O89 Z82</t>
        </is>
      </c>
      <c r="C749" t="inlineStr">
        <is>
          <t>0                      PS 3523000O  89                 Z  82</t>
        </is>
      </c>
      <c r="D749" t="inlineStr">
        <is>
          <t>The poetic art of Robert Lowell / [by] Marjorie G. Perloff.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K749" t="inlineStr">
        <is>
          <t>Perloff, Marjorie.</t>
        </is>
      </c>
      <c r="L749" t="inlineStr">
        <is>
          <t>Ithaca : Cornell University Press, [1973]</t>
        </is>
      </c>
      <c r="M749" t="inlineStr">
        <is>
          <t>1973</t>
        </is>
      </c>
      <c r="O749" t="inlineStr">
        <is>
          <t>eng</t>
        </is>
      </c>
      <c r="P749" t="inlineStr">
        <is>
          <t>nyu</t>
        </is>
      </c>
      <c r="R749" t="inlineStr">
        <is>
          <t xml:space="preserve">PS </t>
        </is>
      </c>
      <c r="S749" t="n">
        <v>2</v>
      </c>
      <c r="T749" t="n">
        <v>2</v>
      </c>
      <c r="U749" t="inlineStr">
        <is>
          <t>2005-03-01</t>
        </is>
      </c>
      <c r="V749" t="inlineStr">
        <is>
          <t>2005-03-01</t>
        </is>
      </c>
      <c r="W749" t="inlineStr">
        <is>
          <t>1992-10-16</t>
        </is>
      </c>
      <c r="X749" t="inlineStr">
        <is>
          <t>1992-10-16</t>
        </is>
      </c>
      <c r="Y749" t="n">
        <v>1008</v>
      </c>
      <c r="Z749" t="n">
        <v>840</v>
      </c>
      <c r="AA749" t="n">
        <v>846</v>
      </c>
      <c r="AB749" t="n">
        <v>6</v>
      </c>
      <c r="AC749" t="n">
        <v>6</v>
      </c>
      <c r="AD749" t="n">
        <v>41</v>
      </c>
      <c r="AE749" t="n">
        <v>41</v>
      </c>
      <c r="AF749" t="n">
        <v>17</v>
      </c>
      <c r="AG749" t="n">
        <v>17</v>
      </c>
      <c r="AH749" t="n">
        <v>8</v>
      </c>
      <c r="AI749" t="n">
        <v>8</v>
      </c>
      <c r="AJ749" t="n">
        <v>22</v>
      </c>
      <c r="AK749" t="n">
        <v>22</v>
      </c>
      <c r="AL749" t="n">
        <v>5</v>
      </c>
      <c r="AM749" t="n">
        <v>5</v>
      </c>
      <c r="AN749" t="n">
        <v>0</v>
      </c>
      <c r="AO749" t="n">
        <v>0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HYPERLINK("http://catalog.hathitrust.org/Record/000629679","HathiTrust Record")</f>
        <v/>
      </c>
      <c r="AS749">
        <f>HYPERLINK("https://creighton-primo.hosted.exlibrisgroup.com/primo-explore/search?tab=default_tab&amp;search_scope=EVERYTHING&amp;vid=01CRU&amp;lang=en_US&amp;offset=0&amp;query=any,contains,991003026989702656","Catalog Record")</f>
        <v/>
      </c>
      <c r="AT749">
        <f>HYPERLINK("http://www.worldcat.org/oclc/590740","WorldCat Record")</f>
        <v/>
      </c>
      <c r="AU749" t="inlineStr">
        <is>
          <t>1777878:eng</t>
        </is>
      </c>
      <c r="AV749" t="inlineStr">
        <is>
          <t>590740</t>
        </is>
      </c>
      <c r="AW749" t="inlineStr">
        <is>
          <t>991003026989702656</t>
        </is>
      </c>
      <c r="AX749" t="inlineStr">
        <is>
          <t>991003026989702656</t>
        </is>
      </c>
      <c r="AY749" t="inlineStr">
        <is>
          <t>2265541930002656</t>
        </is>
      </c>
      <c r="AZ749" t="inlineStr">
        <is>
          <t>BOOK</t>
        </is>
      </c>
      <c r="BB749" t="inlineStr">
        <is>
          <t>9780801407710</t>
        </is>
      </c>
      <c r="BC749" t="inlineStr">
        <is>
          <t>32285001350346</t>
        </is>
      </c>
      <c r="BD749" t="inlineStr">
        <is>
          <t>893511500</t>
        </is>
      </c>
    </row>
    <row r="750">
      <c r="A750" t="inlineStr">
        <is>
          <t>No</t>
        </is>
      </c>
      <c r="B750" t="inlineStr">
        <is>
          <t>PS3523.O89 Z83</t>
        </is>
      </c>
      <c r="C750" t="inlineStr">
        <is>
          <t>0                      PS 3523000O  89                 Z  83</t>
        </is>
      </c>
      <c r="D750" t="inlineStr">
        <is>
          <t>Critics on Robert Lowell / edited by Jonathan Price.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K750" t="inlineStr">
        <is>
          <t>Price, Jonathan, 1941-, compiler.</t>
        </is>
      </c>
      <c r="L750" t="inlineStr">
        <is>
          <t>Coral Gables, Fla. : University of Miami Press, [1972]</t>
        </is>
      </c>
      <c r="M750" t="inlineStr">
        <is>
          <t>1972</t>
        </is>
      </c>
      <c r="O750" t="inlineStr">
        <is>
          <t>eng</t>
        </is>
      </c>
      <c r="P750" t="inlineStr">
        <is>
          <t>flu</t>
        </is>
      </c>
      <c r="Q750" t="inlineStr">
        <is>
          <t>Readings in literary criticism ; 17</t>
        </is>
      </c>
      <c r="R750" t="inlineStr">
        <is>
          <t xml:space="preserve">PS </t>
        </is>
      </c>
      <c r="S750" t="n">
        <v>2</v>
      </c>
      <c r="T750" t="n">
        <v>2</v>
      </c>
      <c r="U750" t="inlineStr">
        <is>
          <t>1992-12-04</t>
        </is>
      </c>
      <c r="V750" t="inlineStr">
        <is>
          <t>1992-12-04</t>
        </is>
      </c>
      <c r="W750" t="inlineStr">
        <is>
          <t>1990-09-06</t>
        </is>
      </c>
      <c r="X750" t="inlineStr">
        <is>
          <t>1990-09-06</t>
        </is>
      </c>
      <c r="Y750" t="n">
        <v>784</v>
      </c>
      <c r="Z750" t="n">
        <v>713</v>
      </c>
      <c r="AA750" t="n">
        <v>731</v>
      </c>
      <c r="AB750" t="n">
        <v>6</v>
      </c>
      <c r="AC750" t="n">
        <v>6</v>
      </c>
      <c r="AD750" t="n">
        <v>34</v>
      </c>
      <c r="AE750" t="n">
        <v>34</v>
      </c>
      <c r="AF750" t="n">
        <v>16</v>
      </c>
      <c r="AG750" t="n">
        <v>16</v>
      </c>
      <c r="AH750" t="n">
        <v>5</v>
      </c>
      <c r="AI750" t="n">
        <v>5</v>
      </c>
      <c r="AJ750" t="n">
        <v>17</v>
      </c>
      <c r="AK750" t="n">
        <v>17</v>
      </c>
      <c r="AL750" t="n">
        <v>5</v>
      </c>
      <c r="AM750" t="n">
        <v>5</v>
      </c>
      <c r="AN750" t="n">
        <v>0</v>
      </c>
      <c r="AO750" t="n">
        <v>0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HYPERLINK("http://catalog.hathitrust.org/Record/000632120","HathiTrust Record")</f>
        <v/>
      </c>
      <c r="AS750">
        <f>HYPERLINK("https://creighton-primo.hosted.exlibrisgroup.com/primo-explore/search?tab=default_tab&amp;search_scope=EVERYTHING&amp;vid=01CRU&amp;lang=en_US&amp;offset=0&amp;query=any,contains,991002657369702656","Catalog Record")</f>
        <v/>
      </c>
      <c r="AT750">
        <f>HYPERLINK("http://www.worldcat.org/oclc/389907","WorldCat Record")</f>
        <v/>
      </c>
      <c r="AU750" t="inlineStr">
        <is>
          <t>117982866:eng</t>
        </is>
      </c>
      <c r="AV750" t="inlineStr">
        <is>
          <t>389907</t>
        </is>
      </c>
      <c r="AW750" t="inlineStr">
        <is>
          <t>991002657369702656</t>
        </is>
      </c>
      <c r="AX750" t="inlineStr">
        <is>
          <t>991002657369702656</t>
        </is>
      </c>
      <c r="AY750" t="inlineStr">
        <is>
          <t>2256529930002656</t>
        </is>
      </c>
      <c r="AZ750" t="inlineStr">
        <is>
          <t>BOOK</t>
        </is>
      </c>
      <c r="BB750" t="inlineStr">
        <is>
          <t>9780870242106</t>
        </is>
      </c>
      <c r="BC750" t="inlineStr">
        <is>
          <t>32285000300656</t>
        </is>
      </c>
      <c r="BD750" t="inlineStr">
        <is>
          <t>893530293</t>
        </is>
      </c>
    </row>
    <row r="751">
      <c r="A751" t="inlineStr">
        <is>
          <t>No</t>
        </is>
      </c>
      <c r="B751" t="inlineStr">
        <is>
          <t>PS3523.O89 Z835 1984</t>
        </is>
      </c>
      <c r="C751" t="inlineStr">
        <is>
          <t>0                      PS 3523000O  89                 Z  835         1984</t>
        </is>
      </c>
      <c r="D751" t="inlineStr">
        <is>
          <t>Robert Lowell, the poet and his critics / Norma Procopiow.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Procopiow, Norma.</t>
        </is>
      </c>
      <c r="L751" t="inlineStr">
        <is>
          <t>Chicago : American Library Association, 1984.</t>
        </is>
      </c>
      <c r="M751" t="inlineStr">
        <is>
          <t>1984</t>
        </is>
      </c>
      <c r="O751" t="inlineStr">
        <is>
          <t>eng</t>
        </is>
      </c>
      <c r="P751" t="inlineStr">
        <is>
          <t>ilu</t>
        </is>
      </c>
      <c r="Q751" t="inlineStr">
        <is>
          <t>The Poet and his critics</t>
        </is>
      </c>
      <c r="R751" t="inlineStr">
        <is>
          <t xml:space="preserve">PS </t>
        </is>
      </c>
      <c r="S751" t="n">
        <v>3</v>
      </c>
      <c r="T751" t="n">
        <v>3</v>
      </c>
      <c r="U751" t="inlineStr">
        <is>
          <t>1992-12-04</t>
        </is>
      </c>
      <c r="V751" t="inlineStr">
        <is>
          <t>1992-12-04</t>
        </is>
      </c>
      <c r="W751" t="inlineStr">
        <is>
          <t>1990-11-15</t>
        </is>
      </c>
      <c r="X751" t="inlineStr">
        <is>
          <t>1990-11-15</t>
        </is>
      </c>
      <c r="Y751" t="n">
        <v>679</v>
      </c>
      <c r="Z751" t="n">
        <v>601</v>
      </c>
      <c r="AA751" t="n">
        <v>611</v>
      </c>
      <c r="AB751" t="n">
        <v>5</v>
      </c>
      <c r="AC751" t="n">
        <v>5</v>
      </c>
      <c r="AD751" t="n">
        <v>28</v>
      </c>
      <c r="AE751" t="n">
        <v>28</v>
      </c>
      <c r="AF751" t="n">
        <v>15</v>
      </c>
      <c r="AG751" t="n">
        <v>15</v>
      </c>
      <c r="AH751" t="n">
        <v>5</v>
      </c>
      <c r="AI751" t="n">
        <v>5</v>
      </c>
      <c r="AJ751" t="n">
        <v>13</v>
      </c>
      <c r="AK751" t="n">
        <v>13</v>
      </c>
      <c r="AL751" t="n">
        <v>4</v>
      </c>
      <c r="AM751" t="n">
        <v>4</v>
      </c>
      <c r="AN751" t="n">
        <v>0</v>
      </c>
      <c r="AO751" t="n">
        <v>0</v>
      </c>
      <c r="AP751" t="inlineStr">
        <is>
          <t>No</t>
        </is>
      </c>
      <c r="AQ751" t="inlineStr">
        <is>
          <t>Yes</t>
        </is>
      </c>
      <c r="AR751">
        <f>HYPERLINK("http://catalog.hathitrust.org/Record/000449991","HathiTrust Record")</f>
        <v/>
      </c>
      <c r="AS751">
        <f>HYPERLINK("https://creighton-primo.hosted.exlibrisgroup.com/primo-explore/search?tab=default_tab&amp;search_scope=EVERYTHING&amp;vid=01CRU&amp;lang=en_US&amp;offset=0&amp;query=any,contains,991000367579702656","Catalog Record")</f>
        <v/>
      </c>
      <c r="AT751">
        <f>HYPERLINK("http://www.worldcat.org/oclc/10404374","WorldCat Record")</f>
        <v/>
      </c>
      <c r="AU751" t="inlineStr">
        <is>
          <t>2898135:eng</t>
        </is>
      </c>
      <c r="AV751" t="inlineStr">
        <is>
          <t>10404374</t>
        </is>
      </c>
      <c r="AW751" t="inlineStr">
        <is>
          <t>991000367579702656</t>
        </is>
      </c>
      <c r="AX751" t="inlineStr">
        <is>
          <t>991000367579702656</t>
        </is>
      </c>
      <c r="AY751" t="inlineStr">
        <is>
          <t>2270119550002656</t>
        </is>
      </c>
      <c r="AZ751" t="inlineStr">
        <is>
          <t>BOOK</t>
        </is>
      </c>
      <c r="BB751" t="inlineStr">
        <is>
          <t>9780838904114</t>
        </is>
      </c>
      <c r="BC751" t="inlineStr">
        <is>
          <t>32285000379817</t>
        </is>
      </c>
      <c r="BD751" t="inlineStr">
        <is>
          <t>893508707</t>
        </is>
      </c>
    </row>
    <row r="752">
      <c r="A752" t="inlineStr">
        <is>
          <t>No</t>
        </is>
      </c>
      <c r="B752" t="inlineStr">
        <is>
          <t>PS3523.O89 Z856 1983</t>
        </is>
      </c>
      <c r="C752" t="inlineStr">
        <is>
          <t>0                      PS 3523000O  89                 Z  856         1983</t>
        </is>
      </c>
      <c r="D752" t="inlineStr">
        <is>
          <t>Robert Lowell, an introduction to the poetry / Mark Rudman.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Rudman, Mark.</t>
        </is>
      </c>
      <c r="L752" t="inlineStr">
        <is>
          <t>New York : Columbia University Press, 1983.</t>
        </is>
      </c>
      <c r="M752" t="inlineStr">
        <is>
          <t>1983</t>
        </is>
      </c>
      <c r="O752" t="inlineStr">
        <is>
          <t>eng</t>
        </is>
      </c>
      <c r="P752" t="inlineStr">
        <is>
          <t>nyu</t>
        </is>
      </c>
      <c r="Q752" t="inlineStr">
        <is>
          <t>Columbia introductions to twentieth-century American poetry</t>
        </is>
      </c>
      <c r="R752" t="inlineStr">
        <is>
          <t xml:space="preserve">PS </t>
        </is>
      </c>
      <c r="S752" t="n">
        <v>3</v>
      </c>
      <c r="T752" t="n">
        <v>3</v>
      </c>
      <c r="U752" t="inlineStr">
        <is>
          <t>2005-03-01</t>
        </is>
      </c>
      <c r="V752" t="inlineStr">
        <is>
          <t>2005-03-01</t>
        </is>
      </c>
      <c r="W752" t="inlineStr">
        <is>
          <t>2002-12-11</t>
        </is>
      </c>
      <c r="X752" t="inlineStr">
        <is>
          <t>2002-12-11</t>
        </is>
      </c>
      <c r="Y752" t="n">
        <v>924</v>
      </c>
      <c r="Z752" t="n">
        <v>779</v>
      </c>
      <c r="AA752" t="n">
        <v>784</v>
      </c>
      <c r="AB752" t="n">
        <v>7</v>
      </c>
      <c r="AC752" t="n">
        <v>7</v>
      </c>
      <c r="AD752" t="n">
        <v>42</v>
      </c>
      <c r="AE752" t="n">
        <v>42</v>
      </c>
      <c r="AF752" t="n">
        <v>20</v>
      </c>
      <c r="AG752" t="n">
        <v>20</v>
      </c>
      <c r="AH752" t="n">
        <v>9</v>
      </c>
      <c r="AI752" t="n">
        <v>9</v>
      </c>
      <c r="AJ752" t="n">
        <v>21</v>
      </c>
      <c r="AK752" t="n">
        <v>21</v>
      </c>
      <c r="AL752" t="n">
        <v>6</v>
      </c>
      <c r="AM752" t="n">
        <v>6</v>
      </c>
      <c r="AN752" t="n">
        <v>0</v>
      </c>
      <c r="AO752" t="n">
        <v>0</v>
      </c>
      <c r="AP752" t="inlineStr">
        <is>
          <t>No</t>
        </is>
      </c>
      <c r="AQ752" t="inlineStr">
        <is>
          <t>No</t>
        </is>
      </c>
      <c r="AS752">
        <f>HYPERLINK("https://creighton-primo.hosted.exlibrisgroup.com/primo-explore/search?tab=default_tab&amp;search_scope=EVERYTHING&amp;vid=01CRU&amp;lang=en_US&amp;offset=0&amp;query=any,contains,991003959619702656","Catalog Record")</f>
        <v/>
      </c>
      <c r="AT752">
        <f>HYPERLINK("http://www.worldcat.org/oclc/9323505","WorldCat Record")</f>
        <v/>
      </c>
      <c r="AU752" t="inlineStr">
        <is>
          <t>42896455:eng</t>
        </is>
      </c>
      <c r="AV752" t="inlineStr">
        <is>
          <t>9323505</t>
        </is>
      </c>
      <c r="AW752" t="inlineStr">
        <is>
          <t>991003959619702656</t>
        </is>
      </c>
      <c r="AX752" t="inlineStr">
        <is>
          <t>991003959619702656</t>
        </is>
      </c>
      <c r="AY752" t="inlineStr">
        <is>
          <t>2257913860002656</t>
        </is>
      </c>
      <c r="AZ752" t="inlineStr">
        <is>
          <t>BOOK</t>
        </is>
      </c>
      <c r="BB752" t="inlineStr">
        <is>
          <t>9780231046725</t>
        </is>
      </c>
      <c r="BC752" t="inlineStr">
        <is>
          <t>32285004690383</t>
        </is>
      </c>
      <c r="BD752" t="inlineStr">
        <is>
          <t>893705834</t>
        </is>
      </c>
    </row>
    <row r="753">
      <c r="A753" t="inlineStr">
        <is>
          <t>No</t>
        </is>
      </c>
      <c r="B753" t="inlineStr">
        <is>
          <t>PS3525 .A675</t>
        </is>
      </c>
      <c r="C753" t="inlineStr">
        <is>
          <t>0                      PS 3525000A  675</t>
        </is>
      </c>
      <c r="D753" t="inlineStr">
        <is>
          <t>Girl in May.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Marshall, Bruce, 1899-1987.</t>
        </is>
      </c>
      <c r="L753" t="inlineStr">
        <is>
          <t>Boston, Houghton Mifflin, 1956.</t>
        </is>
      </c>
      <c r="M753" t="inlineStr">
        <is>
          <t>1956</t>
        </is>
      </c>
      <c r="O753" t="inlineStr">
        <is>
          <t>eng</t>
        </is>
      </c>
      <c r="P753" t="inlineStr">
        <is>
          <t xml:space="preserve">xx </t>
        </is>
      </c>
      <c r="R753" t="inlineStr">
        <is>
          <t xml:space="preserve">PS </t>
        </is>
      </c>
      <c r="S753" t="n">
        <v>3</v>
      </c>
      <c r="T753" t="n">
        <v>3</v>
      </c>
      <c r="U753" t="inlineStr">
        <is>
          <t>2003-02-04</t>
        </is>
      </c>
      <c r="V753" t="inlineStr">
        <is>
          <t>2003-02-04</t>
        </is>
      </c>
      <c r="W753" t="inlineStr">
        <is>
          <t>1997-06-11</t>
        </is>
      </c>
      <c r="X753" t="inlineStr">
        <is>
          <t>1997-06-11</t>
        </is>
      </c>
      <c r="Y753" t="n">
        <v>96</v>
      </c>
      <c r="Z753" t="n">
        <v>91</v>
      </c>
      <c r="AA753" t="n">
        <v>113</v>
      </c>
      <c r="AB753" t="n">
        <v>2</v>
      </c>
      <c r="AC753" t="n">
        <v>2</v>
      </c>
      <c r="AD753" t="n">
        <v>10</v>
      </c>
      <c r="AE753" t="n">
        <v>11</v>
      </c>
      <c r="AF753" t="n">
        <v>2</v>
      </c>
      <c r="AG753" t="n">
        <v>3</v>
      </c>
      <c r="AH753" t="n">
        <v>3</v>
      </c>
      <c r="AI753" t="n">
        <v>3</v>
      </c>
      <c r="AJ753" t="n">
        <v>7</v>
      </c>
      <c r="AK753" t="n">
        <v>7</v>
      </c>
      <c r="AL753" t="n">
        <v>1</v>
      </c>
      <c r="AM753" t="n">
        <v>1</v>
      </c>
      <c r="AN753" t="n">
        <v>0</v>
      </c>
      <c r="AO753" t="n">
        <v>0</v>
      </c>
      <c r="AP753" t="inlineStr">
        <is>
          <t>No</t>
        </is>
      </c>
      <c r="AQ753" t="inlineStr">
        <is>
          <t>No</t>
        </is>
      </c>
      <c r="AR753">
        <f>HYPERLINK("http://catalog.hathitrust.org/Record/000629490","HathiTrust Record")</f>
        <v/>
      </c>
      <c r="AS753">
        <f>HYPERLINK("https://creighton-primo.hosted.exlibrisgroup.com/primo-explore/search?tab=default_tab&amp;search_scope=EVERYTHING&amp;vid=01CRU&amp;lang=en_US&amp;offset=0&amp;query=any,contains,991003815439702656","Catalog Record")</f>
        <v/>
      </c>
      <c r="AT753">
        <f>HYPERLINK("http://www.worldcat.org/oclc/1547541","WorldCat Record")</f>
        <v/>
      </c>
      <c r="AU753" t="inlineStr">
        <is>
          <t>4061460554:eng</t>
        </is>
      </c>
      <c r="AV753" t="inlineStr">
        <is>
          <t>1547541</t>
        </is>
      </c>
      <c r="AW753" t="inlineStr">
        <is>
          <t>991003815439702656</t>
        </is>
      </c>
      <c r="AX753" t="inlineStr">
        <is>
          <t>991003815439702656</t>
        </is>
      </c>
      <c r="AY753" t="inlineStr">
        <is>
          <t>2271872360002656</t>
        </is>
      </c>
      <c r="AZ753" t="inlineStr">
        <is>
          <t>BOOK</t>
        </is>
      </c>
      <c r="BC753" t="inlineStr">
        <is>
          <t>32285002788106</t>
        </is>
      </c>
      <c r="BD753" t="inlineStr">
        <is>
          <t>893718105</t>
        </is>
      </c>
    </row>
    <row r="754">
      <c r="A754" t="inlineStr">
        <is>
          <t>No</t>
        </is>
      </c>
      <c r="B754" t="inlineStr">
        <is>
          <t>PS3525.A1143 Z53 1962</t>
        </is>
      </c>
      <c r="C754" t="inlineStr">
        <is>
          <t>0                      PS 3525000A  1143               Z  53          1962</t>
        </is>
      </c>
      <c r="D754" t="inlineStr">
        <is>
          <t>McAlmon and the Lost Generation; a self-portrait. Edited with a commentary by Robert E. Knoll.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McAlmon, Robert, 1896-1956.</t>
        </is>
      </c>
      <c r="L754" t="inlineStr">
        <is>
          <t>Lincoln, University of Nebraska Press, 1962.</t>
        </is>
      </c>
      <c r="M754" t="inlineStr">
        <is>
          <t>1962</t>
        </is>
      </c>
      <c r="O754" t="inlineStr">
        <is>
          <t>eng</t>
        </is>
      </c>
      <c r="P754" t="inlineStr">
        <is>
          <t>nbu</t>
        </is>
      </c>
      <c r="R754" t="inlineStr">
        <is>
          <t xml:space="preserve">PS </t>
        </is>
      </c>
      <c r="S754" t="n">
        <v>1</v>
      </c>
      <c r="T754" t="n">
        <v>1</v>
      </c>
      <c r="U754" t="inlineStr">
        <is>
          <t>2004-01-30</t>
        </is>
      </c>
      <c r="V754" t="inlineStr">
        <is>
          <t>2004-01-30</t>
        </is>
      </c>
      <c r="W754" t="inlineStr">
        <is>
          <t>1997-06-10</t>
        </is>
      </c>
      <c r="X754" t="inlineStr">
        <is>
          <t>1997-06-10</t>
        </is>
      </c>
      <c r="Y754" t="n">
        <v>539</v>
      </c>
      <c r="Z754" t="n">
        <v>485</v>
      </c>
      <c r="AA754" t="n">
        <v>535</v>
      </c>
      <c r="AB754" t="n">
        <v>7</v>
      </c>
      <c r="AC754" t="n">
        <v>8</v>
      </c>
      <c r="AD754" t="n">
        <v>19</v>
      </c>
      <c r="AE754" t="n">
        <v>22</v>
      </c>
      <c r="AF754" t="n">
        <v>3</v>
      </c>
      <c r="AG754" t="n">
        <v>4</v>
      </c>
      <c r="AH754" t="n">
        <v>5</v>
      </c>
      <c r="AI754" t="n">
        <v>6</v>
      </c>
      <c r="AJ754" t="n">
        <v>12</v>
      </c>
      <c r="AK754" t="n">
        <v>12</v>
      </c>
      <c r="AL754" t="n">
        <v>4</v>
      </c>
      <c r="AM754" t="n">
        <v>5</v>
      </c>
      <c r="AN754" t="n">
        <v>0</v>
      </c>
      <c r="AO754" t="n">
        <v>0</v>
      </c>
      <c r="AP754" t="inlineStr">
        <is>
          <t>No</t>
        </is>
      </c>
      <c r="AQ754" t="inlineStr">
        <is>
          <t>Yes</t>
        </is>
      </c>
      <c r="AR754">
        <f>HYPERLINK("http://catalog.hathitrust.org/Record/000537661","HathiTrust Record")</f>
        <v/>
      </c>
      <c r="AS754">
        <f>HYPERLINK("https://creighton-primo.hosted.exlibrisgroup.com/primo-explore/search?tab=default_tab&amp;search_scope=EVERYTHING&amp;vid=01CRU&amp;lang=en_US&amp;offset=0&amp;query=any,contains,991002216539702656","Catalog Record")</f>
        <v/>
      </c>
      <c r="AT754">
        <f>HYPERLINK("http://www.worldcat.org/oclc/288928","WorldCat Record")</f>
        <v/>
      </c>
      <c r="AU754" t="inlineStr">
        <is>
          <t>479993787:eng</t>
        </is>
      </c>
      <c r="AV754" t="inlineStr">
        <is>
          <t>288928</t>
        </is>
      </c>
      <c r="AW754" t="inlineStr">
        <is>
          <t>991002216539702656</t>
        </is>
      </c>
      <c r="AX754" t="inlineStr">
        <is>
          <t>991002216539702656</t>
        </is>
      </c>
      <c r="AY754" t="inlineStr">
        <is>
          <t>2264001840002656</t>
        </is>
      </c>
      <c r="AZ754" t="inlineStr">
        <is>
          <t>BOOK</t>
        </is>
      </c>
      <c r="BC754" t="inlineStr">
        <is>
          <t>32285002787330</t>
        </is>
      </c>
      <c r="BD754" t="inlineStr">
        <is>
          <t>893685104</t>
        </is>
      </c>
    </row>
    <row r="755">
      <c r="A755" t="inlineStr">
        <is>
          <t>No</t>
        </is>
      </c>
      <c r="B755" t="inlineStr">
        <is>
          <t>PS3525.A27 Z459 1973</t>
        </is>
      </c>
      <c r="C755" t="inlineStr">
        <is>
          <t>0                      PS 3525000A  27                 Z  459         1973</t>
        </is>
      </c>
      <c r="D755" t="inlineStr">
        <is>
          <t>Archibald MacLeish, a checklist / by Edward J. Mullaly.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Mullaly, Edward J.</t>
        </is>
      </c>
      <c r="L755" t="inlineStr">
        <is>
          <t>Kent, Ohio] : Kent State University Press, [1973]</t>
        </is>
      </c>
      <c r="M755" t="inlineStr">
        <is>
          <t>1973</t>
        </is>
      </c>
      <c r="N755" t="inlineStr">
        <is>
          <t>[1st ed.</t>
        </is>
      </c>
      <c r="O755" t="inlineStr">
        <is>
          <t>eng</t>
        </is>
      </c>
      <c r="P755" t="inlineStr">
        <is>
          <t>ohu</t>
        </is>
      </c>
      <c r="Q755" t="inlineStr">
        <is>
          <t>The Serif series: bibliographies and checklists, no. 26</t>
        </is>
      </c>
      <c r="R755" t="inlineStr">
        <is>
          <t xml:space="preserve">PS </t>
        </is>
      </c>
      <c r="S755" t="n">
        <v>3</v>
      </c>
      <c r="T755" t="n">
        <v>3</v>
      </c>
      <c r="U755" t="inlineStr">
        <is>
          <t>1996-09-04</t>
        </is>
      </c>
      <c r="V755" t="inlineStr">
        <is>
          <t>1996-09-04</t>
        </is>
      </c>
      <c r="W755" t="inlineStr">
        <is>
          <t>1990-07-23</t>
        </is>
      </c>
      <c r="X755" t="inlineStr">
        <is>
          <t>1990-07-23</t>
        </is>
      </c>
      <c r="Y755" t="n">
        <v>440</v>
      </c>
      <c r="Z755" t="n">
        <v>365</v>
      </c>
      <c r="AA755" t="n">
        <v>387</v>
      </c>
      <c r="AB755" t="n">
        <v>3</v>
      </c>
      <c r="AC755" t="n">
        <v>3</v>
      </c>
      <c r="AD755" t="n">
        <v>22</v>
      </c>
      <c r="AE755" t="n">
        <v>22</v>
      </c>
      <c r="AF755" t="n">
        <v>8</v>
      </c>
      <c r="AG755" t="n">
        <v>8</v>
      </c>
      <c r="AH755" t="n">
        <v>6</v>
      </c>
      <c r="AI755" t="n">
        <v>6</v>
      </c>
      <c r="AJ755" t="n">
        <v>11</v>
      </c>
      <c r="AK755" t="n">
        <v>11</v>
      </c>
      <c r="AL755" t="n">
        <v>2</v>
      </c>
      <c r="AM755" t="n">
        <v>2</v>
      </c>
      <c r="AN755" t="n">
        <v>0</v>
      </c>
      <c r="AO755" t="n">
        <v>0</v>
      </c>
      <c r="AP755" t="inlineStr">
        <is>
          <t>No</t>
        </is>
      </c>
      <c r="AQ755" t="inlineStr">
        <is>
          <t>Yes</t>
        </is>
      </c>
      <c r="AR755">
        <f>HYPERLINK("http://catalog.hathitrust.org/Record/000538561","HathiTrust Record")</f>
        <v/>
      </c>
      <c r="AS755">
        <f>HYPERLINK("https://creighton-primo.hosted.exlibrisgroup.com/primo-explore/search?tab=default_tab&amp;search_scope=EVERYTHING&amp;vid=01CRU&amp;lang=en_US&amp;offset=0&amp;query=any,contains,991003099559702656","Catalog Record")</f>
        <v/>
      </c>
      <c r="AT755">
        <f>HYPERLINK("http://www.worldcat.org/oclc/648884","WorldCat Record")</f>
        <v/>
      </c>
      <c r="AU755" t="inlineStr">
        <is>
          <t>1822077:eng</t>
        </is>
      </c>
      <c r="AV755" t="inlineStr">
        <is>
          <t>648884</t>
        </is>
      </c>
      <c r="AW755" t="inlineStr">
        <is>
          <t>991003099559702656</t>
        </is>
      </c>
      <c r="AX755" t="inlineStr">
        <is>
          <t>991003099559702656</t>
        </is>
      </c>
      <c r="AY755" t="inlineStr">
        <is>
          <t>2256388790002656</t>
        </is>
      </c>
      <c r="AZ755" t="inlineStr">
        <is>
          <t>BOOK</t>
        </is>
      </c>
      <c r="BB755" t="inlineStr">
        <is>
          <t>9780873381321</t>
        </is>
      </c>
      <c r="BC755" t="inlineStr">
        <is>
          <t>32285000233485</t>
        </is>
      </c>
      <c r="BD755" t="inlineStr">
        <is>
          <t>893868105</t>
        </is>
      </c>
    </row>
    <row r="756">
      <c r="A756" t="inlineStr">
        <is>
          <t>No</t>
        </is>
      </c>
      <c r="B756" t="inlineStr">
        <is>
          <t>PS3525.A3 W4</t>
        </is>
      </c>
      <c r="C756" t="inlineStr">
        <is>
          <t>0                      PS 3525000A  3                  W  4</t>
        </is>
      </c>
      <c r="D756" t="inlineStr">
        <is>
          <t>Who walk in pride / Helene Magaret.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Magaret, Helene, 1906-1998.</t>
        </is>
      </c>
      <c r="L756" t="inlineStr">
        <is>
          <t>Milwaukee : The Bruce Publishing Company, c1945.</t>
        </is>
      </c>
      <c r="M756" t="inlineStr">
        <is>
          <t>1945</t>
        </is>
      </c>
      <c r="O756" t="inlineStr">
        <is>
          <t>eng</t>
        </is>
      </c>
      <c r="P756" t="inlineStr">
        <is>
          <t>wiu</t>
        </is>
      </c>
      <c r="R756" t="inlineStr">
        <is>
          <t xml:space="preserve">PS </t>
        </is>
      </c>
      <c r="S756" t="n">
        <v>0</v>
      </c>
      <c r="T756" t="n">
        <v>0</v>
      </c>
      <c r="U756" t="inlineStr">
        <is>
          <t>2004-02-03</t>
        </is>
      </c>
      <c r="V756" t="inlineStr">
        <is>
          <t>2004-02-03</t>
        </is>
      </c>
      <c r="W756" t="inlineStr">
        <is>
          <t>1997-06-11</t>
        </is>
      </c>
      <c r="X756" t="inlineStr">
        <is>
          <t>1997-06-11</t>
        </is>
      </c>
      <c r="Y756" t="n">
        <v>52</v>
      </c>
      <c r="Z756" t="n">
        <v>48</v>
      </c>
      <c r="AA756" t="n">
        <v>48</v>
      </c>
      <c r="AB756" t="n">
        <v>3</v>
      </c>
      <c r="AC756" t="n">
        <v>3</v>
      </c>
      <c r="AD756" t="n">
        <v>11</v>
      </c>
      <c r="AE756" t="n">
        <v>11</v>
      </c>
      <c r="AF756" t="n">
        <v>1</v>
      </c>
      <c r="AG756" t="n">
        <v>1</v>
      </c>
      <c r="AH756" t="n">
        <v>2</v>
      </c>
      <c r="AI756" t="n">
        <v>2</v>
      </c>
      <c r="AJ756" t="n">
        <v>8</v>
      </c>
      <c r="AK756" t="n">
        <v>8</v>
      </c>
      <c r="AL756" t="n">
        <v>2</v>
      </c>
      <c r="AM756" t="n">
        <v>2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HYPERLINK("https://creighton-primo.hosted.exlibrisgroup.com/primo-explore/search?tab=default_tab&amp;search_scope=EVERYTHING&amp;vid=01CRU&amp;lang=en_US&amp;offset=0&amp;query=any,contains,991004982999702656","Catalog Record")</f>
        <v/>
      </c>
      <c r="AT756">
        <f>HYPERLINK("http://www.worldcat.org/oclc/6437292","WorldCat Record")</f>
        <v/>
      </c>
      <c r="AU756" t="inlineStr">
        <is>
          <t>22459597:eng</t>
        </is>
      </c>
      <c r="AV756" t="inlineStr">
        <is>
          <t>6437292</t>
        </is>
      </c>
      <c r="AW756" t="inlineStr">
        <is>
          <t>991004982999702656</t>
        </is>
      </c>
      <c r="AX756" t="inlineStr">
        <is>
          <t>991004982999702656</t>
        </is>
      </c>
      <c r="AY756" t="inlineStr">
        <is>
          <t>2267134530002656</t>
        </is>
      </c>
      <c r="AZ756" t="inlineStr">
        <is>
          <t>BOOK</t>
        </is>
      </c>
      <c r="BC756" t="inlineStr">
        <is>
          <t>32285002787637</t>
        </is>
      </c>
      <c r="BD756" t="inlineStr">
        <is>
          <t>893606664</t>
        </is>
      </c>
    </row>
    <row r="757">
      <c r="A757" t="inlineStr">
        <is>
          <t>No</t>
        </is>
      </c>
      <c r="B757" t="inlineStr">
        <is>
          <t>PS3525.A4152 Z594</t>
        </is>
      </c>
      <c r="C757" t="inlineStr">
        <is>
          <t>0                      PS 3525000A  4152               Z  594</t>
        </is>
      </c>
      <c r="D757" t="inlineStr">
        <is>
          <t>Acts of regeneration : allegory and archetype in the works of Norman Mailer / Robert J. Begiebing.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K757" t="inlineStr">
        <is>
          <t>Begiebing, Robert J., 1946-</t>
        </is>
      </c>
      <c r="L757" t="inlineStr">
        <is>
          <t>Columbia : University of Missouri Press, 1980.</t>
        </is>
      </c>
      <c r="M757" t="inlineStr">
        <is>
          <t>1980</t>
        </is>
      </c>
      <c r="O757" t="inlineStr">
        <is>
          <t>eng</t>
        </is>
      </c>
      <c r="P757" t="inlineStr">
        <is>
          <t>scu</t>
        </is>
      </c>
      <c r="R757" t="inlineStr">
        <is>
          <t xml:space="preserve">PS </t>
        </is>
      </c>
      <c r="S757" t="n">
        <v>4</v>
      </c>
      <c r="T757" t="n">
        <v>4</v>
      </c>
      <c r="U757" t="inlineStr">
        <is>
          <t>1997-09-28</t>
        </is>
      </c>
      <c r="V757" t="inlineStr">
        <is>
          <t>1997-09-28</t>
        </is>
      </c>
      <c r="W757" t="inlineStr">
        <is>
          <t>1990-11-19</t>
        </is>
      </c>
      <c r="X757" t="inlineStr">
        <is>
          <t>1990-11-19</t>
        </is>
      </c>
      <c r="Y757" t="n">
        <v>441</v>
      </c>
      <c r="Z757" t="n">
        <v>358</v>
      </c>
      <c r="AA757" t="n">
        <v>366</v>
      </c>
      <c r="AB757" t="n">
        <v>3</v>
      </c>
      <c r="AC757" t="n">
        <v>3</v>
      </c>
      <c r="AD757" t="n">
        <v>19</v>
      </c>
      <c r="AE757" t="n">
        <v>19</v>
      </c>
      <c r="AF757" t="n">
        <v>7</v>
      </c>
      <c r="AG757" t="n">
        <v>7</v>
      </c>
      <c r="AH757" t="n">
        <v>7</v>
      </c>
      <c r="AI757" t="n">
        <v>7</v>
      </c>
      <c r="AJ757" t="n">
        <v>8</v>
      </c>
      <c r="AK757" t="n">
        <v>8</v>
      </c>
      <c r="AL757" t="n">
        <v>2</v>
      </c>
      <c r="AM757" t="n">
        <v>2</v>
      </c>
      <c r="AN757" t="n">
        <v>0</v>
      </c>
      <c r="AO757" t="n">
        <v>0</v>
      </c>
      <c r="AP757" t="inlineStr">
        <is>
          <t>No</t>
        </is>
      </c>
      <c r="AQ757" t="inlineStr">
        <is>
          <t>Yes</t>
        </is>
      </c>
      <c r="AR757">
        <f>HYPERLINK("http://catalog.hathitrust.org/Record/000085320","HathiTrust Record")</f>
        <v/>
      </c>
      <c r="AS757">
        <f>HYPERLINK("https://creighton-primo.hosted.exlibrisgroup.com/primo-explore/search?tab=default_tab&amp;search_scope=EVERYTHING&amp;vid=01CRU&amp;lang=en_US&amp;offset=0&amp;query=any,contains,991004937829702656","Catalog Record")</f>
        <v/>
      </c>
      <c r="AT757">
        <f>HYPERLINK("http://www.worldcat.org/oclc/6144430","WorldCat Record")</f>
        <v/>
      </c>
      <c r="AU757" t="inlineStr">
        <is>
          <t>21738295:eng</t>
        </is>
      </c>
      <c r="AV757" t="inlineStr">
        <is>
          <t>6144430</t>
        </is>
      </c>
      <c r="AW757" t="inlineStr">
        <is>
          <t>991004937829702656</t>
        </is>
      </c>
      <c r="AX757" t="inlineStr">
        <is>
          <t>991004937829702656</t>
        </is>
      </c>
      <c r="AY757" t="inlineStr">
        <is>
          <t>2260418980002656</t>
        </is>
      </c>
      <c r="AZ757" t="inlineStr">
        <is>
          <t>BOOK</t>
        </is>
      </c>
      <c r="BB757" t="inlineStr">
        <is>
          <t>9780826203106</t>
        </is>
      </c>
      <c r="BC757" t="inlineStr">
        <is>
          <t>32285000415058</t>
        </is>
      </c>
      <c r="BD757" t="inlineStr">
        <is>
          <t>893713242</t>
        </is>
      </c>
    </row>
    <row r="758">
      <c r="A758" t="inlineStr">
        <is>
          <t>No</t>
        </is>
      </c>
      <c r="B758" t="inlineStr">
        <is>
          <t>PS3525.A4152 Z727 2002</t>
        </is>
      </c>
      <c r="C758" t="inlineStr">
        <is>
          <t>0                      PS 3525000A  4152               Z  727         2002</t>
        </is>
      </c>
      <c r="D758" t="inlineStr">
        <is>
          <t>The enduring vision of Norman Mailer / Barry H. Leeds.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Leeds, Barry H.</t>
        </is>
      </c>
      <c r="L758" t="inlineStr">
        <is>
          <t>Bainbridge Island, WA : Pleasure Boat Studio, c2002.</t>
        </is>
      </c>
      <c r="M758" t="inlineStr">
        <is>
          <t>2002</t>
        </is>
      </c>
      <c r="O758" t="inlineStr">
        <is>
          <t>eng</t>
        </is>
      </c>
      <c r="P758" t="inlineStr">
        <is>
          <t>wau</t>
        </is>
      </c>
      <c r="R758" t="inlineStr">
        <is>
          <t xml:space="preserve">PS </t>
        </is>
      </c>
      <c r="S758" t="n">
        <v>1</v>
      </c>
      <c r="T758" t="n">
        <v>1</v>
      </c>
      <c r="U758" t="inlineStr">
        <is>
          <t>2005-04-07</t>
        </is>
      </c>
      <c r="V758" t="inlineStr">
        <is>
          <t>2005-04-07</t>
        </is>
      </c>
      <c r="W758" t="inlineStr">
        <is>
          <t>2005-04-07</t>
        </is>
      </c>
      <c r="X758" t="inlineStr">
        <is>
          <t>2005-04-07</t>
        </is>
      </c>
      <c r="Y758" t="n">
        <v>193</v>
      </c>
      <c r="Z758" t="n">
        <v>169</v>
      </c>
      <c r="AA758" t="n">
        <v>176</v>
      </c>
      <c r="AB758" t="n">
        <v>1</v>
      </c>
      <c r="AC758" t="n">
        <v>1</v>
      </c>
      <c r="AD758" t="n">
        <v>10</v>
      </c>
      <c r="AE758" t="n">
        <v>10</v>
      </c>
      <c r="AF758" t="n">
        <v>5</v>
      </c>
      <c r="AG758" t="n">
        <v>5</v>
      </c>
      <c r="AH758" t="n">
        <v>4</v>
      </c>
      <c r="AI758" t="n">
        <v>4</v>
      </c>
      <c r="AJ758" t="n">
        <v>5</v>
      </c>
      <c r="AK758" t="n">
        <v>5</v>
      </c>
      <c r="AL758" t="n">
        <v>0</v>
      </c>
      <c r="AM758" t="n">
        <v>0</v>
      </c>
      <c r="AN758" t="n">
        <v>0</v>
      </c>
      <c r="AO758" t="n">
        <v>0</v>
      </c>
      <c r="AP758" t="inlineStr">
        <is>
          <t>No</t>
        </is>
      </c>
      <c r="AQ758" t="inlineStr">
        <is>
          <t>Yes</t>
        </is>
      </c>
      <c r="AR758">
        <f>HYPERLINK("http://catalog.hathitrust.org/Record/007143161","HathiTrust Record")</f>
        <v/>
      </c>
      <c r="AS758">
        <f>HYPERLINK("https://creighton-primo.hosted.exlibrisgroup.com/primo-explore/search?tab=default_tab&amp;search_scope=EVERYTHING&amp;vid=01CRU&amp;lang=en_US&amp;offset=0&amp;query=any,contains,991004515219702656","Catalog Record")</f>
        <v/>
      </c>
      <c r="AT758">
        <f>HYPERLINK("http://www.worldcat.org/oclc/49492000","WorldCat Record")</f>
        <v/>
      </c>
      <c r="AU758" t="inlineStr">
        <is>
          <t>38962259:eng</t>
        </is>
      </c>
      <c r="AV758" t="inlineStr">
        <is>
          <t>49492000</t>
        </is>
      </c>
      <c r="AW758" t="inlineStr">
        <is>
          <t>991004515219702656</t>
        </is>
      </c>
      <c r="AX758" t="inlineStr">
        <is>
          <t>991004515219702656</t>
        </is>
      </c>
      <c r="AY758" t="inlineStr">
        <is>
          <t>2270043710002656</t>
        </is>
      </c>
      <c r="AZ758" t="inlineStr">
        <is>
          <t>BOOK</t>
        </is>
      </c>
      <c r="BB758" t="inlineStr">
        <is>
          <t>9781929355112</t>
        </is>
      </c>
      <c r="BC758" t="inlineStr">
        <is>
          <t>32285005048995</t>
        </is>
      </c>
      <c r="BD758" t="inlineStr">
        <is>
          <t>893618753</t>
        </is>
      </c>
    </row>
    <row r="759">
      <c r="A759" t="inlineStr">
        <is>
          <t>No</t>
        </is>
      </c>
      <c r="B759" t="inlineStr">
        <is>
          <t>PS3525.A4152 Z76 1985</t>
        </is>
      </c>
      <c r="C759" t="inlineStr">
        <is>
          <t>0                      PS 3525000A  4152               Z  76          1985</t>
        </is>
      </c>
      <c r="D759" t="inlineStr">
        <is>
          <t>Mailer, his life and times / [edited] by Peter Manso.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L759" t="inlineStr">
        <is>
          <t>New York : Simon and Schuster, c1985.</t>
        </is>
      </c>
      <c r="M759" t="inlineStr">
        <is>
          <t>1985</t>
        </is>
      </c>
      <c r="O759" t="inlineStr">
        <is>
          <t>eng</t>
        </is>
      </c>
      <c r="P759" t="inlineStr">
        <is>
          <t>nyu</t>
        </is>
      </c>
      <c r="R759" t="inlineStr">
        <is>
          <t xml:space="preserve">PS </t>
        </is>
      </c>
      <c r="S759" t="n">
        <v>2</v>
      </c>
      <c r="T759" t="n">
        <v>2</v>
      </c>
      <c r="U759" t="inlineStr">
        <is>
          <t>1993-09-06</t>
        </is>
      </c>
      <c r="V759" t="inlineStr">
        <is>
          <t>1993-09-06</t>
        </is>
      </c>
      <c r="W759" t="inlineStr">
        <is>
          <t>1990-11-19</t>
        </is>
      </c>
      <c r="X759" t="inlineStr">
        <is>
          <t>1990-11-19</t>
        </is>
      </c>
      <c r="Y759" t="n">
        <v>1154</v>
      </c>
      <c r="Z759" t="n">
        <v>1026</v>
      </c>
      <c r="AA759" t="n">
        <v>1159</v>
      </c>
      <c r="AB759" t="n">
        <v>6</v>
      </c>
      <c r="AC759" t="n">
        <v>8</v>
      </c>
      <c r="AD759" t="n">
        <v>33</v>
      </c>
      <c r="AE759" t="n">
        <v>36</v>
      </c>
      <c r="AF759" t="n">
        <v>15</v>
      </c>
      <c r="AG759" t="n">
        <v>15</v>
      </c>
      <c r="AH759" t="n">
        <v>9</v>
      </c>
      <c r="AI759" t="n">
        <v>9</v>
      </c>
      <c r="AJ759" t="n">
        <v>16</v>
      </c>
      <c r="AK759" t="n">
        <v>18</v>
      </c>
      <c r="AL759" t="n">
        <v>3</v>
      </c>
      <c r="AM759" t="n">
        <v>4</v>
      </c>
      <c r="AN759" t="n">
        <v>0</v>
      </c>
      <c r="AO759" t="n">
        <v>0</v>
      </c>
      <c r="AP759" t="inlineStr">
        <is>
          <t>No</t>
        </is>
      </c>
      <c r="AQ759" t="inlineStr">
        <is>
          <t>Yes</t>
        </is>
      </c>
      <c r="AR759">
        <f>HYPERLINK("http://catalog.hathitrust.org/Record/000370801","HathiTrust Record")</f>
        <v/>
      </c>
      <c r="AS759">
        <f>HYPERLINK("https://creighton-primo.hosted.exlibrisgroup.com/primo-explore/search?tab=default_tab&amp;search_scope=EVERYTHING&amp;vid=01CRU&amp;lang=en_US&amp;offset=0&amp;query=any,contains,991000548599702656","Catalog Record")</f>
        <v/>
      </c>
      <c r="AT759">
        <f>HYPERLINK("http://www.worldcat.org/oclc/11523648","WorldCat Record")</f>
        <v/>
      </c>
      <c r="AU759" t="inlineStr">
        <is>
          <t>54685079:eng</t>
        </is>
      </c>
      <c r="AV759" t="inlineStr">
        <is>
          <t>11523648</t>
        </is>
      </c>
      <c r="AW759" t="inlineStr">
        <is>
          <t>991000548599702656</t>
        </is>
      </c>
      <c r="AX759" t="inlineStr">
        <is>
          <t>991000548599702656</t>
        </is>
      </c>
      <c r="AY759" t="inlineStr">
        <is>
          <t>2265324630002656</t>
        </is>
      </c>
      <c r="AZ759" t="inlineStr">
        <is>
          <t>BOOK</t>
        </is>
      </c>
      <c r="BB759" t="inlineStr">
        <is>
          <t>9780671442644</t>
        </is>
      </c>
      <c r="BC759" t="inlineStr">
        <is>
          <t>32285000415074</t>
        </is>
      </c>
      <c r="BD759" t="inlineStr">
        <is>
          <t>893432061</t>
        </is>
      </c>
    </row>
    <row r="760">
      <c r="A760" t="inlineStr">
        <is>
          <t>No</t>
        </is>
      </c>
      <c r="B760" t="inlineStr">
        <is>
          <t>PS3525.A6 Z6</t>
        </is>
      </c>
      <c r="C760" t="inlineStr">
        <is>
          <t>0                      PS 3525000A  6                  Z  6</t>
        </is>
      </c>
      <c r="D760" t="inlineStr">
        <is>
          <t>John P. Marquand.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Gross, John J., 1912-1970.</t>
        </is>
      </c>
      <c r="L760" t="inlineStr">
        <is>
          <t>New York : Twayne Publishers, [1963]</t>
        </is>
      </c>
      <c r="M760" t="inlineStr">
        <is>
          <t>1963</t>
        </is>
      </c>
      <c r="O760" t="inlineStr">
        <is>
          <t>eng</t>
        </is>
      </c>
      <c r="P760" t="inlineStr">
        <is>
          <t>nyu</t>
        </is>
      </c>
      <c r="Q760" t="inlineStr">
        <is>
          <t>Twayne's United States authors series, 33</t>
        </is>
      </c>
      <c r="R760" t="inlineStr">
        <is>
          <t xml:space="preserve">PS </t>
        </is>
      </c>
      <c r="S760" t="n">
        <v>3</v>
      </c>
      <c r="T760" t="n">
        <v>3</v>
      </c>
      <c r="U760" t="inlineStr">
        <is>
          <t>1999-04-07</t>
        </is>
      </c>
      <c r="V760" t="inlineStr">
        <is>
          <t>1999-04-07</t>
        </is>
      </c>
      <c r="W760" t="inlineStr">
        <is>
          <t>1994-08-29</t>
        </is>
      </c>
      <c r="X760" t="inlineStr">
        <is>
          <t>1994-08-29</t>
        </is>
      </c>
      <c r="Y760" t="n">
        <v>1449</v>
      </c>
      <c r="Z760" t="n">
        <v>1319</v>
      </c>
      <c r="AA760" t="n">
        <v>1363</v>
      </c>
      <c r="AB760" t="n">
        <v>9</v>
      </c>
      <c r="AC760" t="n">
        <v>11</v>
      </c>
      <c r="AD760" t="n">
        <v>42</v>
      </c>
      <c r="AE760" t="n">
        <v>44</v>
      </c>
      <c r="AF760" t="n">
        <v>18</v>
      </c>
      <c r="AG760" t="n">
        <v>18</v>
      </c>
      <c r="AH760" t="n">
        <v>7</v>
      </c>
      <c r="AI760" t="n">
        <v>7</v>
      </c>
      <c r="AJ760" t="n">
        <v>20</v>
      </c>
      <c r="AK760" t="n">
        <v>21</v>
      </c>
      <c r="AL760" t="n">
        <v>7</v>
      </c>
      <c r="AM760" t="n">
        <v>8</v>
      </c>
      <c r="AN760" t="n">
        <v>0</v>
      </c>
      <c r="AO760" t="n">
        <v>0</v>
      </c>
      <c r="AP760" t="inlineStr">
        <is>
          <t>Yes</t>
        </is>
      </c>
      <c r="AQ760" t="inlineStr">
        <is>
          <t>No</t>
        </is>
      </c>
      <c r="AR760">
        <f>HYPERLINK("http://catalog.hathitrust.org/Record/000004098","HathiTrust Record")</f>
        <v/>
      </c>
      <c r="AS760">
        <f>HYPERLINK("https://creighton-primo.hosted.exlibrisgroup.com/primo-explore/search?tab=default_tab&amp;search_scope=EVERYTHING&amp;vid=01CRU&amp;lang=en_US&amp;offset=0&amp;query=any,contains,991002207019702656","Catalog Record")</f>
        <v/>
      </c>
      <c r="AT760">
        <f>HYPERLINK("http://www.worldcat.org/oclc/286088","WorldCat Record")</f>
        <v/>
      </c>
      <c r="AU760" t="inlineStr">
        <is>
          <t>770172069:eng</t>
        </is>
      </c>
      <c r="AV760" t="inlineStr">
        <is>
          <t>286088</t>
        </is>
      </c>
      <c r="AW760" t="inlineStr">
        <is>
          <t>991002207019702656</t>
        </is>
      </c>
      <c r="AX760" t="inlineStr">
        <is>
          <t>991002207019702656</t>
        </is>
      </c>
      <c r="AY760" t="inlineStr">
        <is>
          <t>2260926730002656</t>
        </is>
      </c>
      <c r="AZ760" t="inlineStr">
        <is>
          <t>BOOK</t>
        </is>
      </c>
      <c r="BC760" t="inlineStr">
        <is>
          <t>32285001938801</t>
        </is>
      </c>
      <c r="BD760" t="inlineStr">
        <is>
          <t>893703799</t>
        </is>
      </c>
    </row>
    <row r="761">
      <c r="A761" t="inlineStr">
        <is>
          <t>No</t>
        </is>
      </c>
      <c r="B761" t="inlineStr">
        <is>
          <t>PS3525.A6695 Z44 1990</t>
        </is>
      </c>
      <c r="C761" t="inlineStr">
        <is>
          <t>0                      PS 3525000A  6695               Z  44          1990</t>
        </is>
      </c>
      <c r="D761" t="inlineStr">
        <is>
          <t>John P. Marquand and Mr. Moto : spy adventures and detective films / Richard Wires.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Wires, Richard.</t>
        </is>
      </c>
      <c r="L761" t="inlineStr">
        <is>
          <t>Muncie, Ind. : Ball State University, 1990.</t>
        </is>
      </c>
      <c r="M761" t="inlineStr">
        <is>
          <t>1990</t>
        </is>
      </c>
      <c r="O761" t="inlineStr">
        <is>
          <t>eng</t>
        </is>
      </c>
      <c r="P761" t="inlineStr">
        <is>
          <t>inu</t>
        </is>
      </c>
      <c r="R761" t="inlineStr">
        <is>
          <t xml:space="preserve">PS </t>
        </is>
      </c>
      <c r="S761" t="n">
        <v>3</v>
      </c>
      <c r="T761" t="n">
        <v>3</v>
      </c>
      <c r="U761" t="inlineStr">
        <is>
          <t>1999-04-07</t>
        </is>
      </c>
      <c r="V761" t="inlineStr">
        <is>
          <t>1999-04-07</t>
        </is>
      </c>
      <c r="W761" t="inlineStr">
        <is>
          <t>1990-05-29</t>
        </is>
      </c>
      <c r="X761" t="inlineStr">
        <is>
          <t>1990-05-29</t>
        </is>
      </c>
      <c r="Y761" t="n">
        <v>376</v>
      </c>
      <c r="Z761" t="n">
        <v>359</v>
      </c>
      <c r="AA761" t="n">
        <v>365</v>
      </c>
      <c r="AB761" t="n">
        <v>3</v>
      </c>
      <c r="AC761" t="n">
        <v>3</v>
      </c>
      <c r="AD761" t="n">
        <v>18</v>
      </c>
      <c r="AE761" t="n">
        <v>18</v>
      </c>
      <c r="AF761" t="n">
        <v>8</v>
      </c>
      <c r="AG761" t="n">
        <v>8</v>
      </c>
      <c r="AH761" t="n">
        <v>6</v>
      </c>
      <c r="AI761" t="n">
        <v>6</v>
      </c>
      <c r="AJ761" t="n">
        <v>8</v>
      </c>
      <c r="AK761" t="n">
        <v>8</v>
      </c>
      <c r="AL761" t="n">
        <v>2</v>
      </c>
      <c r="AM761" t="n">
        <v>2</v>
      </c>
      <c r="AN761" t="n">
        <v>0</v>
      </c>
      <c r="AO761" t="n">
        <v>0</v>
      </c>
      <c r="AP761" t="inlineStr">
        <is>
          <t>No</t>
        </is>
      </c>
      <c r="AQ761" t="inlineStr">
        <is>
          <t>Yes</t>
        </is>
      </c>
      <c r="AR761">
        <f>HYPERLINK("http://catalog.hathitrust.org/Record/002205855","HathiTrust Record")</f>
        <v/>
      </c>
      <c r="AS761">
        <f>HYPERLINK("https://creighton-primo.hosted.exlibrisgroup.com/primo-explore/search?tab=default_tab&amp;search_scope=EVERYTHING&amp;vid=01CRU&amp;lang=en_US&amp;offset=0&amp;query=any,contains,991001694479702656","Catalog Record")</f>
        <v/>
      </c>
      <c r="AT761">
        <f>HYPERLINK("http://www.worldcat.org/oclc/21474118","WorldCat Record")</f>
        <v/>
      </c>
      <c r="AU761" t="inlineStr">
        <is>
          <t>23207877:eng</t>
        </is>
      </c>
      <c r="AV761" t="inlineStr">
        <is>
          <t>21474118</t>
        </is>
      </c>
      <c r="AW761" t="inlineStr">
        <is>
          <t>991001694479702656</t>
        </is>
      </c>
      <c r="AX761" t="inlineStr">
        <is>
          <t>991001694479702656</t>
        </is>
      </c>
      <c r="AY761" t="inlineStr">
        <is>
          <t>2259905190002656</t>
        </is>
      </c>
      <c r="AZ761" t="inlineStr">
        <is>
          <t>BOOK</t>
        </is>
      </c>
      <c r="BB761" t="inlineStr">
        <is>
          <t>9780937994177</t>
        </is>
      </c>
      <c r="BC761" t="inlineStr">
        <is>
          <t>32285000156413</t>
        </is>
      </c>
      <c r="BD761" t="inlineStr">
        <is>
          <t>893596649</t>
        </is>
      </c>
    </row>
    <row r="762">
      <c r="A762" t="inlineStr">
        <is>
          <t>No</t>
        </is>
      </c>
      <c r="B762" t="inlineStr">
        <is>
          <t>PS3525.A822 S7 1940</t>
        </is>
      </c>
      <c r="C762" t="inlineStr">
        <is>
          <t>0                      PS 3525000A  822                S  7           1940</t>
        </is>
      </c>
      <c r="D762" t="inlineStr">
        <is>
          <t>Stars on the sea / F. van Wyck Mason.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K762" t="inlineStr">
        <is>
          <t>Mason, F. van Wyck (Francis van Wyck), 1901-1978.</t>
        </is>
      </c>
      <c r="L762" t="inlineStr">
        <is>
          <t>New York : Grosset &amp; Dunlap : by arrangement with Lippincott, c1940.</t>
        </is>
      </c>
      <c r="M762" t="inlineStr">
        <is>
          <t>1940</t>
        </is>
      </c>
      <c r="O762" t="inlineStr">
        <is>
          <t>eng</t>
        </is>
      </c>
      <c r="P762" t="inlineStr">
        <is>
          <t>nyu</t>
        </is>
      </c>
      <c r="R762" t="inlineStr">
        <is>
          <t xml:space="preserve">PS </t>
        </is>
      </c>
      <c r="S762" t="n">
        <v>1</v>
      </c>
      <c r="T762" t="n">
        <v>1</v>
      </c>
      <c r="U762" t="inlineStr">
        <is>
          <t>2001-02-06</t>
        </is>
      </c>
      <c r="V762" t="inlineStr">
        <is>
          <t>2001-02-06</t>
        </is>
      </c>
      <c r="W762" t="inlineStr">
        <is>
          <t>1990-11-19</t>
        </is>
      </c>
      <c r="X762" t="inlineStr">
        <is>
          <t>1990-11-19</t>
        </is>
      </c>
      <c r="Y762" t="n">
        <v>180</v>
      </c>
      <c r="Z762" t="n">
        <v>170</v>
      </c>
      <c r="AA762" t="n">
        <v>552</v>
      </c>
      <c r="AB762" t="n">
        <v>3</v>
      </c>
      <c r="AC762" t="n">
        <v>5</v>
      </c>
      <c r="AD762" t="n">
        <v>4</v>
      </c>
      <c r="AE762" t="n">
        <v>11</v>
      </c>
      <c r="AF762" t="n">
        <v>1</v>
      </c>
      <c r="AG762" t="n">
        <v>5</v>
      </c>
      <c r="AH762" t="n">
        <v>1</v>
      </c>
      <c r="AI762" t="n">
        <v>3</v>
      </c>
      <c r="AJ762" t="n">
        <v>1</v>
      </c>
      <c r="AK762" t="n">
        <v>2</v>
      </c>
      <c r="AL762" t="n">
        <v>2</v>
      </c>
      <c r="AM762" t="n">
        <v>3</v>
      </c>
      <c r="AN762" t="n">
        <v>0</v>
      </c>
      <c r="AO762" t="n">
        <v>0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HYPERLINK("http://catalog.hathitrust.org/Record/003854370","HathiTrust Record")</f>
        <v/>
      </c>
      <c r="AS762">
        <f>HYPERLINK("https://creighton-primo.hosted.exlibrisgroup.com/primo-explore/search?tab=default_tab&amp;search_scope=EVERYTHING&amp;vid=01CRU&amp;lang=en_US&amp;offset=0&amp;query=any,contains,991004490859702656","Catalog Record")</f>
        <v/>
      </c>
      <c r="AT762">
        <f>HYPERLINK("http://www.worldcat.org/oclc/3659785","WorldCat Record")</f>
        <v/>
      </c>
      <c r="AU762" t="inlineStr">
        <is>
          <t>366322354:eng</t>
        </is>
      </c>
      <c r="AV762" t="inlineStr">
        <is>
          <t>3659785</t>
        </is>
      </c>
      <c r="AW762" t="inlineStr">
        <is>
          <t>991004490859702656</t>
        </is>
      </c>
      <c r="AX762" t="inlineStr">
        <is>
          <t>991004490859702656</t>
        </is>
      </c>
      <c r="AY762" t="inlineStr">
        <is>
          <t>2256652150002656</t>
        </is>
      </c>
      <c r="AZ762" t="inlineStr">
        <is>
          <t>BOOK</t>
        </is>
      </c>
      <c r="BC762" t="inlineStr">
        <is>
          <t>32285000415165</t>
        </is>
      </c>
      <c r="BD762" t="inlineStr">
        <is>
          <t>893788753</t>
        </is>
      </c>
    </row>
    <row r="763">
      <c r="A763" t="inlineStr">
        <is>
          <t>No</t>
        </is>
      </c>
      <c r="B763" t="inlineStr">
        <is>
          <t>PS3525.A83 S518</t>
        </is>
      </c>
      <c r="C763" t="inlineStr">
        <is>
          <t>0                      PS 3525000A  83                 S  518</t>
        </is>
      </c>
      <c r="D763" t="inlineStr">
        <is>
          <t>Spoon River revisited.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Hartley, Lois Teal, 1923-</t>
        </is>
      </c>
      <c r="L763" t="inlineStr">
        <is>
          <t>Muncie, Ind., Ball State Teachers College [1963?]</t>
        </is>
      </c>
      <c r="M763" t="inlineStr">
        <is>
          <t>1963</t>
        </is>
      </c>
      <c r="O763" t="inlineStr">
        <is>
          <t>eng</t>
        </is>
      </c>
      <c r="P763" t="inlineStr">
        <is>
          <t>inu</t>
        </is>
      </c>
      <c r="Q763" t="inlineStr">
        <is>
          <t>Ball State monograph ; no. 1</t>
        </is>
      </c>
      <c r="R763" t="inlineStr">
        <is>
          <t xml:space="preserve">PS </t>
        </is>
      </c>
      <c r="S763" t="n">
        <v>2</v>
      </c>
      <c r="T763" t="n">
        <v>2</v>
      </c>
      <c r="U763" t="inlineStr">
        <is>
          <t>1998-04-21</t>
        </is>
      </c>
      <c r="V763" t="inlineStr">
        <is>
          <t>1998-04-21</t>
        </is>
      </c>
      <c r="W763" t="inlineStr">
        <is>
          <t>1997-06-11</t>
        </is>
      </c>
      <c r="X763" t="inlineStr">
        <is>
          <t>1997-06-11</t>
        </is>
      </c>
      <c r="Y763" t="n">
        <v>405</v>
      </c>
      <c r="Z763" t="n">
        <v>392</v>
      </c>
      <c r="AA763" t="n">
        <v>403</v>
      </c>
      <c r="AB763" t="n">
        <v>5</v>
      </c>
      <c r="AC763" t="n">
        <v>5</v>
      </c>
      <c r="AD763" t="n">
        <v>21</v>
      </c>
      <c r="AE763" t="n">
        <v>21</v>
      </c>
      <c r="AF763" t="n">
        <v>7</v>
      </c>
      <c r="AG763" t="n">
        <v>7</v>
      </c>
      <c r="AH763" t="n">
        <v>4</v>
      </c>
      <c r="AI763" t="n">
        <v>4</v>
      </c>
      <c r="AJ763" t="n">
        <v>11</v>
      </c>
      <c r="AK763" t="n">
        <v>11</v>
      </c>
      <c r="AL763" t="n">
        <v>4</v>
      </c>
      <c r="AM763" t="n">
        <v>4</v>
      </c>
      <c r="AN763" t="n">
        <v>0</v>
      </c>
      <c r="AO763" t="n">
        <v>0</v>
      </c>
      <c r="AP763" t="inlineStr">
        <is>
          <t>Yes</t>
        </is>
      </c>
      <c r="AQ763" t="inlineStr">
        <is>
          <t>No</t>
        </is>
      </c>
      <c r="AR763">
        <f>HYPERLINK("http://catalog.hathitrust.org/Record/001655354","HathiTrust Record")</f>
        <v/>
      </c>
      <c r="AS763">
        <f>HYPERLINK("https://creighton-primo.hosted.exlibrisgroup.com/primo-explore/search?tab=default_tab&amp;search_scope=EVERYTHING&amp;vid=01CRU&amp;lang=en_US&amp;offset=0&amp;query=any,contains,991003989929702656","Catalog Record")</f>
        <v/>
      </c>
      <c r="AT763">
        <f>HYPERLINK("http://www.worldcat.org/oclc/2043160","WorldCat Record")</f>
        <v/>
      </c>
      <c r="AU763" t="inlineStr">
        <is>
          <t>3220596:eng</t>
        </is>
      </c>
      <c r="AV763" t="inlineStr">
        <is>
          <t>2043160</t>
        </is>
      </c>
      <c r="AW763" t="inlineStr">
        <is>
          <t>991003989929702656</t>
        </is>
      </c>
      <c r="AX763" t="inlineStr">
        <is>
          <t>991003989929702656</t>
        </is>
      </c>
      <c r="AY763" t="inlineStr">
        <is>
          <t>2272664490002656</t>
        </is>
      </c>
      <c r="AZ763" t="inlineStr">
        <is>
          <t>BOOK</t>
        </is>
      </c>
      <c r="BC763" t="inlineStr">
        <is>
          <t>32285002788213</t>
        </is>
      </c>
      <c r="BD763" t="inlineStr">
        <is>
          <t>893240878</t>
        </is>
      </c>
    </row>
    <row r="764">
      <c r="A764" t="inlineStr">
        <is>
          <t>No</t>
        </is>
      </c>
      <c r="B764" t="inlineStr">
        <is>
          <t>PS3525.A83 Z77</t>
        </is>
      </c>
      <c r="C764" t="inlineStr">
        <is>
          <t>0                      PS 3525000A  83                 Z  77</t>
        </is>
      </c>
      <c r="D764" t="inlineStr">
        <is>
          <t>Edgar Lee Masters : a biographical sketchbook about a famous American author / Hardin Wallace Masters.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Masters, Hardin Wallace, 1899-</t>
        </is>
      </c>
      <c r="L764" t="inlineStr">
        <is>
          <t>Rutherford [N.J.] : Fairleigh Dickinson University Press, c1978.</t>
        </is>
      </c>
      <c r="M764" t="inlineStr">
        <is>
          <t>1978</t>
        </is>
      </c>
      <c r="O764" t="inlineStr">
        <is>
          <t>eng</t>
        </is>
      </c>
      <c r="P764" t="inlineStr">
        <is>
          <t>nju</t>
        </is>
      </c>
      <c r="R764" t="inlineStr">
        <is>
          <t xml:space="preserve">PS </t>
        </is>
      </c>
      <c r="S764" t="n">
        <v>2</v>
      </c>
      <c r="T764" t="n">
        <v>2</v>
      </c>
      <c r="U764" t="inlineStr">
        <is>
          <t>1998-04-21</t>
        </is>
      </c>
      <c r="V764" t="inlineStr">
        <is>
          <t>1998-04-21</t>
        </is>
      </c>
      <c r="W764" t="inlineStr">
        <is>
          <t>1990-11-19</t>
        </is>
      </c>
      <c r="X764" t="inlineStr">
        <is>
          <t>1990-11-19</t>
        </is>
      </c>
      <c r="Y764" t="n">
        <v>285</v>
      </c>
      <c r="Z764" t="n">
        <v>254</v>
      </c>
      <c r="AA764" t="n">
        <v>269</v>
      </c>
      <c r="AB764" t="n">
        <v>3</v>
      </c>
      <c r="AC764" t="n">
        <v>3</v>
      </c>
      <c r="AD764" t="n">
        <v>13</v>
      </c>
      <c r="AE764" t="n">
        <v>13</v>
      </c>
      <c r="AF764" t="n">
        <v>5</v>
      </c>
      <c r="AG764" t="n">
        <v>5</v>
      </c>
      <c r="AH764" t="n">
        <v>4</v>
      </c>
      <c r="AI764" t="n">
        <v>4</v>
      </c>
      <c r="AJ764" t="n">
        <v>5</v>
      </c>
      <c r="AK764" t="n">
        <v>5</v>
      </c>
      <c r="AL764" t="n">
        <v>2</v>
      </c>
      <c r="AM764" t="n">
        <v>2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HYPERLINK("http://catalog.hathitrust.org/Record/000296144","HathiTrust Record")</f>
        <v/>
      </c>
      <c r="AS764">
        <f>HYPERLINK("https://creighton-primo.hosted.exlibrisgroup.com/primo-explore/search?tab=default_tab&amp;search_scope=EVERYTHING&amp;vid=01CRU&amp;lang=en_US&amp;offset=0&amp;query=any,contains,991004385509702656","Catalog Record")</f>
        <v/>
      </c>
      <c r="AT764">
        <f>HYPERLINK("http://www.worldcat.org/oclc/3240647","WorldCat Record")</f>
        <v/>
      </c>
      <c r="AU764" t="inlineStr">
        <is>
          <t>424418926:eng</t>
        </is>
      </c>
      <c r="AV764" t="inlineStr">
        <is>
          <t>3240647</t>
        </is>
      </c>
      <c r="AW764" t="inlineStr">
        <is>
          <t>991004385509702656</t>
        </is>
      </c>
      <c r="AX764" t="inlineStr">
        <is>
          <t>991004385509702656</t>
        </is>
      </c>
      <c r="AY764" t="inlineStr">
        <is>
          <t>2271692950002656</t>
        </is>
      </c>
      <c r="AZ764" t="inlineStr">
        <is>
          <t>BOOK</t>
        </is>
      </c>
      <c r="BB764" t="inlineStr">
        <is>
          <t>9780838620311</t>
        </is>
      </c>
      <c r="BC764" t="inlineStr">
        <is>
          <t>32285000415173</t>
        </is>
      </c>
      <c r="BD764" t="inlineStr">
        <is>
          <t>893417555</t>
        </is>
      </c>
    </row>
    <row r="765">
      <c r="A765" t="inlineStr">
        <is>
          <t>No</t>
        </is>
      </c>
      <c r="B765" t="inlineStr">
        <is>
          <t>PS3525.A83 Z88 1983</t>
        </is>
      </c>
      <c r="C765" t="inlineStr">
        <is>
          <t>0                      PS 3525000A  83                 Z  88          1983</t>
        </is>
      </c>
      <c r="D765" t="inlineStr">
        <is>
          <t>Edgar Lee Masters / by John H. Wrenn and Margaret M. Wrenn.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Wrenn, John H.</t>
        </is>
      </c>
      <c r="L765" t="inlineStr">
        <is>
          <t>Boston : Twayne, c1983.</t>
        </is>
      </c>
      <c r="M765" t="inlineStr">
        <is>
          <t>1983</t>
        </is>
      </c>
      <c r="O765" t="inlineStr">
        <is>
          <t>eng</t>
        </is>
      </c>
      <c r="P765" t="inlineStr">
        <is>
          <t>mau</t>
        </is>
      </c>
      <c r="Q765" t="inlineStr">
        <is>
          <t>Twayne's United States authors series ; TUSAS 456</t>
        </is>
      </c>
      <c r="R765" t="inlineStr">
        <is>
          <t xml:space="preserve">PS </t>
        </is>
      </c>
      <c r="S765" t="n">
        <v>2</v>
      </c>
      <c r="T765" t="n">
        <v>2</v>
      </c>
      <c r="U765" t="inlineStr">
        <is>
          <t>1998-04-21</t>
        </is>
      </c>
      <c r="V765" t="inlineStr">
        <is>
          <t>1998-04-21</t>
        </is>
      </c>
      <c r="W765" t="inlineStr">
        <is>
          <t>1990-11-21</t>
        </is>
      </c>
      <c r="X765" t="inlineStr">
        <is>
          <t>1990-11-21</t>
        </is>
      </c>
      <c r="Y765" t="n">
        <v>918</v>
      </c>
      <c r="Z765" t="n">
        <v>842</v>
      </c>
      <c r="AA765" t="n">
        <v>936</v>
      </c>
      <c r="AB765" t="n">
        <v>9</v>
      </c>
      <c r="AC765" t="n">
        <v>9</v>
      </c>
      <c r="AD765" t="n">
        <v>31</v>
      </c>
      <c r="AE765" t="n">
        <v>33</v>
      </c>
      <c r="AF765" t="n">
        <v>10</v>
      </c>
      <c r="AG765" t="n">
        <v>11</v>
      </c>
      <c r="AH765" t="n">
        <v>6</v>
      </c>
      <c r="AI765" t="n">
        <v>6</v>
      </c>
      <c r="AJ765" t="n">
        <v>15</v>
      </c>
      <c r="AK765" t="n">
        <v>16</v>
      </c>
      <c r="AL765" t="n">
        <v>8</v>
      </c>
      <c r="AM765" t="n">
        <v>8</v>
      </c>
      <c r="AN765" t="n">
        <v>0</v>
      </c>
      <c r="AO765" t="n">
        <v>0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HYPERLINK("http://catalog.hathitrust.org/Record/000201142","HathiTrust Record")</f>
        <v/>
      </c>
      <c r="AS765">
        <f>HYPERLINK("https://creighton-primo.hosted.exlibrisgroup.com/primo-explore/search?tab=default_tab&amp;search_scope=EVERYTHING&amp;vid=01CRU&amp;lang=en_US&amp;offset=0&amp;query=any,contains,991000235799702656","Catalog Record")</f>
        <v/>
      </c>
      <c r="AT765">
        <f>HYPERLINK("http://www.worldcat.org/oclc/9647086","WorldCat Record")</f>
        <v/>
      </c>
      <c r="AU765" t="inlineStr">
        <is>
          <t>196860118:eng</t>
        </is>
      </c>
      <c r="AV765" t="inlineStr">
        <is>
          <t>9647086</t>
        </is>
      </c>
      <c r="AW765" t="inlineStr">
        <is>
          <t>991000235799702656</t>
        </is>
      </c>
      <c r="AX765" t="inlineStr">
        <is>
          <t>991000235799702656</t>
        </is>
      </c>
      <c r="AY765" t="inlineStr">
        <is>
          <t>2270635910002656</t>
        </is>
      </c>
      <c r="AZ765" t="inlineStr">
        <is>
          <t>BOOK</t>
        </is>
      </c>
      <c r="BB765" t="inlineStr">
        <is>
          <t>9780805773965</t>
        </is>
      </c>
      <c r="BC765" t="inlineStr">
        <is>
          <t>32285000416106</t>
        </is>
      </c>
      <c r="BD765" t="inlineStr">
        <is>
          <t>893339408</t>
        </is>
      </c>
    </row>
    <row r="766">
      <c r="A766" t="inlineStr">
        <is>
          <t>No</t>
        </is>
      </c>
      <c r="B766" t="inlineStr">
        <is>
          <t>PS3525.E43 Z467 1994</t>
        </is>
      </c>
      <c r="C766" t="inlineStr">
        <is>
          <t>0                      PS 3525000E  43                 Z  467         1994</t>
        </is>
      </c>
      <c r="D766" t="inlineStr">
        <is>
          <t>Mencken : a life / Fred Hobson.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Hobson, Fred, 1943-</t>
        </is>
      </c>
      <c r="L766" t="inlineStr">
        <is>
          <t>New York : Random House, c1994.</t>
        </is>
      </c>
      <c r="M766" t="inlineStr">
        <is>
          <t>1994</t>
        </is>
      </c>
      <c r="N766" t="inlineStr">
        <is>
          <t>1st ed.</t>
        </is>
      </c>
      <c r="O766" t="inlineStr">
        <is>
          <t>eng</t>
        </is>
      </c>
      <c r="P766" t="inlineStr">
        <is>
          <t>nyu</t>
        </is>
      </c>
      <c r="R766" t="inlineStr">
        <is>
          <t xml:space="preserve">PS </t>
        </is>
      </c>
      <c r="S766" t="n">
        <v>2</v>
      </c>
      <c r="T766" t="n">
        <v>2</v>
      </c>
      <c r="U766" t="inlineStr">
        <is>
          <t>1994-07-13</t>
        </is>
      </c>
      <c r="V766" t="inlineStr">
        <is>
          <t>1994-07-13</t>
        </is>
      </c>
      <c r="W766" t="inlineStr">
        <is>
          <t>1994-06-08</t>
        </is>
      </c>
      <c r="X766" t="inlineStr">
        <is>
          <t>1994-06-08</t>
        </is>
      </c>
      <c r="Y766" t="n">
        <v>802</v>
      </c>
      <c r="Z766" t="n">
        <v>760</v>
      </c>
      <c r="AA766" t="n">
        <v>923</v>
      </c>
      <c r="AB766" t="n">
        <v>4</v>
      </c>
      <c r="AC766" t="n">
        <v>4</v>
      </c>
      <c r="AD766" t="n">
        <v>31</v>
      </c>
      <c r="AE766" t="n">
        <v>32</v>
      </c>
      <c r="AF766" t="n">
        <v>14</v>
      </c>
      <c r="AG766" t="n">
        <v>15</v>
      </c>
      <c r="AH766" t="n">
        <v>8</v>
      </c>
      <c r="AI766" t="n">
        <v>9</v>
      </c>
      <c r="AJ766" t="n">
        <v>14</v>
      </c>
      <c r="AK766" t="n">
        <v>14</v>
      </c>
      <c r="AL766" t="n">
        <v>3</v>
      </c>
      <c r="AM766" t="n">
        <v>3</v>
      </c>
      <c r="AN766" t="n">
        <v>0</v>
      </c>
      <c r="AO766" t="n">
        <v>0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HYPERLINK("http://catalog.hathitrust.org/Record/002871093","HathiTrust Record")</f>
        <v/>
      </c>
      <c r="AS766">
        <f>HYPERLINK("https://creighton-primo.hosted.exlibrisgroup.com/primo-explore/search?tab=default_tab&amp;search_scope=EVERYTHING&amp;vid=01CRU&amp;lang=en_US&amp;offset=0&amp;query=any,contains,991002223949702656","Catalog Record")</f>
        <v/>
      </c>
      <c r="AT766">
        <f>HYPERLINK("http://www.worldcat.org/oclc/28634851","WorldCat Record")</f>
        <v/>
      </c>
      <c r="AU766" t="inlineStr">
        <is>
          <t>335879:eng</t>
        </is>
      </c>
      <c r="AV766" t="inlineStr">
        <is>
          <t>28634851</t>
        </is>
      </c>
      <c r="AW766" t="inlineStr">
        <is>
          <t>991002223949702656</t>
        </is>
      </c>
      <c r="AX766" t="inlineStr">
        <is>
          <t>991002223949702656</t>
        </is>
      </c>
      <c r="AY766" t="inlineStr">
        <is>
          <t>2257382630002656</t>
        </is>
      </c>
      <c r="AZ766" t="inlineStr">
        <is>
          <t>BOOK</t>
        </is>
      </c>
      <c r="BB766" t="inlineStr">
        <is>
          <t>9780394563299</t>
        </is>
      </c>
      <c r="BC766" t="inlineStr">
        <is>
          <t>32285001922227</t>
        </is>
      </c>
      <c r="BD766" t="inlineStr">
        <is>
          <t>893892288</t>
        </is>
      </c>
    </row>
    <row r="767">
      <c r="A767" t="inlineStr">
        <is>
          <t>No</t>
        </is>
      </c>
      <c r="B767" t="inlineStr">
        <is>
          <t>PS3525.E43 Z74</t>
        </is>
      </c>
      <c r="C767" t="inlineStr">
        <is>
          <t>0                      PS 3525000E  43                 Z  74</t>
        </is>
      </c>
      <c r="D767" t="inlineStr">
        <is>
          <t>The Merrill guide to H. L. Mencken [by] William H. Nolte.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Nolte, William H. (William Henry), 1928-1999.</t>
        </is>
      </c>
      <c r="L767" t="inlineStr">
        <is>
          <t>Columbus, Ohio, C. E. Merrill Pub. Co. [1969]</t>
        </is>
      </c>
      <c r="M767" t="inlineStr">
        <is>
          <t>1969</t>
        </is>
      </c>
      <c r="O767" t="inlineStr">
        <is>
          <t>eng</t>
        </is>
      </c>
      <c r="P767" t="inlineStr">
        <is>
          <t>ohu</t>
        </is>
      </c>
      <c r="Q767" t="inlineStr">
        <is>
          <t>Charles E. Merrill program in American literature. Charles E. Merrill guides</t>
        </is>
      </c>
      <c r="R767" t="inlineStr">
        <is>
          <t xml:space="preserve">PS </t>
        </is>
      </c>
      <c r="S767" t="n">
        <v>2</v>
      </c>
      <c r="T767" t="n">
        <v>2</v>
      </c>
      <c r="U767" t="inlineStr">
        <is>
          <t>1997-10-28</t>
        </is>
      </c>
      <c r="V767" t="inlineStr">
        <is>
          <t>1997-10-28</t>
        </is>
      </c>
      <c r="W767" t="inlineStr">
        <is>
          <t>1997-06-11</t>
        </is>
      </c>
      <c r="X767" t="inlineStr">
        <is>
          <t>1997-06-11</t>
        </is>
      </c>
      <c r="Y767" t="n">
        <v>195</v>
      </c>
      <c r="Z767" t="n">
        <v>180</v>
      </c>
      <c r="AA767" t="n">
        <v>180</v>
      </c>
      <c r="AB767" t="n">
        <v>2</v>
      </c>
      <c r="AC767" t="n">
        <v>2</v>
      </c>
      <c r="AD767" t="n">
        <v>2</v>
      </c>
      <c r="AE767" t="n">
        <v>2</v>
      </c>
      <c r="AF767" t="n">
        <v>0</v>
      </c>
      <c r="AG767" t="n">
        <v>0</v>
      </c>
      <c r="AH767" t="n">
        <v>0</v>
      </c>
      <c r="AI767" t="n">
        <v>0</v>
      </c>
      <c r="AJ767" t="n">
        <v>1</v>
      </c>
      <c r="AK767" t="n">
        <v>1</v>
      </c>
      <c r="AL767" t="n">
        <v>1</v>
      </c>
      <c r="AM767" t="n">
        <v>1</v>
      </c>
      <c r="AN767" t="n">
        <v>0</v>
      </c>
      <c r="AO767" t="n">
        <v>0</v>
      </c>
      <c r="AP767" t="inlineStr">
        <is>
          <t>No</t>
        </is>
      </c>
      <c r="AQ767" t="inlineStr">
        <is>
          <t>No</t>
        </is>
      </c>
      <c r="AS767">
        <f>HYPERLINK("https://creighton-primo.hosted.exlibrisgroup.com/primo-explore/search?tab=default_tab&amp;search_scope=EVERYTHING&amp;vid=01CRU&amp;lang=en_US&amp;offset=0&amp;query=any,contains,991000081209702656","Catalog Record")</f>
        <v/>
      </c>
      <c r="AT767">
        <f>HYPERLINK("http://www.worldcat.org/oclc/31555","WorldCat Record")</f>
        <v/>
      </c>
      <c r="AU767" t="inlineStr">
        <is>
          <t>1183046:eng</t>
        </is>
      </c>
      <c r="AV767" t="inlineStr">
        <is>
          <t>31555</t>
        </is>
      </c>
      <c r="AW767" t="inlineStr">
        <is>
          <t>991000081209702656</t>
        </is>
      </c>
      <c r="AX767" t="inlineStr">
        <is>
          <t>991000081209702656</t>
        </is>
      </c>
      <c r="AY767" t="inlineStr">
        <is>
          <t>2261163210002656</t>
        </is>
      </c>
      <c r="AZ767" t="inlineStr">
        <is>
          <t>BOOK</t>
        </is>
      </c>
      <c r="BB767" t="inlineStr">
        <is>
          <t>9780675094207</t>
        </is>
      </c>
      <c r="BC767" t="inlineStr">
        <is>
          <t>32285002788452</t>
        </is>
      </c>
      <c r="BD767" t="inlineStr">
        <is>
          <t>893708094</t>
        </is>
      </c>
    </row>
    <row r="768">
      <c r="A768" t="inlineStr">
        <is>
          <t>No</t>
        </is>
      </c>
      <c r="B768" t="inlineStr">
        <is>
          <t>PS3525.E6645 Z77</t>
        </is>
      </c>
      <c r="C768" t="inlineStr">
        <is>
          <t>0                      PS 3525000E  6645               Z  77</t>
        </is>
      </c>
      <c r="D768" t="inlineStr">
        <is>
          <t>James Merrill / by Ross Labrie.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Labrie, Ross.</t>
        </is>
      </c>
      <c r="L768" t="inlineStr">
        <is>
          <t>Boston : Twayne Publishers, c1982.</t>
        </is>
      </c>
      <c r="M768" t="inlineStr">
        <is>
          <t>1982</t>
        </is>
      </c>
      <c r="O768" t="inlineStr">
        <is>
          <t>eng</t>
        </is>
      </c>
      <c r="P768" t="inlineStr">
        <is>
          <t>mau</t>
        </is>
      </c>
      <c r="Q768" t="inlineStr">
        <is>
          <t>Twayne's United States authors series ; TUSAS 427</t>
        </is>
      </c>
      <c r="R768" t="inlineStr">
        <is>
          <t xml:space="preserve">PS </t>
        </is>
      </c>
      <c r="S768" t="n">
        <v>8</v>
      </c>
      <c r="T768" t="n">
        <v>8</v>
      </c>
      <c r="U768" t="inlineStr">
        <is>
          <t>1996-03-19</t>
        </is>
      </c>
      <c r="V768" t="inlineStr">
        <is>
          <t>1996-03-19</t>
        </is>
      </c>
      <c r="W768" t="inlineStr">
        <is>
          <t>1990-11-19</t>
        </is>
      </c>
      <c r="X768" t="inlineStr">
        <is>
          <t>1990-11-19</t>
        </is>
      </c>
      <c r="Y768" t="n">
        <v>685</v>
      </c>
      <c r="Z768" t="n">
        <v>606</v>
      </c>
      <c r="AA768" t="n">
        <v>609</v>
      </c>
      <c r="AB768" t="n">
        <v>5</v>
      </c>
      <c r="AC768" t="n">
        <v>5</v>
      </c>
      <c r="AD768" t="n">
        <v>24</v>
      </c>
      <c r="AE768" t="n">
        <v>24</v>
      </c>
      <c r="AF768" t="n">
        <v>8</v>
      </c>
      <c r="AG768" t="n">
        <v>8</v>
      </c>
      <c r="AH768" t="n">
        <v>5</v>
      </c>
      <c r="AI768" t="n">
        <v>5</v>
      </c>
      <c r="AJ768" t="n">
        <v>15</v>
      </c>
      <c r="AK768" t="n">
        <v>15</v>
      </c>
      <c r="AL768" t="n">
        <v>4</v>
      </c>
      <c r="AM768" t="n">
        <v>4</v>
      </c>
      <c r="AN768" t="n">
        <v>0</v>
      </c>
      <c r="AO768" t="n">
        <v>0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HYPERLINK("http://catalog.hathitrust.org/Record/000229928","HathiTrust Record")</f>
        <v/>
      </c>
      <c r="AS768">
        <f>HYPERLINK("https://creighton-primo.hosted.exlibrisgroup.com/primo-explore/search?tab=default_tab&amp;search_scope=EVERYTHING&amp;vid=01CRU&amp;lang=en_US&amp;offset=0&amp;query=any,contains,991005229199702656","Catalog Record")</f>
        <v/>
      </c>
      <c r="AT768">
        <f>HYPERLINK("http://www.worldcat.org/oclc/8306411","WorldCat Record")</f>
        <v/>
      </c>
      <c r="AU768" t="inlineStr">
        <is>
          <t>5610894018:eng</t>
        </is>
      </c>
      <c r="AV768" t="inlineStr">
        <is>
          <t>8306411</t>
        </is>
      </c>
      <c r="AW768" t="inlineStr">
        <is>
          <t>991005229199702656</t>
        </is>
      </c>
      <c r="AX768" t="inlineStr">
        <is>
          <t>991005229199702656</t>
        </is>
      </c>
      <c r="AY768" t="inlineStr">
        <is>
          <t>2269229190002656</t>
        </is>
      </c>
      <c r="AZ768" t="inlineStr">
        <is>
          <t>BOOK</t>
        </is>
      </c>
      <c r="BB768" t="inlineStr">
        <is>
          <t>9780805773613</t>
        </is>
      </c>
      <c r="BC768" t="inlineStr">
        <is>
          <t>32285000415272</t>
        </is>
      </c>
      <c r="BD768" t="inlineStr">
        <is>
          <t>893353775</t>
        </is>
      </c>
    </row>
    <row r="769">
      <c r="A769" t="inlineStr">
        <is>
          <t>No</t>
        </is>
      </c>
      <c r="B769" t="inlineStr">
        <is>
          <t>PS3525.E7174 Z73 1984</t>
        </is>
      </c>
      <c r="C769" t="inlineStr">
        <is>
          <t>0                      PS 3525000E  7174               Z  73          1984</t>
        </is>
      </c>
      <c r="D769" t="inlineStr">
        <is>
          <t>Thomas Merton / by Victor A. Kramer.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Kramer, Victor A.</t>
        </is>
      </c>
      <c r="L769" t="inlineStr">
        <is>
          <t>Boston : Twayne Publishers, c1984.</t>
        </is>
      </c>
      <c r="M769" t="inlineStr">
        <is>
          <t>1984</t>
        </is>
      </c>
      <c r="O769" t="inlineStr">
        <is>
          <t>eng</t>
        </is>
      </c>
      <c r="P769" t="inlineStr">
        <is>
          <t>mau</t>
        </is>
      </c>
      <c r="Q769" t="inlineStr">
        <is>
          <t>Twayne's United States authors series ; TUSAS 462</t>
        </is>
      </c>
      <c r="R769" t="inlineStr">
        <is>
          <t xml:space="preserve">PS </t>
        </is>
      </c>
      <c r="S769" t="n">
        <v>7</v>
      </c>
      <c r="T769" t="n">
        <v>7</v>
      </c>
      <c r="U769" t="inlineStr">
        <is>
          <t>2001-11-14</t>
        </is>
      </c>
      <c r="V769" t="inlineStr">
        <is>
          <t>2001-11-14</t>
        </is>
      </c>
      <c r="W769" t="inlineStr">
        <is>
          <t>1990-08-03</t>
        </is>
      </c>
      <c r="X769" t="inlineStr">
        <is>
          <t>1990-08-03</t>
        </is>
      </c>
      <c r="Y769" t="n">
        <v>786</v>
      </c>
      <c r="Z769" t="n">
        <v>712</v>
      </c>
      <c r="AA769" t="n">
        <v>719</v>
      </c>
      <c r="AB769" t="n">
        <v>6</v>
      </c>
      <c r="AC769" t="n">
        <v>6</v>
      </c>
      <c r="AD769" t="n">
        <v>28</v>
      </c>
      <c r="AE769" t="n">
        <v>28</v>
      </c>
      <c r="AF769" t="n">
        <v>9</v>
      </c>
      <c r="AG769" t="n">
        <v>9</v>
      </c>
      <c r="AH769" t="n">
        <v>6</v>
      </c>
      <c r="AI769" t="n">
        <v>6</v>
      </c>
      <c r="AJ769" t="n">
        <v>15</v>
      </c>
      <c r="AK769" t="n">
        <v>15</v>
      </c>
      <c r="AL769" t="n">
        <v>5</v>
      </c>
      <c r="AM769" t="n">
        <v>5</v>
      </c>
      <c r="AN769" t="n">
        <v>0</v>
      </c>
      <c r="AO769" t="n">
        <v>0</v>
      </c>
      <c r="AP769" t="inlineStr">
        <is>
          <t>No</t>
        </is>
      </c>
      <c r="AQ769" t="inlineStr">
        <is>
          <t>Yes</t>
        </is>
      </c>
      <c r="AR769">
        <f>HYPERLINK("http://catalog.hathitrust.org/Record/000291012","HathiTrust Record")</f>
        <v/>
      </c>
      <c r="AS769">
        <f>HYPERLINK("https://creighton-primo.hosted.exlibrisgroup.com/primo-explore/search?tab=default_tab&amp;search_scope=EVERYTHING&amp;vid=01CRU&amp;lang=en_US&amp;offset=0&amp;query=any,contains,991000407599702656","Catalog Record")</f>
        <v/>
      </c>
      <c r="AT769">
        <f>HYPERLINK("http://www.worldcat.org/oclc/10695838","WorldCat Record")</f>
        <v/>
      </c>
      <c r="AU769" t="inlineStr">
        <is>
          <t>3428908:eng</t>
        </is>
      </c>
      <c r="AV769" t="inlineStr">
        <is>
          <t>10695838</t>
        </is>
      </c>
      <c r="AW769" t="inlineStr">
        <is>
          <t>991000407599702656</t>
        </is>
      </c>
      <c r="AX769" t="inlineStr">
        <is>
          <t>991000407599702656</t>
        </is>
      </c>
      <c r="AY769" t="inlineStr">
        <is>
          <t>2267189110002656</t>
        </is>
      </c>
      <c r="AZ769" t="inlineStr">
        <is>
          <t>BOOK</t>
        </is>
      </c>
      <c r="BB769" t="inlineStr">
        <is>
          <t>9780805774023</t>
        </is>
      </c>
      <c r="BC769" t="inlineStr">
        <is>
          <t>32285000263979</t>
        </is>
      </c>
      <c r="BD769" t="inlineStr">
        <is>
          <t>893237281</t>
        </is>
      </c>
    </row>
    <row r="770">
      <c r="A770" t="inlineStr">
        <is>
          <t>No</t>
        </is>
      </c>
      <c r="B770" t="inlineStr">
        <is>
          <t>PS3525.E7174 Z73 1987</t>
        </is>
      </c>
      <c r="C770" t="inlineStr">
        <is>
          <t>0                      PS 3525000E  7174               Z  73          1987</t>
        </is>
      </c>
      <c r="D770" t="inlineStr">
        <is>
          <t>Thomas Merton, monk and artist / by Victor A. Kramer.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Kramer, Victor A.</t>
        </is>
      </c>
      <c r="L770" t="inlineStr">
        <is>
          <t>Kalamazoo, Mich. : Cistercian Publications, [1987] c1984.</t>
        </is>
      </c>
      <c r="M770" t="inlineStr">
        <is>
          <t>1987</t>
        </is>
      </c>
      <c r="O770" t="inlineStr">
        <is>
          <t>eng</t>
        </is>
      </c>
      <c r="P770" t="inlineStr">
        <is>
          <t>miu</t>
        </is>
      </c>
      <c r="Q770" t="inlineStr">
        <is>
          <t>Cistercian studies series ; no. 102</t>
        </is>
      </c>
      <c r="R770" t="inlineStr">
        <is>
          <t xml:space="preserve">PS </t>
        </is>
      </c>
      <c r="S770" t="n">
        <v>8</v>
      </c>
      <c r="T770" t="n">
        <v>8</v>
      </c>
      <c r="U770" t="inlineStr">
        <is>
          <t>1999-04-22</t>
        </is>
      </c>
      <c r="V770" t="inlineStr">
        <is>
          <t>1999-04-22</t>
        </is>
      </c>
      <c r="W770" t="inlineStr">
        <is>
          <t>1992-04-27</t>
        </is>
      </c>
      <c r="X770" t="inlineStr">
        <is>
          <t>1992-04-27</t>
        </is>
      </c>
      <c r="Y770" t="n">
        <v>219</v>
      </c>
      <c r="Z770" t="n">
        <v>186</v>
      </c>
      <c r="AA770" t="n">
        <v>193</v>
      </c>
      <c r="AB770" t="n">
        <v>1</v>
      </c>
      <c r="AC770" t="n">
        <v>1</v>
      </c>
      <c r="AD770" t="n">
        <v>17</v>
      </c>
      <c r="AE770" t="n">
        <v>17</v>
      </c>
      <c r="AF770" t="n">
        <v>6</v>
      </c>
      <c r="AG770" t="n">
        <v>6</v>
      </c>
      <c r="AH770" t="n">
        <v>6</v>
      </c>
      <c r="AI770" t="n">
        <v>6</v>
      </c>
      <c r="AJ770" t="n">
        <v>12</v>
      </c>
      <c r="AK770" t="n">
        <v>12</v>
      </c>
      <c r="AL770" t="n">
        <v>0</v>
      </c>
      <c r="AM770" t="n">
        <v>0</v>
      </c>
      <c r="AN770" t="n">
        <v>0</v>
      </c>
      <c r="AO770" t="n">
        <v>0</v>
      </c>
      <c r="AP770" t="inlineStr">
        <is>
          <t>No</t>
        </is>
      </c>
      <c r="AQ770" t="inlineStr">
        <is>
          <t>Yes</t>
        </is>
      </c>
      <c r="AR770">
        <f>HYPERLINK("http://catalog.hathitrust.org/Record/000907056","HathiTrust Record")</f>
        <v/>
      </c>
      <c r="AS770">
        <f>HYPERLINK("https://creighton-primo.hosted.exlibrisgroup.com/primo-explore/search?tab=default_tab&amp;search_scope=EVERYTHING&amp;vid=01CRU&amp;lang=en_US&amp;offset=0&amp;query=any,contains,991001019799702656","Catalog Record")</f>
        <v/>
      </c>
      <c r="AT770">
        <f>HYPERLINK("http://www.worldcat.org/oclc/15366064","WorldCat Record")</f>
        <v/>
      </c>
      <c r="AU770" t="inlineStr">
        <is>
          <t>3945658753:eng</t>
        </is>
      </c>
      <c r="AV770" t="inlineStr">
        <is>
          <t>15366064</t>
        </is>
      </c>
      <c r="AW770" t="inlineStr">
        <is>
          <t>991001019799702656</t>
        </is>
      </c>
      <c r="AX770" t="inlineStr">
        <is>
          <t>991001019799702656</t>
        </is>
      </c>
      <c r="AY770" t="inlineStr">
        <is>
          <t>2261791400002656</t>
        </is>
      </c>
      <c r="AZ770" t="inlineStr">
        <is>
          <t>BOOK</t>
        </is>
      </c>
      <c r="BB770" t="inlineStr">
        <is>
          <t>9780879076023</t>
        </is>
      </c>
      <c r="BC770" t="inlineStr">
        <is>
          <t>32285001072213</t>
        </is>
      </c>
      <c r="BD770" t="inlineStr">
        <is>
          <t>893784743</t>
        </is>
      </c>
    </row>
    <row r="771">
      <c r="A771" t="inlineStr">
        <is>
          <t>No</t>
        </is>
      </c>
      <c r="B771" t="inlineStr">
        <is>
          <t>PS3525.E7174 Z77 1979</t>
        </is>
      </c>
      <c r="C771" t="inlineStr">
        <is>
          <t>0                      PS 3525000E  7174               Z  77          1979</t>
        </is>
      </c>
      <c r="D771" t="inlineStr">
        <is>
          <t>Words and silence : on the poetry of Thomas Merton / Sister Thérèse Lentfoehr.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Lentfoehr, Thérèse, 1902-1981.</t>
        </is>
      </c>
      <c r="L771" t="inlineStr">
        <is>
          <t>New York : New Directions Pub. Corp., c1979.</t>
        </is>
      </c>
      <c r="M771" t="inlineStr">
        <is>
          <t>1979</t>
        </is>
      </c>
      <c r="O771" t="inlineStr">
        <is>
          <t>eng</t>
        </is>
      </c>
      <c r="P771" t="inlineStr">
        <is>
          <t>nyu</t>
        </is>
      </c>
      <c r="R771" t="inlineStr">
        <is>
          <t xml:space="preserve">PS </t>
        </is>
      </c>
      <c r="S771" t="n">
        <v>4</v>
      </c>
      <c r="T771" t="n">
        <v>4</v>
      </c>
      <c r="U771" t="inlineStr">
        <is>
          <t>1999-04-22</t>
        </is>
      </c>
      <c r="V771" t="inlineStr">
        <is>
          <t>1999-04-22</t>
        </is>
      </c>
      <c r="W771" t="inlineStr">
        <is>
          <t>1990-11-19</t>
        </is>
      </c>
      <c r="X771" t="inlineStr">
        <is>
          <t>1990-11-19</t>
        </is>
      </c>
      <c r="Y771" t="n">
        <v>532</v>
      </c>
      <c r="Z771" t="n">
        <v>477</v>
      </c>
      <c r="AA771" t="n">
        <v>481</v>
      </c>
      <c r="AB771" t="n">
        <v>3</v>
      </c>
      <c r="AC771" t="n">
        <v>3</v>
      </c>
      <c r="AD771" t="n">
        <v>30</v>
      </c>
      <c r="AE771" t="n">
        <v>30</v>
      </c>
      <c r="AF771" t="n">
        <v>12</v>
      </c>
      <c r="AG771" t="n">
        <v>12</v>
      </c>
      <c r="AH771" t="n">
        <v>9</v>
      </c>
      <c r="AI771" t="n">
        <v>9</v>
      </c>
      <c r="AJ771" t="n">
        <v>18</v>
      </c>
      <c r="AK771" t="n">
        <v>18</v>
      </c>
      <c r="AL771" t="n">
        <v>2</v>
      </c>
      <c r="AM771" t="n">
        <v>2</v>
      </c>
      <c r="AN771" t="n">
        <v>0</v>
      </c>
      <c r="AO771" t="n">
        <v>0</v>
      </c>
      <c r="AP771" t="inlineStr">
        <is>
          <t>No</t>
        </is>
      </c>
      <c r="AQ771" t="inlineStr">
        <is>
          <t>Yes</t>
        </is>
      </c>
      <c r="AR771">
        <f>HYPERLINK("http://catalog.hathitrust.org/Record/000256060","HathiTrust Record")</f>
        <v/>
      </c>
      <c r="AS771">
        <f>HYPERLINK("https://creighton-primo.hosted.exlibrisgroup.com/primo-explore/search?tab=default_tab&amp;search_scope=EVERYTHING&amp;vid=01CRU&amp;lang=en_US&amp;offset=0&amp;query=any,contains,991004653649702656","Catalog Record")</f>
        <v/>
      </c>
      <c r="AT771">
        <f>HYPERLINK("http://www.worldcat.org/oclc/4494682","WorldCat Record")</f>
        <v/>
      </c>
      <c r="AU771" t="inlineStr">
        <is>
          <t>470680:eng</t>
        </is>
      </c>
      <c r="AV771" t="inlineStr">
        <is>
          <t>4494682</t>
        </is>
      </c>
      <c r="AW771" t="inlineStr">
        <is>
          <t>991004653649702656</t>
        </is>
      </c>
      <c r="AX771" t="inlineStr">
        <is>
          <t>991004653649702656</t>
        </is>
      </c>
      <c r="AY771" t="inlineStr">
        <is>
          <t>2265347410002656</t>
        </is>
      </c>
      <c r="AZ771" t="inlineStr">
        <is>
          <t>BOOK</t>
        </is>
      </c>
      <c r="BB771" t="inlineStr">
        <is>
          <t>9780811207126</t>
        </is>
      </c>
      <c r="BC771" t="inlineStr">
        <is>
          <t>32285000415314</t>
        </is>
      </c>
      <c r="BD771" t="inlineStr">
        <is>
          <t>893889010</t>
        </is>
      </c>
    </row>
    <row r="772">
      <c r="A772" t="inlineStr">
        <is>
          <t>No</t>
        </is>
      </c>
      <c r="B772" t="inlineStr">
        <is>
          <t>PS3525.I19 Z69 1984</t>
        </is>
      </c>
      <c r="C772" t="inlineStr">
        <is>
          <t>0                      PS 3525000I  19                 Z  69          1984</t>
        </is>
      </c>
      <c r="D772" t="inlineStr">
        <is>
          <t>James A. Michener, a biography / by John P. Hayes.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Hayes, John Phillip, 1949-</t>
        </is>
      </c>
      <c r="L772" t="inlineStr">
        <is>
          <t>Indianapolis : Bobbs-Merrill, 1984.</t>
        </is>
      </c>
      <c r="M772" t="inlineStr">
        <is>
          <t>1984</t>
        </is>
      </c>
      <c r="O772" t="inlineStr">
        <is>
          <t>eng</t>
        </is>
      </c>
      <c r="P772" t="inlineStr">
        <is>
          <t>inu</t>
        </is>
      </c>
      <c r="R772" t="inlineStr">
        <is>
          <t xml:space="preserve">PS </t>
        </is>
      </c>
      <c r="S772" t="n">
        <v>1</v>
      </c>
      <c r="T772" t="n">
        <v>1</v>
      </c>
      <c r="U772" t="inlineStr">
        <is>
          <t>1992-06-16</t>
        </is>
      </c>
      <c r="V772" t="inlineStr">
        <is>
          <t>1992-06-16</t>
        </is>
      </c>
      <c r="W772" t="inlineStr">
        <is>
          <t>1990-11-19</t>
        </is>
      </c>
      <c r="X772" t="inlineStr">
        <is>
          <t>1990-11-19</t>
        </is>
      </c>
      <c r="Y772" t="n">
        <v>893</v>
      </c>
      <c r="Z772" t="n">
        <v>837</v>
      </c>
      <c r="AA772" t="n">
        <v>852</v>
      </c>
      <c r="AB772" t="n">
        <v>4</v>
      </c>
      <c r="AC772" t="n">
        <v>4</v>
      </c>
      <c r="AD772" t="n">
        <v>11</v>
      </c>
      <c r="AE772" t="n">
        <v>11</v>
      </c>
      <c r="AF772" t="n">
        <v>5</v>
      </c>
      <c r="AG772" t="n">
        <v>5</v>
      </c>
      <c r="AH772" t="n">
        <v>2</v>
      </c>
      <c r="AI772" t="n">
        <v>2</v>
      </c>
      <c r="AJ772" t="n">
        <v>5</v>
      </c>
      <c r="AK772" t="n">
        <v>5</v>
      </c>
      <c r="AL772" t="n">
        <v>2</v>
      </c>
      <c r="AM772" t="n">
        <v>2</v>
      </c>
      <c r="AN772" t="n">
        <v>0</v>
      </c>
      <c r="AO772" t="n">
        <v>0</v>
      </c>
      <c r="AP772" t="inlineStr">
        <is>
          <t>No</t>
        </is>
      </c>
      <c r="AQ772" t="inlineStr">
        <is>
          <t>Yes</t>
        </is>
      </c>
      <c r="AR772">
        <f>HYPERLINK("http://catalog.hathitrust.org/Record/000334808","HathiTrust Record")</f>
        <v/>
      </c>
      <c r="AS772">
        <f>HYPERLINK("https://creighton-primo.hosted.exlibrisgroup.com/primo-explore/search?tab=default_tab&amp;search_scope=EVERYTHING&amp;vid=01CRU&amp;lang=en_US&amp;offset=0&amp;query=any,contains,991000273809702656","Catalog Record")</f>
        <v/>
      </c>
      <c r="AT772">
        <f>HYPERLINK("http://www.worldcat.org/oclc/9893389","WorldCat Record")</f>
        <v/>
      </c>
      <c r="AU772" t="inlineStr">
        <is>
          <t>1862627447:eng</t>
        </is>
      </c>
      <c r="AV772" t="inlineStr">
        <is>
          <t>9893389</t>
        </is>
      </c>
      <c r="AW772" t="inlineStr">
        <is>
          <t>991000273809702656</t>
        </is>
      </c>
      <c r="AX772" t="inlineStr">
        <is>
          <t>991000273809702656</t>
        </is>
      </c>
      <c r="AY772" t="inlineStr">
        <is>
          <t>2265756490002656</t>
        </is>
      </c>
      <c r="AZ772" t="inlineStr">
        <is>
          <t>BOOK</t>
        </is>
      </c>
      <c r="BB772" t="inlineStr">
        <is>
          <t>9780672527821</t>
        </is>
      </c>
      <c r="BC772" t="inlineStr">
        <is>
          <t>32285000415397</t>
        </is>
      </c>
      <c r="BD772" t="inlineStr">
        <is>
          <t>893626259</t>
        </is>
      </c>
    </row>
    <row r="773">
      <c r="A773" t="inlineStr">
        <is>
          <t>No</t>
        </is>
      </c>
      <c r="B773" t="inlineStr">
        <is>
          <t>PS3525.I3 I9</t>
        </is>
      </c>
      <c r="C773" t="inlineStr">
        <is>
          <t>0                      PS 3525000I  3                  I  9</t>
        </is>
      </c>
      <c r="D773" t="inlineStr">
        <is>
          <t>The ivy years / Earl Schenck Miers.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Miers, Earl Schenck, 1910-1972.</t>
        </is>
      </c>
      <c r="L773" t="inlineStr">
        <is>
          <t>New Brunswick : Rutgers University Press, 1945.</t>
        </is>
      </c>
      <c r="M773" t="inlineStr">
        <is>
          <t>1945</t>
        </is>
      </c>
      <c r="O773" t="inlineStr">
        <is>
          <t>eng</t>
        </is>
      </c>
      <c r="P773" t="inlineStr">
        <is>
          <t>nju</t>
        </is>
      </c>
      <c r="R773" t="inlineStr">
        <is>
          <t xml:space="preserve">PS </t>
        </is>
      </c>
      <c r="S773" t="n">
        <v>1</v>
      </c>
      <c r="T773" t="n">
        <v>1</v>
      </c>
      <c r="U773" t="inlineStr">
        <is>
          <t>2002-09-17</t>
        </is>
      </c>
      <c r="V773" t="inlineStr">
        <is>
          <t>2002-09-17</t>
        </is>
      </c>
      <c r="W773" t="inlineStr">
        <is>
          <t>1997-06-12</t>
        </is>
      </c>
      <c r="X773" t="inlineStr">
        <is>
          <t>1997-06-12</t>
        </is>
      </c>
      <c r="Y773" t="n">
        <v>146</v>
      </c>
      <c r="Z773" t="n">
        <v>137</v>
      </c>
      <c r="AA773" t="n">
        <v>140</v>
      </c>
      <c r="AB773" t="n">
        <v>1</v>
      </c>
      <c r="AC773" t="n">
        <v>1</v>
      </c>
      <c r="AD773" t="n">
        <v>2</v>
      </c>
      <c r="AE773" t="n">
        <v>2</v>
      </c>
      <c r="AF773" t="n">
        <v>1</v>
      </c>
      <c r="AG773" t="n">
        <v>1</v>
      </c>
      <c r="AH773" t="n">
        <v>0</v>
      </c>
      <c r="AI773" t="n">
        <v>0</v>
      </c>
      <c r="AJ773" t="n">
        <v>1</v>
      </c>
      <c r="AK773" t="n">
        <v>1</v>
      </c>
      <c r="AL773" t="n">
        <v>0</v>
      </c>
      <c r="AM773" t="n">
        <v>0</v>
      </c>
      <c r="AN773" t="n">
        <v>0</v>
      </c>
      <c r="AO773" t="n">
        <v>0</v>
      </c>
      <c r="AP773" t="inlineStr">
        <is>
          <t>No</t>
        </is>
      </c>
      <c r="AQ773" t="inlineStr">
        <is>
          <t>Yes</t>
        </is>
      </c>
      <c r="AR773">
        <f>HYPERLINK("http://catalog.hathitrust.org/Record/001028897","HathiTrust Record")</f>
        <v/>
      </c>
      <c r="AS773">
        <f>HYPERLINK("https://creighton-primo.hosted.exlibrisgroup.com/primo-explore/search?tab=default_tab&amp;search_scope=EVERYTHING&amp;vid=01CRU&amp;lang=en_US&amp;offset=0&amp;query=any,contains,991004007029702656","Catalog Record")</f>
        <v/>
      </c>
      <c r="AT773">
        <f>HYPERLINK("http://www.worldcat.org/oclc/2088029","WorldCat Record")</f>
        <v/>
      </c>
      <c r="AU773" t="inlineStr">
        <is>
          <t>4181093:eng</t>
        </is>
      </c>
      <c r="AV773" t="inlineStr">
        <is>
          <t>2088029</t>
        </is>
      </c>
      <c r="AW773" t="inlineStr">
        <is>
          <t>991004007029702656</t>
        </is>
      </c>
      <c r="AX773" t="inlineStr">
        <is>
          <t>991004007029702656</t>
        </is>
      </c>
      <c r="AY773" t="inlineStr">
        <is>
          <t>2260894500002656</t>
        </is>
      </c>
      <c r="AZ773" t="inlineStr">
        <is>
          <t>BOOK</t>
        </is>
      </c>
      <c r="BC773" t="inlineStr">
        <is>
          <t>32285002788650</t>
        </is>
      </c>
      <c r="BD773" t="inlineStr">
        <is>
          <t>893531869</t>
        </is>
      </c>
    </row>
    <row r="774">
      <c r="A774" t="inlineStr">
        <is>
          <t>No</t>
        </is>
      </c>
      <c r="B774" t="inlineStr">
        <is>
          <t>PS3525.I495 Z6 1964</t>
        </is>
      </c>
      <c r="C774" t="inlineStr">
        <is>
          <t>0                      PS 3525000I  495                Z  6           1964</t>
        </is>
      </c>
      <c r="D774" t="inlineStr">
        <is>
          <t>Edna St. Vincent Millay and her times.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Atkins, Elizabeth, 1891-1962.</t>
        </is>
      </c>
      <c r="L774" t="inlineStr">
        <is>
          <t>New York : Russell &amp; Russell, 1964 [c1936]</t>
        </is>
      </c>
      <c r="M774" t="inlineStr">
        <is>
          <t>1964</t>
        </is>
      </c>
      <c r="O774" t="inlineStr">
        <is>
          <t>eng</t>
        </is>
      </c>
      <c r="P774" t="inlineStr">
        <is>
          <t>nyu</t>
        </is>
      </c>
      <c r="R774" t="inlineStr">
        <is>
          <t xml:space="preserve">PS </t>
        </is>
      </c>
      <c r="S774" t="n">
        <v>2</v>
      </c>
      <c r="T774" t="n">
        <v>2</v>
      </c>
      <c r="U774" t="inlineStr">
        <is>
          <t>2003-10-01</t>
        </is>
      </c>
      <c r="V774" t="inlineStr">
        <is>
          <t>2003-10-01</t>
        </is>
      </c>
      <c r="W774" t="inlineStr">
        <is>
          <t>1990-09-06</t>
        </is>
      </c>
      <c r="X774" t="inlineStr">
        <is>
          <t>1990-09-06</t>
        </is>
      </c>
      <c r="Y774" t="n">
        <v>586</v>
      </c>
      <c r="Z774" t="n">
        <v>541</v>
      </c>
      <c r="AA774" t="n">
        <v>902</v>
      </c>
      <c r="AB774" t="n">
        <v>2</v>
      </c>
      <c r="AC774" t="n">
        <v>7</v>
      </c>
      <c r="AD774" t="n">
        <v>20</v>
      </c>
      <c r="AE774" t="n">
        <v>37</v>
      </c>
      <c r="AF774" t="n">
        <v>12</v>
      </c>
      <c r="AG774" t="n">
        <v>13</v>
      </c>
      <c r="AH774" t="n">
        <v>4</v>
      </c>
      <c r="AI774" t="n">
        <v>7</v>
      </c>
      <c r="AJ774" t="n">
        <v>10</v>
      </c>
      <c r="AK774" t="n">
        <v>20</v>
      </c>
      <c r="AL774" t="n">
        <v>0</v>
      </c>
      <c r="AM774" t="n">
        <v>5</v>
      </c>
      <c r="AN774" t="n">
        <v>0</v>
      </c>
      <c r="AO774" t="n">
        <v>0</v>
      </c>
      <c r="AP774" t="inlineStr">
        <is>
          <t>No</t>
        </is>
      </c>
      <c r="AQ774" t="inlineStr">
        <is>
          <t>Yes</t>
        </is>
      </c>
      <c r="AR774">
        <f>HYPERLINK("http://catalog.hathitrust.org/Record/000633617","HathiTrust Record")</f>
        <v/>
      </c>
      <c r="AS774">
        <f>HYPERLINK("https://creighton-primo.hosted.exlibrisgroup.com/primo-explore/search?tab=default_tab&amp;search_scope=EVERYTHING&amp;vid=01CRU&amp;lang=en_US&amp;offset=0&amp;query=any,contains,991002221299702656","Catalog Record")</f>
        <v/>
      </c>
      <c r="AT774">
        <f>HYPERLINK("http://www.worldcat.org/oclc/290055","WorldCat Record")</f>
        <v/>
      </c>
      <c r="AU774" t="inlineStr">
        <is>
          <t>309208638:eng</t>
        </is>
      </c>
      <c r="AV774" t="inlineStr">
        <is>
          <t>290055</t>
        </is>
      </c>
      <c r="AW774" t="inlineStr">
        <is>
          <t>991002221299702656</t>
        </is>
      </c>
      <c r="AX774" t="inlineStr">
        <is>
          <t>991002221299702656</t>
        </is>
      </c>
      <c r="AY774" t="inlineStr">
        <is>
          <t>2268854140002656</t>
        </is>
      </c>
      <c r="AZ774" t="inlineStr">
        <is>
          <t>BOOK</t>
        </is>
      </c>
      <c r="BC774" t="inlineStr">
        <is>
          <t>32285000300946</t>
        </is>
      </c>
      <c r="BD774" t="inlineStr">
        <is>
          <t>893445032</t>
        </is>
      </c>
    </row>
    <row r="775">
      <c r="A775" t="inlineStr">
        <is>
          <t>No</t>
        </is>
      </c>
      <c r="B775" t="inlineStr">
        <is>
          <t>PS3525.I495 Z65</t>
        </is>
      </c>
      <c r="C775" t="inlineStr">
        <is>
          <t>0                      PS 3525000I  495                Z  65</t>
        </is>
      </c>
      <c r="D775" t="inlineStr">
        <is>
          <t>Edna St. Vincent Millay.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Gray, James, 1899-1984.</t>
        </is>
      </c>
      <c r="L775" t="inlineStr">
        <is>
          <t>Minneapolis, University of Minnesota Press [1967]</t>
        </is>
      </c>
      <c r="M775" t="inlineStr">
        <is>
          <t>1967</t>
        </is>
      </c>
      <c r="O775" t="inlineStr">
        <is>
          <t>eng</t>
        </is>
      </c>
      <c r="P775" t="inlineStr">
        <is>
          <t>mnu</t>
        </is>
      </c>
      <c r="Q775" t="inlineStr">
        <is>
          <t>University of Minnesota pamphlets on American writers ; no. 64</t>
        </is>
      </c>
      <c r="R775" t="inlineStr">
        <is>
          <t xml:space="preserve">PS </t>
        </is>
      </c>
      <c r="S775" t="n">
        <v>5</v>
      </c>
      <c r="T775" t="n">
        <v>5</v>
      </c>
      <c r="U775" t="inlineStr">
        <is>
          <t>2002-04-07</t>
        </is>
      </c>
      <c r="V775" t="inlineStr">
        <is>
          <t>2002-04-07</t>
        </is>
      </c>
      <c r="W775" t="inlineStr">
        <is>
          <t>1997-06-12</t>
        </is>
      </c>
      <c r="X775" t="inlineStr">
        <is>
          <t>1997-06-12</t>
        </is>
      </c>
      <c r="Y775" t="n">
        <v>1162</v>
      </c>
      <c r="Z775" t="n">
        <v>1047</v>
      </c>
      <c r="AA775" t="n">
        <v>1398</v>
      </c>
      <c r="AB775" t="n">
        <v>10</v>
      </c>
      <c r="AC775" t="n">
        <v>12</v>
      </c>
      <c r="AD775" t="n">
        <v>40</v>
      </c>
      <c r="AE775" t="n">
        <v>55</v>
      </c>
      <c r="AF775" t="n">
        <v>15</v>
      </c>
      <c r="AG775" t="n">
        <v>22</v>
      </c>
      <c r="AH775" t="n">
        <v>8</v>
      </c>
      <c r="AI775" t="n">
        <v>11</v>
      </c>
      <c r="AJ775" t="n">
        <v>17</v>
      </c>
      <c r="AK775" t="n">
        <v>22</v>
      </c>
      <c r="AL775" t="n">
        <v>8</v>
      </c>
      <c r="AM775" t="n">
        <v>10</v>
      </c>
      <c r="AN775" t="n">
        <v>0</v>
      </c>
      <c r="AO775" t="n">
        <v>1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HYPERLINK("https://creighton-primo.hosted.exlibrisgroup.com/primo-explore/search?tab=default_tab&amp;search_scope=EVERYTHING&amp;vid=01CRU&amp;lang=en_US&amp;offset=0&amp;query=any,contains,991002221189702656","Catalog Record")</f>
        <v/>
      </c>
      <c r="AT775">
        <f>HYPERLINK("http://www.worldcat.org/oclc/290045","WorldCat Record")</f>
        <v/>
      </c>
      <c r="AU775" t="inlineStr">
        <is>
          <t>131529785:eng</t>
        </is>
      </c>
      <c r="AV775" t="inlineStr">
        <is>
          <t>290045</t>
        </is>
      </c>
      <c r="AW775" t="inlineStr">
        <is>
          <t>991002221189702656</t>
        </is>
      </c>
      <c r="AX775" t="inlineStr">
        <is>
          <t>991002221189702656</t>
        </is>
      </c>
      <c r="AY775" t="inlineStr">
        <is>
          <t>2268855870002656</t>
        </is>
      </c>
      <c r="AZ775" t="inlineStr">
        <is>
          <t>BOOK</t>
        </is>
      </c>
      <c r="BC775" t="inlineStr">
        <is>
          <t>32285002788874</t>
        </is>
      </c>
      <c r="BD775" t="inlineStr">
        <is>
          <t>893504150</t>
        </is>
      </c>
    </row>
    <row r="776">
      <c r="A776" t="inlineStr">
        <is>
          <t>No</t>
        </is>
      </c>
      <c r="B776" t="inlineStr">
        <is>
          <t>PS3525.I5156 Z459 1976</t>
        </is>
      </c>
      <c r="C776" t="inlineStr">
        <is>
          <t>0                      PS 3525000I  5156               Z  459         1976</t>
        </is>
      </c>
      <c r="D776" t="inlineStr">
        <is>
          <t>An index to Arthur Miller criticism / by Tetsumaro Hayashi.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Hayashi, Tetsumaro.</t>
        </is>
      </c>
      <c r="L776" t="inlineStr">
        <is>
          <t>Metuchen, N.J. : Scarecrow Press, 1976.</t>
        </is>
      </c>
      <c r="M776" t="inlineStr">
        <is>
          <t>1976</t>
        </is>
      </c>
      <c r="N776" t="inlineStr">
        <is>
          <t>2d ed.</t>
        </is>
      </c>
      <c r="O776" t="inlineStr">
        <is>
          <t>eng</t>
        </is>
      </c>
      <c r="P776" t="inlineStr">
        <is>
          <t>nju</t>
        </is>
      </c>
      <c r="Q776" t="inlineStr">
        <is>
          <t>The Scarecrow author bibliographies ; no. 3</t>
        </is>
      </c>
      <c r="R776" t="inlineStr">
        <is>
          <t xml:space="preserve">PS </t>
        </is>
      </c>
      <c r="S776" t="n">
        <v>5</v>
      </c>
      <c r="T776" t="n">
        <v>5</v>
      </c>
      <c r="U776" t="inlineStr">
        <is>
          <t>1999-02-11</t>
        </is>
      </c>
      <c r="V776" t="inlineStr">
        <is>
          <t>1999-02-11</t>
        </is>
      </c>
      <c r="W776" t="inlineStr">
        <is>
          <t>1990-09-06</t>
        </is>
      </c>
      <c r="X776" t="inlineStr">
        <is>
          <t>1990-09-06</t>
        </is>
      </c>
      <c r="Y776" t="n">
        <v>443</v>
      </c>
      <c r="Z776" t="n">
        <v>377</v>
      </c>
      <c r="AA776" t="n">
        <v>383</v>
      </c>
      <c r="AB776" t="n">
        <v>3</v>
      </c>
      <c r="AC776" t="n">
        <v>3</v>
      </c>
      <c r="AD776" t="n">
        <v>17</v>
      </c>
      <c r="AE776" t="n">
        <v>17</v>
      </c>
      <c r="AF776" t="n">
        <v>7</v>
      </c>
      <c r="AG776" t="n">
        <v>7</v>
      </c>
      <c r="AH776" t="n">
        <v>3</v>
      </c>
      <c r="AI776" t="n">
        <v>3</v>
      </c>
      <c r="AJ776" t="n">
        <v>10</v>
      </c>
      <c r="AK776" t="n">
        <v>10</v>
      </c>
      <c r="AL776" t="n">
        <v>2</v>
      </c>
      <c r="AM776" t="n">
        <v>2</v>
      </c>
      <c r="AN776" t="n">
        <v>0</v>
      </c>
      <c r="AO776" t="n">
        <v>0</v>
      </c>
      <c r="AP776" t="inlineStr">
        <is>
          <t>No</t>
        </is>
      </c>
      <c r="AQ776" t="inlineStr">
        <is>
          <t>No</t>
        </is>
      </c>
      <c r="AS776">
        <f>HYPERLINK("https://creighton-primo.hosted.exlibrisgroup.com/primo-explore/search?tab=default_tab&amp;search_scope=EVERYTHING&amp;vid=01CRU&amp;lang=en_US&amp;offset=0&amp;query=any,contains,991004026179702656","Catalog Record")</f>
        <v/>
      </c>
      <c r="AT776">
        <f>HYPERLINK("http://www.worldcat.org/oclc/2137062","WorldCat Record")</f>
        <v/>
      </c>
      <c r="AU776" t="inlineStr">
        <is>
          <t>469024:eng</t>
        </is>
      </c>
      <c r="AV776" t="inlineStr">
        <is>
          <t>2137062</t>
        </is>
      </c>
      <c r="AW776" t="inlineStr">
        <is>
          <t>991004026179702656</t>
        </is>
      </c>
      <c r="AX776" t="inlineStr">
        <is>
          <t>991004026179702656</t>
        </is>
      </c>
      <c r="AY776" t="inlineStr">
        <is>
          <t>2271308590002656</t>
        </is>
      </c>
      <c r="AZ776" t="inlineStr">
        <is>
          <t>BOOK</t>
        </is>
      </c>
      <c r="BB776" t="inlineStr">
        <is>
          <t>9780810809475</t>
        </is>
      </c>
      <c r="BC776" t="inlineStr">
        <is>
          <t>32285000300961</t>
        </is>
      </c>
      <c r="BD776" t="inlineStr">
        <is>
          <t>893599325</t>
        </is>
      </c>
    </row>
    <row r="777">
      <c r="A777" t="inlineStr">
        <is>
          <t>No</t>
        </is>
      </c>
      <c r="B777" t="inlineStr">
        <is>
          <t>PS3525.I5156 Z63 1981</t>
        </is>
      </c>
      <c r="C777" t="inlineStr">
        <is>
          <t>0                      PS 3525000I  5156               Z  63          1981</t>
        </is>
      </c>
      <c r="D777" t="inlineStr">
        <is>
          <t>Psychology and Arthur Miller / by Richard I. Evans.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Evans, Richard I. (Richard Isadore), 1922-2015.</t>
        </is>
      </c>
      <c r="L777" t="inlineStr">
        <is>
          <t>New York : Praeger, 1981, c1969.</t>
        </is>
      </c>
      <c r="M777" t="inlineStr">
        <is>
          <t>1981</t>
        </is>
      </c>
      <c r="O777" t="inlineStr">
        <is>
          <t>eng</t>
        </is>
      </c>
      <c r="P777" t="inlineStr">
        <is>
          <t>nyu</t>
        </is>
      </c>
      <c r="Q777" t="inlineStr">
        <is>
          <t>Dialogues in contemporary psychology series</t>
        </is>
      </c>
      <c r="R777" t="inlineStr">
        <is>
          <t xml:space="preserve">PS </t>
        </is>
      </c>
      <c r="S777" t="n">
        <v>2</v>
      </c>
      <c r="T777" t="n">
        <v>2</v>
      </c>
      <c r="U777" t="inlineStr">
        <is>
          <t>1998-06-30</t>
        </is>
      </c>
      <c r="V777" t="inlineStr">
        <is>
          <t>1998-06-30</t>
        </is>
      </c>
      <c r="W777" t="inlineStr">
        <is>
          <t>1993-05-17</t>
        </is>
      </c>
      <c r="X777" t="inlineStr">
        <is>
          <t>1993-05-17</t>
        </is>
      </c>
      <c r="Y777" t="n">
        <v>122</v>
      </c>
      <c r="Z777" t="n">
        <v>105</v>
      </c>
      <c r="AA777" t="n">
        <v>590</v>
      </c>
      <c r="AB777" t="n">
        <v>1</v>
      </c>
      <c r="AC777" t="n">
        <v>3</v>
      </c>
      <c r="AD777" t="n">
        <v>5</v>
      </c>
      <c r="AE777" t="n">
        <v>29</v>
      </c>
      <c r="AF777" t="n">
        <v>4</v>
      </c>
      <c r="AG777" t="n">
        <v>15</v>
      </c>
      <c r="AH777" t="n">
        <v>1</v>
      </c>
      <c r="AI777" t="n">
        <v>6</v>
      </c>
      <c r="AJ777" t="n">
        <v>3</v>
      </c>
      <c r="AK777" t="n">
        <v>15</v>
      </c>
      <c r="AL777" t="n">
        <v>0</v>
      </c>
      <c r="AM777" t="n">
        <v>2</v>
      </c>
      <c r="AN777" t="n">
        <v>0</v>
      </c>
      <c r="AO777" t="n">
        <v>0</v>
      </c>
      <c r="AP777" t="inlineStr">
        <is>
          <t>No</t>
        </is>
      </c>
      <c r="AQ777" t="inlineStr">
        <is>
          <t>No</t>
        </is>
      </c>
      <c r="AS777">
        <f>HYPERLINK("https://creighton-primo.hosted.exlibrisgroup.com/primo-explore/search?tab=default_tab&amp;search_scope=EVERYTHING&amp;vid=01CRU&amp;lang=en_US&amp;offset=0&amp;query=any,contains,991005168929702656","Catalog Record")</f>
        <v/>
      </c>
      <c r="AT777">
        <f>HYPERLINK("http://www.worldcat.org/oclc/7837717","WorldCat Record")</f>
        <v/>
      </c>
      <c r="AU777" t="inlineStr">
        <is>
          <t>431821:eng</t>
        </is>
      </c>
      <c r="AV777" t="inlineStr">
        <is>
          <t>7837717</t>
        </is>
      </c>
      <c r="AW777" t="inlineStr">
        <is>
          <t>991005168929702656</t>
        </is>
      </c>
      <c r="AX777" t="inlineStr">
        <is>
          <t>991005168929702656</t>
        </is>
      </c>
      <c r="AY777" t="inlineStr">
        <is>
          <t>2256982530002656</t>
        </is>
      </c>
      <c r="AZ777" t="inlineStr">
        <is>
          <t>BOOK</t>
        </is>
      </c>
      <c r="BB777" t="inlineStr">
        <is>
          <t>9780030599323</t>
        </is>
      </c>
      <c r="BC777" t="inlineStr">
        <is>
          <t>32285001658383</t>
        </is>
      </c>
      <c r="BD777" t="inlineStr">
        <is>
          <t>893807924</t>
        </is>
      </c>
    </row>
    <row r="778">
      <c r="A778" t="inlineStr">
        <is>
          <t>No</t>
        </is>
      </c>
      <c r="B778" t="inlineStr">
        <is>
          <t>PS3525.I5156 Z76 1982</t>
        </is>
      </c>
      <c r="C778" t="inlineStr">
        <is>
          <t>0                      PS 3525000I  5156               Z  76          1982</t>
        </is>
      </c>
      <c r="D778" t="inlineStr">
        <is>
          <t>Arthur Miller / by Neil Carson.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Carson, Neil.</t>
        </is>
      </c>
      <c r="L778" t="inlineStr">
        <is>
          <t>New York : Grove Press, 1982.</t>
        </is>
      </c>
      <c r="M778" t="inlineStr">
        <is>
          <t>1982</t>
        </is>
      </c>
      <c r="O778" t="inlineStr">
        <is>
          <t>eng</t>
        </is>
      </c>
      <c r="P778" t="inlineStr">
        <is>
          <t>nyu</t>
        </is>
      </c>
      <c r="Q778" t="inlineStr">
        <is>
          <t>Grove Press modern dramatists</t>
        </is>
      </c>
      <c r="R778" t="inlineStr">
        <is>
          <t xml:space="preserve">PS </t>
        </is>
      </c>
      <c r="S778" t="n">
        <v>11</v>
      </c>
      <c r="T778" t="n">
        <v>11</v>
      </c>
      <c r="U778" t="inlineStr">
        <is>
          <t>2002-04-22</t>
        </is>
      </c>
      <c r="V778" t="inlineStr">
        <is>
          <t>2002-04-22</t>
        </is>
      </c>
      <c r="W778" t="inlineStr">
        <is>
          <t>1990-11-21</t>
        </is>
      </c>
      <c r="X778" t="inlineStr">
        <is>
          <t>1990-11-21</t>
        </is>
      </c>
      <c r="Y778" t="n">
        <v>301</v>
      </c>
      <c r="Z778" t="n">
        <v>269</v>
      </c>
      <c r="AA778" t="n">
        <v>510</v>
      </c>
      <c r="AB778" t="n">
        <v>3</v>
      </c>
      <c r="AC778" t="n">
        <v>3</v>
      </c>
      <c r="AD778" t="n">
        <v>13</v>
      </c>
      <c r="AE778" t="n">
        <v>20</v>
      </c>
      <c r="AF778" t="n">
        <v>6</v>
      </c>
      <c r="AG778" t="n">
        <v>8</v>
      </c>
      <c r="AH778" t="n">
        <v>3</v>
      </c>
      <c r="AI778" t="n">
        <v>4</v>
      </c>
      <c r="AJ778" t="n">
        <v>4</v>
      </c>
      <c r="AK778" t="n">
        <v>9</v>
      </c>
      <c r="AL778" t="n">
        <v>2</v>
      </c>
      <c r="AM778" t="n">
        <v>2</v>
      </c>
      <c r="AN778" t="n">
        <v>0</v>
      </c>
      <c r="AO778" t="n">
        <v>0</v>
      </c>
      <c r="AP778" t="inlineStr">
        <is>
          <t>No</t>
        </is>
      </c>
      <c r="AQ778" t="inlineStr">
        <is>
          <t>No</t>
        </is>
      </c>
      <c r="AS778">
        <f>HYPERLINK("https://creighton-primo.hosted.exlibrisgroup.com/primo-explore/search?tab=default_tab&amp;search_scope=EVERYTHING&amp;vid=01CRU&amp;lang=en_US&amp;offset=0&amp;query=any,contains,991005241059702656","Catalog Record")</f>
        <v/>
      </c>
      <c r="AT778">
        <f>HYPERLINK("http://www.worldcat.org/oclc/9374288","WorldCat Record")</f>
        <v/>
      </c>
      <c r="AU778" t="inlineStr">
        <is>
          <t>1862605321:eng</t>
        </is>
      </c>
      <c r="AV778" t="inlineStr">
        <is>
          <t>9374288</t>
        </is>
      </c>
      <c r="AW778" t="inlineStr">
        <is>
          <t>991005241059702656</t>
        </is>
      </c>
      <c r="AX778" t="inlineStr">
        <is>
          <t>991005241059702656</t>
        </is>
      </c>
      <c r="AY778" t="inlineStr">
        <is>
          <t>2270318220002656</t>
        </is>
      </c>
      <c r="AZ778" t="inlineStr">
        <is>
          <t>BOOK</t>
        </is>
      </c>
      <c r="BB778" t="inlineStr">
        <is>
          <t>9780394179667</t>
        </is>
      </c>
      <c r="BC778" t="inlineStr">
        <is>
          <t>32285000415538</t>
        </is>
      </c>
      <c r="BD778" t="inlineStr">
        <is>
          <t>893720043</t>
        </is>
      </c>
    </row>
    <row r="779">
      <c r="A779" t="inlineStr">
        <is>
          <t>No</t>
        </is>
      </c>
      <c r="B779" t="inlineStr">
        <is>
          <t>PS3525.I5156 Z77</t>
        </is>
      </c>
      <c r="C779" t="inlineStr">
        <is>
          <t>0                      PS 3525000I  5156               Z  77</t>
        </is>
      </c>
      <c r="D779" t="inlineStr">
        <is>
          <t>Arthur Miller.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Yes</t>
        </is>
      </c>
      <c r="J779" t="inlineStr">
        <is>
          <t>0</t>
        </is>
      </c>
      <c r="K779" t="inlineStr">
        <is>
          <t>Moss, Leonard, 1931-</t>
        </is>
      </c>
      <c r="L779" t="inlineStr">
        <is>
          <t>New York : Twayne Publishers, [1967]</t>
        </is>
      </c>
      <c r="M779" t="inlineStr">
        <is>
          <t>1967</t>
        </is>
      </c>
      <c r="O779" t="inlineStr">
        <is>
          <t>eng</t>
        </is>
      </c>
      <c r="P779" t="inlineStr">
        <is>
          <t>nyu</t>
        </is>
      </c>
      <c r="Q779" t="inlineStr">
        <is>
          <t>Twayne's United States authors series ; TUSAS 115</t>
        </is>
      </c>
      <c r="R779" t="inlineStr">
        <is>
          <t xml:space="preserve">PS </t>
        </is>
      </c>
      <c r="S779" t="n">
        <v>7</v>
      </c>
      <c r="T779" t="n">
        <v>7</v>
      </c>
      <c r="U779" t="inlineStr">
        <is>
          <t>2001-11-05</t>
        </is>
      </c>
      <c r="V779" t="inlineStr">
        <is>
          <t>2001-11-05</t>
        </is>
      </c>
      <c r="W779" t="inlineStr">
        <is>
          <t>1992-11-24</t>
        </is>
      </c>
      <c r="X779" t="inlineStr">
        <is>
          <t>1992-11-24</t>
        </is>
      </c>
      <c r="Y779" t="n">
        <v>1382</v>
      </c>
      <c r="Z779" t="n">
        <v>1234</v>
      </c>
      <c r="AA779" t="n">
        <v>2167</v>
      </c>
      <c r="AB779" t="n">
        <v>12</v>
      </c>
      <c r="AC779" t="n">
        <v>17</v>
      </c>
      <c r="AD779" t="n">
        <v>33</v>
      </c>
      <c r="AE779" t="n">
        <v>57</v>
      </c>
      <c r="AF779" t="n">
        <v>9</v>
      </c>
      <c r="AG779" t="n">
        <v>25</v>
      </c>
      <c r="AH779" t="n">
        <v>6</v>
      </c>
      <c r="AI779" t="n">
        <v>10</v>
      </c>
      <c r="AJ779" t="n">
        <v>13</v>
      </c>
      <c r="AK779" t="n">
        <v>23</v>
      </c>
      <c r="AL779" t="n">
        <v>9</v>
      </c>
      <c r="AM779" t="n">
        <v>12</v>
      </c>
      <c r="AN779" t="n">
        <v>0</v>
      </c>
      <c r="AO779" t="n">
        <v>0</v>
      </c>
      <c r="AP779" t="inlineStr">
        <is>
          <t>No</t>
        </is>
      </c>
      <c r="AQ779" t="inlineStr">
        <is>
          <t>Yes</t>
        </is>
      </c>
      <c r="AR779">
        <f>HYPERLINK("http://catalog.hathitrust.org/Record/001373319","HathiTrust Record")</f>
        <v/>
      </c>
      <c r="AS779">
        <f>HYPERLINK("https://creighton-primo.hosted.exlibrisgroup.com/primo-explore/search?tab=default_tab&amp;search_scope=EVERYTHING&amp;vid=01CRU&amp;lang=en_US&amp;offset=0&amp;query=any,contains,991003285479702656","Catalog Record")</f>
        <v/>
      </c>
      <c r="AT779">
        <f>HYPERLINK("http://www.worldcat.org/oclc/807325","WorldCat Record")</f>
        <v/>
      </c>
      <c r="AU779" t="inlineStr">
        <is>
          <t>4918942639:eng</t>
        </is>
      </c>
      <c r="AV779" t="inlineStr">
        <is>
          <t>807325</t>
        </is>
      </c>
      <c r="AW779" t="inlineStr">
        <is>
          <t>991003285479702656</t>
        </is>
      </c>
      <c r="AX779" t="inlineStr">
        <is>
          <t>991003285479702656</t>
        </is>
      </c>
      <c r="AY779" t="inlineStr">
        <is>
          <t>2268645620002656</t>
        </is>
      </c>
      <c r="AZ779" t="inlineStr">
        <is>
          <t>BOOK</t>
        </is>
      </c>
      <c r="BC779" t="inlineStr">
        <is>
          <t>32285001408573</t>
        </is>
      </c>
      <c r="BD779" t="inlineStr">
        <is>
          <t>893342423</t>
        </is>
      </c>
    </row>
    <row r="780">
      <c r="A780" t="inlineStr">
        <is>
          <t>No</t>
        </is>
      </c>
      <c r="B780" t="inlineStr">
        <is>
          <t>PS3525.I5156 Z77 1980</t>
        </is>
      </c>
      <c r="C780" t="inlineStr">
        <is>
          <t>0                      PS 3525000I  5156               Z  77          1980</t>
        </is>
      </c>
      <c r="D780" t="inlineStr">
        <is>
          <t>Arthur Miller / by Leonard Moss.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Yes</t>
        </is>
      </c>
      <c r="J780" t="inlineStr">
        <is>
          <t>0</t>
        </is>
      </c>
      <c r="K780" t="inlineStr">
        <is>
          <t>Moss, Leonard, 1931-</t>
        </is>
      </c>
      <c r="L780" t="inlineStr">
        <is>
          <t>Boston : G. K. Hall, [1980]</t>
        </is>
      </c>
      <c r="M780" t="inlineStr">
        <is>
          <t>1980</t>
        </is>
      </c>
      <c r="N780" t="inlineStr">
        <is>
          <t>Rev. ed.</t>
        </is>
      </c>
      <c r="O780" t="inlineStr">
        <is>
          <t>eng</t>
        </is>
      </c>
      <c r="P780" t="inlineStr">
        <is>
          <t>mau</t>
        </is>
      </c>
      <c r="Q780" t="inlineStr">
        <is>
          <t>Twayne's United States authors series ; 115</t>
        </is>
      </c>
      <c r="R780" t="inlineStr">
        <is>
          <t xml:space="preserve">PS </t>
        </is>
      </c>
      <c r="S780" t="n">
        <v>18</v>
      </c>
      <c r="T780" t="n">
        <v>18</v>
      </c>
      <c r="U780" t="inlineStr">
        <is>
          <t>2002-02-19</t>
        </is>
      </c>
      <c r="V780" t="inlineStr">
        <is>
          <t>2002-02-19</t>
        </is>
      </c>
      <c r="W780" t="inlineStr">
        <is>
          <t>1990-08-16</t>
        </is>
      </c>
      <c r="X780" t="inlineStr">
        <is>
          <t>1990-08-16</t>
        </is>
      </c>
      <c r="Y780" t="n">
        <v>1281</v>
      </c>
      <c r="Z780" t="n">
        <v>1184</v>
      </c>
      <c r="AA780" t="n">
        <v>2167</v>
      </c>
      <c r="AB780" t="n">
        <v>6</v>
      </c>
      <c r="AC780" t="n">
        <v>17</v>
      </c>
      <c r="AD780" t="n">
        <v>31</v>
      </c>
      <c r="AE780" t="n">
        <v>57</v>
      </c>
      <c r="AF780" t="n">
        <v>14</v>
      </c>
      <c r="AG780" t="n">
        <v>25</v>
      </c>
      <c r="AH780" t="n">
        <v>5</v>
      </c>
      <c r="AI780" t="n">
        <v>10</v>
      </c>
      <c r="AJ780" t="n">
        <v>15</v>
      </c>
      <c r="AK780" t="n">
        <v>23</v>
      </c>
      <c r="AL780" t="n">
        <v>4</v>
      </c>
      <c r="AM780" t="n">
        <v>12</v>
      </c>
      <c r="AN780" t="n">
        <v>0</v>
      </c>
      <c r="AO780" t="n">
        <v>0</v>
      </c>
      <c r="AP780" t="inlineStr">
        <is>
          <t>No</t>
        </is>
      </c>
      <c r="AQ780" t="inlineStr">
        <is>
          <t>No</t>
        </is>
      </c>
      <c r="AS780">
        <f>HYPERLINK("https://creighton-primo.hosted.exlibrisgroup.com/primo-explore/search?tab=default_tab&amp;search_scope=EVERYTHING&amp;vid=01CRU&amp;lang=en_US&amp;offset=0&amp;query=any,contains,991004870109702656","Catalog Record")</f>
        <v/>
      </c>
      <c r="AT780">
        <f>HYPERLINK("http://www.worldcat.org/oclc/5751122","WorldCat Record")</f>
        <v/>
      </c>
      <c r="AU780" t="inlineStr">
        <is>
          <t>4918942639:eng</t>
        </is>
      </c>
      <c r="AV780" t="inlineStr">
        <is>
          <t>5751122</t>
        </is>
      </c>
      <c r="AW780" t="inlineStr">
        <is>
          <t>991004870109702656</t>
        </is>
      </c>
      <c r="AX780" t="inlineStr">
        <is>
          <t>991004870109702656</t>
        </is>
      </c>
      <c r="AY780" t="inlineStr">
        <is>
          <t>2270235350002656</t>
        </is>
      </c>
      <c r="AZ780" t="inlineStr">
        <is>
          <t>BOOK</t>
        </is>
      </c>
      <c r="BB780" t="inlineStr">
        <is>
          <t>9780805773118</t>
        </is>
      </c>
      <c r="BC780" t="inlineStr">
        <is>
          <t>32285000290469</t>
        </is>
      </c>
      <c r="BD780" t="inlineStr">
        <is>
          <t>893513762</t>
        </is>
      </c>
    </row>
    <row r="781">
      <c r="A781" t="inlineStr">
        <is>
          <t>No</t>
        </is>
      </c>
      <c r="B781" t="inlineStr">
        <is>
          <t>PS3525.I5156 Z83 1970</t>
        </is>
      </c>
      <c r="C781" t="inlineStr">
        <is>
          <t>0                      PS 3525000I  5156               Z  83          1970</t>
        </is>
      </c>
      <c r="D781" t="inlineStr">
        <is>
          <t>Arthur Miller : portrait of a playwright.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Nelson, Benjamin, 1935-</t>
        </is>
      </c>
      <c r="L781" t="inlineStr">
        <is>
          <t>New York : McKay, [1970]</t>
        </is>
      </c>
      <c r="M781" t="inlineStr">
        <is>
          <t>1970</t>
        </is>
      </c>
      <c r="N781" t="inlineStr">
        <is>
          <t>[1st American ed.]</t>
        </is>
      </c>
      <c r="O781" t="inlineStr">
        <is>
          <t>eng</t>
        </is>
      </c>
      <c r="P781" t="inlineStr">
        <is>
          <t>nyu</t>
        </is>
      </c>
      <c r="R781" t="inlineStr">
        <is>
          <t xml:space="preserve">PS </t>
        </is>
      </c>
      <c r="S781" t="n">
        <v>3</v>
      </c>
      <c r="T781" t="n">
        <v>3</v>
      </c>
      <c r="U781" t="inlineStr">
        <is>
          <t>2001-11-15</t>
        </is>
      </c>
      <c r="V781" t="inlineStr">
        <is>
          <t>2001-11-15</t>
        </is>
      </c>
      <c r="W781" t="inlineStr">
        <is>
          <t>1992-11-24</t>
        </is>
      </c>
      <c r="X781" t="inlineStr">
        <is>
          <t>1992-11-24</t>
        </is>
      </c>
      <c r="Y781" t="n">
        <v>784</v>
      </c>
      <c r="Z781" t="n">
        <v>731</v>
      </c>
      <c r="AA781" t="n">
        <v>793</v>
      </c>
      <c r="AB781" t="n">
        <v>4</v>
      </c>
      <c r="AC781" t="n">
        <v>5</v>
      </c>
      <c r="AD781" t="n">
        <v>22</v>
      </c>
      <c r="AE781" t="n">
        <v>25</v>
      </c>
      <c r="AF781" t="n">
        <v>10</v>
      </c>
      <c r="AG781" t="n">
        <v>10</v>
      </c>
      <c r="AH781" t="n">
        <v>4</v>
      </c>
      <c r="AI781" t="n">
        <v>4</v>
      </c>
      <c r="AJ781" t="n">
        <v>9</v>
      </c>
      <c r="AK781" t="n">
        <v>11</v>
      </c>
      <c r="AL781" t="n">
        <v>3</v>
      </c>
      <c r="AM781" t="n">
        <v>4</v>
      </c>
      <c r="AN781" t="n">
        <v>0</v>
      </c>
      <c r="AO781" t="n">
        <v>0</v>
      </c>
      <c r="AP781" t="inlineStr">
        <is>
          <t>No</t>
        </is>
      </c>
      <c r="AQ781" t="inlineStr">
        <is>
          <t>Yes</t>
        </is>
      </c>
      <c r="AR781">
        <f>HYPERLINK("http://catalog.hathitrust.org/Record/001373320","HathiTrust Record")</f>
        <v/>
      </c>
      <c r="AS781">
        <f>HYPERLINK("https://creighton-primo.hosted.exlibrisgroup.com/primo-explore/search?tab=default_tab&amp;search_scope=EVERYTHING&amp;vid=01CRU&amp;lang=en_US&amp;offset=0&amp;query=any,contains,991000432509702656","Catalog Record")</f>
        <v/>
      </c>
      <c r="AT781">
        <f>HYPERLINK("http://www.worldcat.org/oclc/75932","WorldCat Record")</f>
        <v/>
      </c>
      <c r="AU781" t="inlineStr">
        <is>
          <t>196626097:eng</t>
        </is>
      </c>
      <c r="AV781" t="inlineStr">
        <is>
          <t>75932</t>
        </is>
      </c>
      <c r="AW781" t="inlineStr">
        <is>
          <t>991000432509702656</t>
        </is>
      </c>
      <c r="AX781" t="inlineStr">
        <is>
          <t>991000432509702656</t>
        </is>
      </c>
      <c r="AY781" t="inlineStr">
        <is>
          <t>2255811860002656</t>
        </is>
      </c>
      <c r="AZ781" t="inlineStr">
        <is>
          <t>BOOK</t>
        </is>
      </c>
      <c r="BC781" t="inlineStr">
        <is>
          <t>32285001408565</t>
        </is>
      </c>
      <c r="BD781" t="inlineStr">
        <is>
          <t>893589436</t>
        </is>
      </c>
    </row>
    <row r="782">
      <c r="A782" t="inlineStr">
        <is>
          <t>No</t>
        </is>
      </c>
      <c r="B782" t="inlineStr">
        <is>
          <t>PS3525.I972 Z67</t>
        </is>
      </c>
      <c r="C782" t="inlineStr">
        <is>
          <t>0                      PS 3525000I  972                Z  67</t>
        </is>
      </c>
      <c r="D782" t="inlineStr">
        <is>
          <t>Margaret Mitchell of Atlanta : the author of Gone with the wind.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Farr, Finis.</t>
        </is>
      </c>
      <c r="L782" t="inlineStr">
        <is>
          <t>New York : Morrow, 1965.</t>
        </is>
      </c>
      <c r="M782" t="inlineStr">
        <is>
          <t>1965</t>
        </is>
      </c>
      <c r="O782" t="inlineStr">
        <is>
          <t>eng</t>
        </is>
      </c>
      <c r="P782" t="inlineStr">
        <is>
          <t>nyu</t>
        </is>
      </c>
      <c r="R782" t="inlineStr">
        <is>
          <t xml:space="preserve">PS </t>
        </is>
      </c>
      <c r="S782" t="n">
        <v>3</v>
      </c>
      <c r="T782" t="n">
        <v>3</v>
      </c>
      <c r="U782" t="inlineStr">
        <is>
          <t>1998-02-09</t>
        </is>
      </c>
      <c r="V782" t="inlineStr">
        <is>
          <t>1998-02-09</t>
        </is>
      </c>
      <c r="W782" t="inlineStr">
        <is>
          <t>1992-03-09</t>
        </is>
      </c>
      <c r="X782" t="inlineStr">
        <is>
          <t>1992-03-09</t>
        </is>
      </c>
      <c r="Y782" t="n">
        <v>983</v>
      </c>
      <c r="Z782" t="n">
        <v>947</v>
      </c>
      <c r="AA782" t="n">
        <v>986</v>
      </c>
      <c r="AB782" t="n">
        <v>5</v>
      </c>
      <c r="AC782" t="n">
        <v>5</v>
      </c>
      <c r="AD782" t="n">
        <v>17</v>
      </c>
      <c r="AE782" t="n">
        <v>18</v>
      </c>
      <c r="AF782" t="n">
        <v>7</v>
      </c>
      <c r="AG782" t="n">
        <v>8</v>
      </c>
      <c r="AH782" t="n">
        <v>3</v>
      </c>
      <c r="AI782" t="n">
        <v>3</v>
      </c>
      <c r="AJ782" t="n">
        <v>11</v>
      </c>
      <c r="AK782" t="n">
        <v>11</v>
      </c>
      <c r="AL782" t="n">
        <v>2</v>
      </c>
      <c r="AM782" t="n">
        <v>2</v>
      </c>
      <c r="AN782" t="n">
        <v>0</v>
      </c>
      <c r="AO782" t="n">
        <v>0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HYPERLINK("http://catalog.hathitrust.org/Record/000633427","HathiTrust Record")</f>
        <v/>
      </c>
      <c r="AS782">
        <f>HYPERLINK("https://creighton-primo.hosted.exlibrisgroup.com/primo-explore/search?tab=default_tab&amp;search_scope=EVERYTHING&amp;vid=01CRU&amp;lang=en_US&amp;offset=0&amp;query=any,contains,991002932949702656","Catalog Record")</f>
        <v/>
      </c>
      <c r="AT782">
        <f>HYPERLINK("http://www.worldcat.org/oclc/531537","WorldCat Record")</f>
        <v/>
      </c>
      <c r="AU782" t="inlineStr">
        <is>
          <t>430667735:eng</t>
        </is>
      </c>
      <c r="AV782" t="inlineStr">
        <is>
          <t>531537</t>
        </is>
      </c>
      <c r="AW782" t="inlineStr">
        <is>
          <t>991002932949702656</t>
        </is>
      </c>
      <c r="AX782" t="inlineStr">
        <is>
          <t>991002932949702656</t>
        </is>
      </c>
      <c r="AY782" t="inlineStr">
        <is>
          <t>2262686920002656</t>
        </is>
      </c>
      <c r="AZ782" t="inlineStr">
        <is>
          <t>BOOK</t>
        </is>
      </c>
      <c r="BC782" t="inlineStr">
        <is>
          <t>32285000992833</t>
        </is>
      </c>
      <c r="BD782" t="inlineStr">
        <is>
          <t>893517948</t>
        </is>
      </c>
    </row>
    <row r="783">
      <c r="A783" t="inlineStr">
        <is>
          <t>No</t>
        </is>
      </c>
      <c r="B783" t="inlineStr">
        <is>
          <t>PS3525.O5616 Z6</t>
        </is>
      </c>
      <c r="C783" t="inlineStr">
        <is>
          <t>0                      PS 3525000O  5616               Z  6</t>
        </is>
      </c>
      <c r="D783" t="inlineStr">
        <is>
          <t>Marianne Moore, imaginary possessions / Bonnie Costello.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Costello, Bonnie.</t>
        </is>
      </c>
      <c r="L783" t="inlineStr">
        <is>
          <t>Cambridge, Mass. : Harvard University Press, 1981.</t>
        </is>
      </c>
      <c r="M783" t="inlineStr">
        <is>
          <t>1981</t>
        </is>
      </c>
      <c r="O783" t="inlineStr">
        <is>
          <t>eng</t>
        </is>
      </c>
      <c r="P783" t="inlineStr">
        <is>
          <t>mau</t>
        </is>
      </c>
      <c r="R783" t="inlineStr">
        <is>
          <t xml:space="preserve">PS </t>
        </is>
      </c>
      <c r="S783" t="n">
        <v>3</v>
      </c>
      <c r="T783" t="n">
        <v>3</v>
      </c>
      <c r="U783" t="inlineStr">
        <is>
          <t>1999-01-27</t>
        </is>
      </c>
      <c r="V783" t="inlineStr">
        <is>
          <t>1999-01-27</t>
        </is>
      </c>
      <c r="W783" t="inlineStr">
        <is>
          <t>1990-11-21</t>
        </is>
      </c>
      <c r="X783" t="inlineStr">
        <is>
          <t>1990-11-21</t>
        </is>
      </c>
      <c r="Y783" t="n">
        <v>683</v>
      </c>
      <c r="Z783" t="n">
        <v>568</v>
      </c>
      <c r="AA783" t="n">
        <v>574</v>
      </c>
      <c r="AB783" t="n">
        <v>5</v>
      </c>
      <c r="AC783" t="n">
        <v>5</v>
      </c>
      <c r="AD783" t="n">
        <v>30</v>
      </c>
      <c r="AE783" t="n">
        <v>30</v>
      </c>
      <c r="AF783" t="n">
        <v>11</v>
      </c>
      <c r="AG783" t="n">
        <v>11</v>
      </c>
      <c r="AH783" t="n">
        <v>8</v>
      </c>
      <c r="AI783" t="n">
        <v>8</v>
      </c>
      <c r="AJ783" t="n">
        <v>17</v>
      </c>
      <c r="AK783" t="n">
        <v>17</v>
      </c>
      <c r="AL783" t="n">
        <v>4</v>
      </c>
      <c r="AM783" t="n">
        <v>4</v>
      </c>
      <c r="AN783" t="n">
        <v>0</v>
      </c>
      <c r="AO783" t="n">
        <v>0</v>
      </c>
      <c r="AP783" t="inlineStr">
        <is>
          <t>No</t>
        </is>
      </c>
      <c r="AQ783" t="inlineStr">
        <is>
          <t>Yes</t>
        </is>
      </c>
      <c r="AR783">
        <f>HYPERLINK("http://catalog.hathitrust.org/Record/000099863","HathiTrust Record")</f>
        <v/>
      </c>
      <c r="AS783">
        <f>HYPERLINK("https://creighton-primo.hosted.exlibrisgroup.com/primo-explore/search?tab=default_tab&amp;search_scope=EVERYTHING&amp;vid=01CRU&amp;lang=en_US&amp;offset=0&amp;query=any,contains,991005100789702656","Catalog Record")</f>
        <v/>
      </c>
      <c r="AT783">
        <f>HYPERLINK("http://www.worldcat.org/oclc/7283196","WorldCat Record")</f>
        <v/>
      </c>
      <c r="AU783" t="inlineStr">
        <is>
          <t>26415006:eng</t>
        </is>
      </c>
      <c r="AV783" t="inlineStr">
        <is>
          <t>7283196</t>
        </is>
      </c>
      <c r="AW783" t="inlineStr">
        <is>
          <t>991005100789702656</t>
        </is>
      </c>
      <c r="AX783" t="inlineStr">
        <is>
          <t>991005100789702656</t>
        </is>
      </c>
      <c r="AY783" t="inlineStr">
        <is>
          <t>2257263520002656</t>
        </is>
      </c>
      <c r="AZ783" t="inlineStr">
        <is>
          <t>BOOK</t>
        </is>
      </c>
      <c r="BC783" t="inlineStr">
        <is>
          <t>32285000415603</t>
        </is>
      </c>
      <c r="BD783" t="inlineStr">
        <is>
          <t>893600609</t>
        </is>
      </c>
    </row>
    <row r="784">
      <c r="A784" t="inlineStr">
        <is>
          <t>No</t>
        </is>
      </c>
      <c r="B784" t="inlineStr">
        <is>
          <t>PS3525.O5616 Z65 1989</t>
        </is>
      </c>
      <c r="C784" t="inlineStr">
        <is>
          <t>0                      PS 3525000O  5616               Z  65          1989</t>
        </is>
      </c>
      <c r="D784" t="inlineStr">
        <is>
          <t>Marianne Moore / by Bernard F. Engel.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Yes</t>
        </is>
      </c>
      <c r="J784" t="inlineStr">
        <is>
          <t>0</t>
        </is>
      </c>
      <c r="K784" t="inlineStr">
        <is>
          <t>Engel, Bernard F.</t>
        </is>
      </c>
      <c r="L784" t="inlineStr">
        <is>
          <t>Boston : Twayne Publishers, 1989.</t>
        </is>
      </c>
      <c r="M784" t="inlineStr">
        <is>
          <t>1989</t>
        </is>
      </c>
      <c r="N784" t="inlineStr">
        <is>
          <t>Rev. ed.</t>
        </is>
      </c>
      <c r="O784" t="inlineStr">
        <is>
          <t>eng</t>
        </is>
      </c>
      <c r="P784" t="inlineStr">
        <is>
          <t>mau</t>
        </is>
      </c>
      <c r="Q784" t="inlineStr">
        <is>
          <t>Twayne's United States authors series ; TUSAS 54</t>
        </is>
      </c>
      <c r="R784" t="inlineStr">
        <is>
          <t xml:space="preserve">PS </t>
        </is>
      </c>
      <c r="S784" t="n">
        <v>1</v>
      </c>
      <c r="T784" t="n">
        <v>1</v>
      </c>
      <c r="U784" t="inlineStr">
        <is>
          <t>1993-02-22</t>
        </is>
      </c>
      <c r="V784" t="inlineStr">
        <is>
          <t>1993-02-22</t>
        </is>
      </c>
      <c r="W784" t="inlineStr">
        <is>
          <t>1990-11-21</t>
        </is>
      </c>
      <c r="X784" t="inlineStr">
        <is>
          <t>1990-11-21</t>
        </is>
      </c>
      <c r="Y784" t="n">
        <v>634</v>
      </c>
      <c r="Z784" t="n">
        <v>575</v>
      </c>
      <c r="AA784" t="n">
        <v>1745</v>
      </c>
      <c r="AB784" t="n">
        <v>5</v>
      </c>
      <c r="AC784" t="n">
        <v>19</v>
      </c>
      <c r="AD784" t="n">
        <v>26</v>
      </c>
      <c r="AE784" t="n">
        <v>59</v>
      </c>
      <c r="AF784" t="n">
        <v>12</v>
      </c>
      <c r="AG784" t="n">
        <v>24</v>
      </c>
      <c r="AH784" t="n">
        <v>3</v>
      </c>
      <c r="AI784" t="n">
        <v>8</v>
      </c>
      <c r="AJ784" t="n">
        <v>14</v>
      </c>
      <c r="AK784" t="n">
        <v>25</v>
      </c>
      <c r="AL784" t="n">
        <v>4</v>
      </c>
      <c r="AM784" t="n">
        <v>14</v>
      </c>
      <c r="AN784" t="n">
        <v>0</v>
      </c>
      <c r="AO784" t="n">
        <v>0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HYPERLINK("http://catalog.hathitrust.org/Record/001080931","HathiTrust Record")</f>
        <v/>
      </c>
      <c r="AS784">
        <f>HYPERLINK("https://creighton-primo.hosted.exlibrisgroup.com/primo-explore/search?tab=default_tab&amp;search_scope=EVERYTHING&amp;vid=01CRU&amp;lang=en_US&amp;offset=0&amp;query=any,contains,991001310589702656","Catalog Record")</f>
        <v/>
      </c>
      <c r="AT784">
        <f>HYPERLINK("http://www.worldcat.org/oclc/18136227","WorldCat Record")</f>
        <v/>
      </c>
      <c r="AU784" t="inlineStr">
        <is>
          <t>5218175470:eng</t>
        </is>
      </c>
      <c r="AV784" t="inlineStr">
        <is>
          <t>18136227</t>
        </is>
      </c>
      <c r="AW784" t="inlineStr">
        <is>
          <t>991001310589702656</t>
        </is>
      </c>
      <c r="AX784" t="inlineStr">
        <is>
          <t>991001310589702656</t>
        </is>
      </c>
      <c r="AY784" t="inlineStr">
        <is>
          <t>2267943340002656</t>
        </is>
      </c>
      <c r="AZ784" t="inlineStr">
        <is>
          <t>BOOK</t>
        </is>
      </c>
      <c r="BB784" t="inlineStr">
        <is>
          <t>9780805775259</t>
        </is>
      </c>
      <c r="BC784" t="inlineStr">
        <is>
          <t>32285000415611</t>
        </is>
      </c>
      <c r="BD784" t="inlineStr">
        <is>
          <t>893509543</t>
        </is>
      </c>
    </row>
    <row r="785">
      <c r="A785" t="inlineStr">
        <is>
          <t>No</t>
        </is>
      </c>
      <c r="B785" t="inlineStr">
        <is>
          <t>PS3525.O5616 Z68</t>
        </is>
      </c>
      <c r="C785" t="inlineStr">
        <is>
          <t>0                      PS 3525000O  5616               Z  68</t>
        </is>
      </c>
      <c r="D785" t="inlineStr">
        <is>
          <t>Marianne Moore : the cage and the animal / Donald Hall.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K785" t="inlineStr">
        <is>
          <t>Hall, Donald, 1928-2018.</t>
        </is>
      </c>
      <c r="L785" t="inlineStr">
        <is>
          <t>New York : Pegasus, [1970]</t>
        </is>
      </c>
      <c r="M785" t="inlineStr">
        <is>
          <t>1970</t>
        </is>
      </c>
      <c r="O785" t="inlineStr">
        <is>
          <t>eng</t>
        </is>
      </c>
      <c r="P785" t="inlineStr">
        <is>
          <t>nyu</t>
        </is>
      </c>
      <c r="Q785" t="inlineStr">
        <is>
          <t>Pegasus American authors</t>
        </is>
      </c>
      <c r="R785" t="inlineStr">
        <is>
          <t xml:space="preserve">PS </t>
        </is>
      </c>
      <c r="S785" t="n">
        <v>1</v>
      </c>
      <c r="T785" t="n">
        <v>1</v>
      </c>
      <c r="U785" t="inlineStr">
        <is>
          <t>1992-10-08</t>
        </is>
      </c>
      <c r="V785" t="inlineStr">
        <is>
          <t>1992-10-08</t>
        </is>
      </c>
      <c r="W785" t="inlineStr">
        <is>
          <t>1990-12-07</t>
        </is>
      </c>
      <c r="X785" t="inlineStr">
        <is>
          <t>1990-12-07</t>
        </is>
      </c>
      <c r="Y785" t="n">
        <v>1112</v>
      </c>
      <c r="Z785" t="n">
        <v>1032</v>
      </c>
      <c r="AA785" t="n">
        <v>1042</v>
      </c>
      <c r="AB785" t="n">
        <v>7</v>
      </c>
      <c r="AC785" t="n">
        <v>7</v>
      </c>
      <c r="AD785" t="n">
        <v>39</v>
      </c>
      <c r="AE785" t="n">
        <v>39</v>
      </c>
      <c r="AF785" t="n">
        <v>17</v>
      </c>
      <c r="AG785" t="n">
        <v>17</v>
      </c>
      <c r="AH785" t="n">
        <v>8</v>
      </c>
      <c r="AI785" t="n">
        <v>8</v>
      </c>
      <c r="AJ785" t="n">
        <v>18</v>
      </c>
      <c r="AK785" t="n">
        <v>18</v>
      </c>
      <c r="AL785" t="n">
        <v>6</v>
      </c>
      <c r="AM785" t="n">
        <v>6</v>
      </c>
      <c r="AN785" t="n">
        <v>0</v>
      </c>
      <c r="AO785" t="n">
        <v>0</v>
      </c>
      <c r="AP785" t="inlineStr">
        <is>
          <t>No</t>
        </is>
      </c>
      <c r="AQ785" t="inlineStr">
        <is>
          <t>Yes</t>
        </is>
      </c>
      <c r="AR785">
        <f>HYPERLINK("http://catalog.hathitrust.org/Record/000670747","HathiTrust Record")</f>
        <v/>
      </c>
      <c r="AS785">
        <f>HYPERLINK("https://creighton-primo.hosted.exlibrisgroup.com/primo-explore/search?tab=default_tab&amp;search_scope=EVERYTHING&amp;vid=01CRU&amp;lang=en_US&amp;offset=0&amp;query=any,contains,991000578429702656","Catalog Record")</f>
        <v/>
      </c>
      <c r="AT785">
        <f>HYPERLINK("http://www.worldcat.org/oclc/95302","WorldCat Record")</f>
        <v/>
      </c>
      <c r="AU785" t="inlineStr">
        <is>
          <t>520090:eng</t>
        </is>
      </c>
      <c r="AV785" t="inlineStr">
        <is>
          <t>95302</t>
        </is>
      </c>
      <c r="AW785" t="inlineStr">
        <is>
          <t>991000578429702656</t>
        </is>
      </c>
      <c r="AX785" t="inlineStr">
        <is>
          <t>991000578429702656</t>
        </is>
      </c>
      <c r="AY785" t="inlineStr">
        <is>
          <t>2272615140002656</t>
        </is>
      </c>
      <c r="AZ785" t="inlineStr">
        <is>
          <t>BOOK</t>
        </is>
      </c>
      <c r="BC785" t="inlineStr">
        <is>
          <t>32285000359413</t>
        </is>
      </c>
      <c r="BD785" t="inlineStr">
        <is>
          <t>893601868</t>
        </is>
      </c>
    </row>
    <row r="786">
      <c r="A786" t="inlineStr">
        <is>
          <t>No</t>
        </is>
      </c>
      <c r="B786" t="inlineStr">
        <is>
          <t>PS3525.O5616 Z697 1990</t>
        </is>
      </c>
      <c r="C786" t="inlineStr">
        <is>
          <t>0                      PS 3525000O  5616               Z  697         1990</t>
        </is>
      </c>
      <c r="D786" t="inlineStr">
        <is>
          <t>Marianne Moore : a literary life / Charles Molesworth.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Molesworth, Charles, 1941-</t>
        </is>
      </c>
      <c r="L786" t="inlineStr">
        <is>
          <t>New York : Atheneum, 1990.</t>
        </is>
      </c>
      <c r="M786" t="inlineStr">
        <is>
          <t>1990</t>
        </is>
      </c>
      <c r="O786" t="inlineStr">
        <is>
          <t>eng</t>
        </is>
      </c>
      <c r="P786" t="inlineStr">
        <is>
          <t>nyu</t>
        </is>
      </c>
      <c r="R786" t="inlineStr">
        <is>
          <t xml:space="preserve">PS </t>
        </is>
      </c>
      <c r="S786" t="n">
        <v>1</v>
      </c>
      <c r="T786" t="n">
        <v>1</v>
      </c>
      <c r="U786" t="inlineStr">
        <is>
          <t>2004-11-29</t>
        </is>
      </c>
      <c r="V786" t="inlineStr">
        <is>
          <t>2004-11-29</t>
        </is>
      </c>
      <c r="W786" t="inlineStr">
        <is>
          <t>1991-01-03</t>
        </is>
      </c>
      <c r="X786" t="inlineStr">
        <is>
          <t>1991-01-03</t>
        </is>
      </c>
      <c r="Y786" t="n">
        <v>1100</v>
      </c>
      <c r="Z786" t="n">
        <v>1003</v>
      </c>
      <c r="AA786" t="n">
        <v>1079</v>
      </c>
      <c r="AB786" t="n">
        <v>5</v>
      </c>
      <c r="AC786" t="n">
        <v>5</v>
      </c>
      <c r="AD786" t="n">
        <v>38</v>
      </c>
      <c r="AE786" t="n">
        <v>39</v>
      </c>
      <c r="AF786" t="n">
        <v>15</v>
      </c>
      <c r="AG786" t="n">
        <v>15</v>
      </c>
      <c r="AH786" t="n">
        <v>9</v>
      </c>
      <c r="AI786" t="n">
        <v>10</v>
      </c>
      <c r="AJ786" t="n">
        <v>20</v>
      </c>
      <c r="AK786" t="n">
        <v>21</v>
      </c>
      <c r="AL786" t="n">
        <v>4</v>
      </c>
      <c r="AM786" t="n">
        <v>4</v>
      </c>
      <c r="AN786" t="n">
        <v>0</v>
      </c>
      <c r="AO786" t="n">
        <v>0</v>
      </c>
      <c r="AP786" t="inlineStr">
        <is>
          <t>No</t>
        </is>
      </c>
      <c r="AQ786" t="inlineStr">
        <is>
          <t>Yes</t>
        </is>
      </c>
      <c r="AR786">
        <f>HYPERLINK("http://catalog.hathitrust.org/Record/002208729","HathiTrust Record")</f>
        <v/>
      </c>
      <c r="AS786">
        <f>HYPERLINK("https://creighton-primo.hosted.exlibrisgroup.com/primo-explore/search?tab=default_tab&amp;search_scope=EVERYTHING&amp;vid=01CRU&amp;lang=en_US&amp;offset=0&amp;query=any,contains,991001699999702656","Catalog Record")</f>
        <v/>
      </c>
      <c r="AT786">
        <f>HYPERLINK("http://www.worldcat.org/oclc/21522248","WorldCat Record")</f>
        <v/>
      </c>
      <c r="AU786" t="inlineStr">
        <is>
          <t>23173853:eng</t>
        </is>
      </c>
      <c r="AV786" t="inlineStr">
        <is>
          <t>21522248</t>
        </is>
      </c>
      <c r="AW786" t="inlineStr">
        <is>
          <t>991001699999702656</t>
        </is>
      </c>
      <c r="AX786" t="inlineStr">
        <is>
          <t>991001699999702656</t>
        </is>
      </c>
      <c r="AY786" t="inlineStr">
        <is>
          <t>2258528870002656</t>
        </is>
      </c>
      <c r="AZ786" t="inlineStr">
        <is>
          <t>BOOK</t>
        </is>
      </c>
      <c r="BB786" t="inlineStr">
        <is>
          <t>9780689118159</t>
        </is>
      </c>
      <c r="BC786" t="inlineStr">
        <is>
          <t>32285000406677</t>
        </is>
      </c>
      <c r="BD786" t="inlineStr">
        <is>
          <t>893439335</t>
        </is>
      </c>
    </row>
    <row r="787">
      <c r="A787" t="inlineStr">
        <is>
          <t>No</t>
        </is>
      </c>
      <c r="B787" t="inlineStr">
        <is>
          <t>PS3525.O5616 Z75 1982</t>
        </is>
      </c>
      <c r="C787" t="inlineStr">
        <is>
          <t>0                      PS 3525000O  5616               Z  75          1982</t>
        </is>
      </c>
      <c r="D787" t="inlineStr">
        <is>
          <t>Marianne Moore / Elizabeth Phillips.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Phillips, Elizabeth, 1919-</t>
        </is>
      </c>
      <c r="L787" t="inlineStr">
        <is>
          <t>New York : F. Ungar Pub. Co., c1982.</t>
        </is>
      </c>
      <c r="M787" t="inlineStr">
        <is>
          <t>1982</t>
        </is>
      </c>
      <c r="O787" t="inlineStr">
        <is>
          <t>eng</t>
        </is>
      </c>
      <c r="P787" t="inlineStr">
        <is>
          <t>nyu</t>
        </is>
      </c>
      <c r="Q787" t="inlineStr">
        <is>
          <t>Modern literature series</t>
        </is>
      </c>
      <c r="R787" t="inlineStr">
        <is>
          <t xml:space="preserve">PS </t>
        </is>
      </c>
      <c r="S787" t="n">
        <v>1</v>
      </c>
      <c r="T787" t="n">
        <v>1</v>
      </c>
      <c r="U787" t="inlineStr">
        <is>
          <t>1993-02-22</t>
        </is>
      </c>
      <c r="V787" t="inlineStr">
        <is>
          <t>1993-02-22</t>
        </is>
      </c>
      <c r="W787" t="inlineStr">
        <is>
          <t>1990-11-21</t>
        </is>
      </c>
      <c r="X787" t="inlineStr">
        <is>
          <t>1990-11-21</t>
        </is>
      </c>
      <c r="Y787" t="n">
        <v>902</v>
      </c>
      <c r="Z787" t="n">
        <v>820</v>
      </c>
      <c r="AA787" t="n">
        <v>827</v>
      </c>
      <c r="AB787" t="n">
        <v>4</v>
      </c>
      <c r="AC787" t="n">
        <v>4</v>
      </c>
      <c r="AD787" t="n">
        <v>29</v>
      </c>
      <c r="AE787" t="n">
        <v>29</v>
      </c>
      <c r="AF787" t="n">
        <v>16</v>
      </c>
      <c r="AG787" t="n">
        <v>16</v>
      </c>
      <c r="AH787" t="n">
        <v>6</v>
      </c>
      <c r="AI787" t="n">
        <v>6</v>
      </c>
      <c r="AJ787" t="n">
        <v>13</v>
      </c>
      <c r="AK787" t="n">
        <v>13</v>
      </c>
      <c r="AL787" t="n">
        <v>3</v>
      </c>
      <c r="AM787" t="n">
        <v>3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HYPERLINK("http://catalog.hathitrust.org/Record/000190658","HathiTrust Record")</f>
        <v/>
      </c>
      <c r="AS787">
        <f>HYPERLINK("https://creighton-primo.hosted.exlibrisgroup.com/primo-explore/search?tab=default_tab&amp;search_scope=EVERYTHING&amp;vid=01CRU&amp;lang=en_US&amp;offset=0&amp;query=any,contains,991005221179702656","Catalog Record")</f>
        <v/>
      </c>
      <c r="AT787">
        <f>HYPERLINK("http://www.worldcat.org/oclc/8222675","WorldCat Record")</f>
        <v/>
      </c>
      <c r="AU787" t="inlineStr">
        <is>
          <t>457927:eng</t>
        </is>
      </c>
      <c r="AV787" t="inlineStr">
        <is>
          <t>8222675</t>
        </is>
      </c>
      <c r="AW787" t="inlineStr">
        <is>
          <t>991005221179702656</t>
        </is>
      </c>
      <c r="AX787" t="inlineStr">
        <is>
          <t>991005221179702656</t>
        </is>
      </c>
      <c r="AY787" t="inlineStr">
        <is>
          <t>2266761030002656</t>
        </is>
      </c>
      <c r="AZ787" t="inlineStr">
        <is>
          <t>BOOK</t>
        </is>
      </c>
      <c r="BB787" t="inlineStr">
        <is>
          <t>9780804426985</t>
        </is>
      </c>
      <c r="BC787" t="inlineStr">
        <is>
          <t>32285000415637</t>
        </is>
      </c>
      <c r="BD787" t="inlineStr">
        <is>
          <t>893514252</t>
        </is>
      </c>
    </row>
    <row r="788">
      <c r="A788" t="inlineStr">
        <is>
          <t>No</t>
        </is>
      </c>
      <c r="B788" t="inlineStr">
        <is>
          <t>PS3525.O5655 G8 1995</t>
        </is>
      </c>
      <c r="C788" t="inlineStr">
        <is>
          <t>0                      PS 3525000O  5655               G  8           1995</t>
        </is>
      </c>
      <c r="D788" t="inlineStr">
        <is>
          <t>Gutenberg in Strasbourg / Rosalie Moore.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Moore, Rosalie, 1910-</t>
        </is>
      </c>
      <c r="L788" t="inlineStr">
        <is>
          <t>Cedarville, Calif. : Floating Island Publications, 1995.</t>
        </is>
      </c>
      <c r="M788" t="inlineStr">
        <is>
          <t>1995</t>
        </is>
      </c>
      <c r="O788" t="inlineStr">
        <is>
          <t>eng</t>
        </is>
      </c>
      <c r="P788" t="inlineStr">
        <is>
          <t>cau</t>
        </is>
      </c>
      <c r="R788" t="inlineStr">
        <is>
          <t xml:space="preserve">PS </t>
        </is>
      </c>
      <c r="S788" t="n">
        <v>1</v>
      </c>
      <c r="T788" t="n">
        <v>1</v>
      </c>
      <c r="U788" t="inlineStr">
        <is>
          <t>2004-09-20</t>
        </is>
      </c>
      <c r="V788" t="inlineStr">
        <is>
          <t>2004-09-20</t>
        </is>
      </c>
      <c r="W788" t="inlineStr">
        <is>
          <t>1997-04-08</t>
        </is>
      </c>
      <c r="X788" t="inlineStr">
        <is>
          <t>1997-04-08</t>
        </is>
      </c>
      <c r="Y788" t="n">
        <v>25</v>
      </c>
      <c r="Z788" t="n">
        <v>23</v>
      </c>
      <c r="AA788" t="n">
        <v>28</v>
      </c>
      <c r="AB788" t="n">
        <v>1</v>
      </c>
      <c r="AC788" t="n">
        <v>1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I788" t="n">
        <v>0</v>
      </c>
      <c r="AJ788" t="n">
        <v>0</v>
      </c>
      <c r="AK788" t="n">
        <v>0</v>
      </c>
      <c r="AL788" t="n">
        <v>0</v>
      </c>
      <c r="AM788" t="n">
        <v>0</v>
      </c>
      <c r="AN788" t="n">
        <v>0</v>
      </c>
      <c r="AO788" t="n">
        <v>0</v>
      </c>
      <c r="AP788" t="inlineStr">
        <is>
          <t>No</t>
        </is>
      </c>
      <c r="AQ788" t="inlineStr">
        <is>
          <t>No</t>
        </is>
      </c>
      <c r="AS788">
        <f>HYPERLINK("https://creighton-primo.hosted.exlibrisgroup.com/primo-explore/search?tab=default_tab&amp;search_scope=EVERYTHING&amp;vid=01CRU&amp;lang=en_US&amp;offset=0&amp;query=any,contains,991002719389702656","Catalog Record")</f>
        <v/>
      </c>
      <c r="AT788">
        <f>HYPERLINK("http://www.worldcat.org/oclc/35652834","WorldCat Record")</f>
        <v/>
      </c>
      <c r="AU788" t="inlineStr">
        <is>
          <t>10587846244:eng</t>
        </is>
      </c>
      <c r="AV788" t="inlineStr">
        <is>
          <t>35652834</t>
        </is>
      </c>
      <c r="AW788" t="inlineStr">
        <is>
          <t>991002719389702656</t>
        </is>
      </c>
      <c r="AX788" t="inlineStr">
        <is>
          <t>991002719389702656</t>
        </is>
      </c>
      <c r="AY788" t="inlineStr">
        <is>
          <t>2262297550002656</t>
        </is>
      </c>
      <c r="AZ788" t="inlineStr">
        <is>
          <t>BOOK</t>
        </is>
      </c>
      <c r="BB788" t="inlineStr">
        <is>
          <t>9780912449524</t>
        </is>
      </c>
      <c r="BC788" t="inlineStr">
        <is>
          <t>32285002495140</t>
        </is>
      </c>
      <c r="BD788" t="inlineStr">
        <is>
          <t>893597789</t>
        </is>
      </c>
    </row>
    <row r="789">
      <c r="A789" t="inlineStr">
        <is>
          <t>No</t>
        </is>
      </c>
      <c r="B789" t="inlineStr">
        <is>
          <t>PS3525.O71 Z95</t>
        </is>
      </c>
      <c r="C789" t="inlineStr">
        <is>
          <t>0                      PS 3525000O  71                 Z  95</t>
        </is>
      </c>
      <c r="D789" t="inlineStr">
        <is>
          <t>Christopher Morley / by Mark I. Wallach and Jon Bracker.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Wallach, Mark I.</t>
        </is>
      </c>
      <c r="L789" t="inlineStr">
        <is>
          <t>Boston : Twayne Publishers, c1976.</t>
        </is>
      </c>
      <c r="M789" t="inlineStr">
        <is>
          <t>1976</t>
        </is>
      </c>
      <c r="O789" t="inlineStr">
        <is>
          <t>eng</t>
        </is>
      </c>
      <c r="P789" t="inlineStr">
        <is>
          <t>mau</t>
        </is>
      </c>
      <c r="Q789" t="inlineStr">
        <is>
          <t>Twayne's United States authors series ; TUSAS 278</t>
        </is>
      </c>
      <c r="R789" t="inlineStr">
        <is>
          <t xml:space="preserve">PS </t>
        </is>
      </c>
      <c r="S789" t="n">
        <v>2</v>
      </c>
      <c r="T789" t="n">
        <v>2</v>
      </c>
      <c r="U789" t="inlineStr">
        <is>
          <t>1997-08-28</t>
        </is>
      </c>
      <c r="V789" t="inlineStr">
        <is>
          <t>1997-08-28</t>
        </is>
      </c>
      <c r="W789" t="inlineStr">
        <is>
          <t>1997-06-12</t>
        </is>
      </c>
      <c r="X789" t="inlineStr">
        <is>
          <t>1997-06-12</t>
        </is>
      </c>
      <c r="Y789" t="n">
        <v>809</v>
      </c>
      <c r="Z789" t="n">
        <v>745</v>
      </c>
      <c r="AA789" t="n">
        <v>751</v>
      </c>
      <c r="AB789" t="n">
        <v>7</v>
      </c>
      <c r="AC789" t="n">
        <v>7</v>
      </c>
      <c r="AD789" t="n">
        <v>33</v>
      </c>
      <c r="AE789" t="n">
        <v>33</v>
      </c>
      <c r="AF789" t="n">
        <v>13</v>
      </c>
      <c r="AG789" t="n">
        <v>13</v>
      </c>
      <c r="AH789" t="n">
        <v>6</v>
      </c>
      <c r="AI789" t="n">
        <v>6</v>
      </c>
      <c r="AJ789" t="n">
        <v>16</v>
      </c>
      <c r="AK789" t="n">
        <v>16</v>
      </c>
      <c r="AL789" t="n">
        <v>5</v>
      </c>
      <c r="AM789" t="n">
        <v>5</v>
      </c>
      <c r="AN789" t="n">
        <v>0</v>
      </c>
      <c r="AO789" t="n">
        <v>0</v>
      </c>
      <c r="AP789" t="inlineStr">
        <is>
          <t>No</t>
        </is>
      </c>
      <c r="AQ789" t="inlineStr">
        <is>
          <t>Yes</t>
        </is>
      </c>
      <c r="AR789">
        <f>HYPERLINK("http://catalog.hathitrust.org/Record/000714176","HathiTrust Record")</f>
        <v/>
      </c>
      <c r="AS789">
        <f>HYPERLINK("https://creighton-primo.hosted.exlibrisgroup.com/primo-explore/search?tab=default_tab&amp;search_scope=EVERYTHING&amp;vid=01CRU&amp;lang=en_US&amp;offset=0&amp;query=any,contains,991004060419702656","Catalog Record")</f>
        <v/>
      </c>
      <c r="AT789">
        <f>HYPERLINK("http://www.worldcat.org/oclc/2238340","WorldCat Record")</f>
        <v/>
      </c>
      <c r="AU789" t="inlineStr">
        <is>
          <t>4583861:eng</t>
        </is>
      </c>
      <c r="AV789" t="inlineStr">
        <is>
          <t>2238340</t>
        </is>
      </c>
      <c r="AW789" t="inlineStr">
        <is>
          <t>991004060419702656</t>
        </is>
      </c>
      <c r="AX789" t="inlineStr">
        <is>
          <t>991004060419702656</t>
        </is>
      </c>
      <c r="AY789" t="inlineStr">
        <is>
          <t>2257506250002656</t>
        </is>
      </c>
      <c r="AZ789" t="inlineStr">
        <is>
          <t>BOOK</t>
        </is>
      </c>
      <c r="BB789" t="inlineStr">
        <is>
          <t>9780805771787</t>
        </is>
      </c>
      <c r="BC789" t="inlineStr">
        <is>
          <t>32285002789260</t>
        </is>
      </c>
      <c r="BD789" t="inlineStr">
        <is>
          <t>893318756</t>
        </is>
      </c>
    </row>
    <row r="790">
      <c r="A790" t="inlineStr">
        <is>
          <t>No</t>
        </is>
      </c>
      <c r="B790" t="inlineStr">
        <is>
          <t>PS3525.O7475 A6 1974</t>
        </is>
      </c>
      <c r="C790" t="inlineStr">
        <is>
          <t>0                      PS 3525000O  7475               A  6           1974</t>
        </is>
      </c>
      <c r="D790" t="inlineStr">
        <is>
          <t>Wright Morris, a reader / introd. by Granville Hicks.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Morris, Wright, 1910-1998.</t>
        </is>
      </c>
      <c r="L790" t="inlineStr">
        <is>
          <t>New York : Avon, 1974, c1970.</t>
        </is>
      </c>
      <c r="M790" t="inlineStr">
        <is>
          <t>1974</t>
        </is>
      </c>
      <c r="O790" t="inlineStr">
        <is>
          <t>eng</t>
        </is>
      </c>
      <c r="P790" t="inlineStr">
        <is>
          <t>nyu</t>
        </is>
      </c>
      <c r="R790" t="inlineStr">
        <is>
          <t xml:space="preserve">PS </t>
        </is>
      </c>
      <c r="S790" t="n">
        <v>5</v>
      </c>
      <c r="T790" t="n">
        <v>5</v>
      </c>
      <c r="U790" t="inlineStr">
        <is>
          <t>1998-04-30</t>
        </is>
      </c>
      <c r="V790" t="inlineStr">
        <is>
          <t>1998-04-30</t>
        </is>
      </c>
      <c r="W790" t="inlineStr">
        <is>
          <t>1990-11-21</t>
        </is>
      </c>
      <c r="X790" t="inlineStr">
        <is>
          <t>1990-11-21</t>
        </is>
      </c>
      <c r="Y790" t="n">
        <v>15</v>
      </c>
      <c r="Z790" t="n">
        <v>14</v>
      </c>
      <c r="AA790" t="n">
        <v>593</v>
      </c>
      <c r="AB790" t="n">
        <v>2</v>
      </c>
      <c r="AC790" t="n">
        <v>15</v>
      </c>
      <c r="AD790" t="n">
        <v>2</v>
      </c>
      <c r="AE790" t="n">
        <v>26</v>
      </c>
      <c r="AF790" t="n">
        <v>0</v>
      </c>
      <c r="AG790" t="n">
        <v>8</v>
      </c>
      <c r="AH790" t="n">
        <v>0</v>
      </c>
      <c r="AI790" t="n">
        <v>8</v>
      </c>
      <c r="AJ790" t="n">
        <v>1</v>
      </c>
      <c r="AK790" t="n">
        <v>13</v>
      </c>
      <c r="AL790" t="n">
        <v>1</v>
      </c>
      <c r="AM790" t="n">
        <v>6</v>
      </c>
      <c r="AN790" t="n">
        <v>0</v>
      </c>
      <c r="AO790" t="n">
        <v>0</v>
      </c>
      <c r="AP790" t="inlineStr">
        <is>
          <t>No</t>
        </is>
      </c>
      <c r="AQ790" t="inlineStr">
        <is>
          <t>No</t>
        </is>
      </c>
      <c r="AS790">
        <f>HYPERLINK("https://creighton-primo.hosted.exlibrisgroup.com/primo-explore/search?tab=default_tab&amp;search_scope=EVERYTHING&amp;vid=01CRU&amp;lang=en_US&amp;offset=0&amp;query=any,contains,991003940499702656","Catalog Record")</f>
        <v/>
      </c>
      <c r="AT790">
        <f>HYPERLINK("http://www.worldcat.org/oclc/1929080","WorldCat Record")</f>
        <v/>
      </c>
      <c r="AU790" t="inlineStr">
        <is>
          <t>353289930:eng</t>
        </is>
      </c>
      <c r="AV790" t="inlineStr">
        <is>
          <t>1929080</t>
        </is>
      </c>
      <c r="AW790" t="inlineStr">
        <is>
          <t>991003940499702656</t>
        </is>
      </c>
      <c r="AX790" t="inlineStr">
        <is>
          <t>991003940499702656</t>
        </is>
      </c>
      <c r="AY790" t="inlineStr">
        <is>
          <t>2256603770002656</t>
        </is>
      </c>
      <c r="AZ790" t="inlineStr">
        <is>
          <t>BOOK</t>
        </is>
      </c>
      <c r="BC790" t="inlineStr">
        <is>
          <t>32285000415652</t>
        </is>
      </c>
      <c r="BD790" t="inlineStr">
        <is>
          <t>893599231</t>
        </is>
      </c>
    </row>
    <row r="791">
      <c r="A791" t="inlineStr">
        <is>
          <t>No</t>
        </is>
      </c>
      <c r="B791" t="inlineStr">
        <is>
          <t>PS3525.O7475 Z57 1985</t>
        </is>
      </c>
      <c r="C791" t="inlineStr">
        <is>
          <t>0                      PS 3525000O  7475               Z  57          1985</t>
        </is>
      </c>
      <c r="D791" t="inlineStr">
        <is>
          <t>Wright Morris : memory and imagination / Roy K. Bird.</t>
        </is>
      </c>
      <c r="F791" t="inlineStr">
        <is>
          <t>No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K791" t="inlineStr">
        <is>
          <t>Bird, Roy K.</t>
        </is>
      </c>
      <c r="L791" t="inlineStr">
        <is>
          <t>New York : P. Lang, c1985.</t>
        </is>
      </c>
      <c r="M791" t="inlineStr">
        <is>
          <t>1985</t>
        </is>
      </c>
      <c r="O791" t="inlineStr">
        <is>
          <t>eng</t>
        </is>
      </c>
      <c r="P791" t="inlineStr">
        <is>
          <t>nyu</t>
        </is>
      </c>
      <c r="Q791" t="inlineStr">
        <is>
          <t>American university studies. Series IV, English language and literature, 0741-0700 ; v. 20</t>
        </is>
      </c>
      <c r="R791" t="inlineStr">
        <is>
          <t xml:space="preserve">PS </t>
        </is>
      </c>
      <c r="S791" t="n">
        <v>4</v>
      </c>
      <c r="T791" t="n">
        <v>4</v>
      </c>
      <c r="U791" t="inlineStr">
        <is>
          <t>2005-03-23</t>
        </is>
      </c>
      <c r="V791" t="inlineStr">
        <is>
          <t>2005-03-23</t>
        </is>
      </c>
      <c r="W791" t="inlineStr">
        <is>
          <t>1990-11-21</t>
        </is>
      </c>
      <c r="X791" t="inlineStr">
        <is>
          <t>1990-11-21</t>
        </is>
      </c>
      <c r="Y791" t="n">
        <v>154</v>
      </c>
      <c r="Z791" t="n">
        <v>127</v>
      </c>
      <c r="AA791" t="n">
        <v>129</v>
      </c>
      <c r="AB791" t="n">
        <v>6</v>
      </c>
      <c r="AC791" t="n">
        <v>6</v>
      </c>
      <c r="AD791" t="n">
        <v>10</v>
      </c>
      <c r="AE791" t="n">
        <v>10</v>
      </c>
      <c r="AF791" t="n">
        <v>2</v>
      </c>
      <c r="AG791" t="n">
        <v>2</v>
      </c>
      <c r="AH791" t="n">
        <v>4</v>
      </c>
      <c r="AI791" t="n">
        <v>4</v>
      </c>
      <c r="AJ791" t="n">
        <v>5</v>
      </c>
      <c r="AK791" t="n">
        <v>5</v>
      </c>
      <c r="AL791" t="n">
        <v>3</v>
      </c>
      <c r="AM791" t="n">
        <v>3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HYPERLINK("http://catalog.hathitrust.org/Record/000441422","HathiTrust Record")</f>
        <v/>
      </c>
      <c r="AS791">
        <f>HYPERLINK("https://creighton-primo.hosted.exlibrisgroup.com/primo-explore/search?tab=default_tab&amp;search_scope=EVERYTHING&amp;vid=01CRU&amp;lang=en_US&amp;offset=0&amp;query=any,contains,991000675829702656","Catalog Record")</f>
        <v/>
      </c>
      <c r="AT791">
        <f>HYPERLINK("http://www.worldcat.org/oclc/12345207","WorldCat Record")</f>
        <v/>
      </c>
      <c r="AU791" t="inlineStr">
        <is>
          <t>5306792:eng</t>
        </is>
      </c>
      <c r="AV791" t="inlineStr">
        <is>
          <t>12345207</t>
        </is>
      </c>
      <c r="AW791" t="inlineStr">
        <is>
          <t>991000675829702656</t>
        </is>
      </c>
      <c r="AX791" t="inlineStr">
        <is>
          <t>991000675829702656</t>
        </is>
      </c>
      <c r="AY791" t="inlineStr">
        <is>
          <t>2264664430002656</t>
        </is>
      </c>
      <c r="AZ791" t="inlineStr">
        <is>
          <t>BOOK</t>
        </is>
      </c>
      <c r="BB791" t="inlineStr">
        <is>
          <t>9780820401812</t>
        </is>
      </c>
      <c r="BC791" t="inlineStr">
        <is>
          <t>32285000415728</t>
        </is>
      </c>
      <c r="BD791" t="inlineStr">
        <is>
          <t>893502690</t>
        </is>
      </c>
    </row>
    <row r="792">
      <c r="A792" t="inlineStr">
        <is>
          <t>No</t>
        </is>
      </c>
      <c r="B792" t="inlineStr">
        <is>
          <t>PS3525.O7475 Z63</t>
        </is>
      </c>
      <c r="C792" t="inlineStr">
        <is>
          <t>0                      PS 3525000O  7475               Z  63</t>
        </is>
      </c>
      <c r="D792" t="inlineStr">
        <is>
          <t>The novels of Wright Morris : a critical interpretation / by G. B. Crump. --</t>
        </is>
      </c>
      <c r="F792" t="inlineStr">
        <is>
          <t>No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Crump, Gail Bruce, 1942-</t>
        </is>
      </c>
      <c r="L792" t="inlineStr">
        <is>
          <t>Lincoln : University of Nebraska Press, c1978.</t>
        </is>
      </c>
      <c r="M792" t="inlineStr">
        <is>
          <t>1978</t>
        </is>
      </c>
      <c r="O792" t="inlineStr">
        <is>
          <t>eng</t>
        </is>
      </c>
      <c r="P792" t="inlineStr">
        <is>
          <t>nbu</t>
        </is>
      </c>
      <c r="R792" t="inlineStr">
        <is>
          <t xml:space="preserve">PS </t>
        </is>
      </c>
      <c r="S792" t="n">
        <v>3</v>
      </c>
      <c r="T792" t="n">
        <v>3</v>
      </c>
      <c r="U792" t="inlineStr">
        <is>
          <t>2005-03-23</t>
        </is>
      </c>
      <c r="V792" t="inlineStr">
        <is>
          <t>2005-03-23</t>
        </is>
      </c>
      <c r="W792" t="inlineStr">
        <is>
          <t>1990-11-21</t>
        </is>
      </c>
      <c r="X792" t="inlineStr">
        <is>
          <t>1990-11-21</t>
        </is>
      </c>
      <c r="Y792" t="n">
        <v>641</v>
      </c>
      <c r="Z792" t="n">
        <v>575</v>
      </c>
      <c r="AA792" t="n">
        <v>579</v>
      </c>
      <c r="AB792" t="n">
        <v>17</v>
      </c>
      <c r="AC792" t="n">
        <v>17</v>
      </c>
      <c r="AD792" t="n">
        <v>32</v>
      </c>
      <c r="AE792" t="n">
        <v>32</v>
      </c>
      <c r="AF792" t="n">
        <v>7</v>
      </c>
      <c r="AG792" t="n">
        <v>7</v>
      </c>
      <c r="AH792" t="n">
        <v>8</v>
      </c>
      <c r="AI792" t="n">
        <v>8</v>
      </c>
      <c r="AJ792" t="n">
        <v>12</v>
      </c>
      <c r="AK792" t="n">
        <v>12</v>
      </c>
      <c r="AL792" t="n">
        <v>11</v>
      </c>
      <c r="AM792" t="n">
        <v>11</v>
      </c>
      <c r="AN792" t="n">
        <v>0</v>
      </c>
      <c r="AO792" t="n">
        <v>0</v>
      </c>
      <c r="AP792" t="inlineStr">
        <is>
          <t>No</t>
        </is>
      </c>
      <c r="AQ792" t="inlineStr">
        <is>
          <t>Yes</t>
        </is>
      </c>
      <c r="AR792">
        <f>HYPERLINK("http://catalog.hathitrust.org/Record/001398672","HathiTrust Record")</f>
        <v/>
      </c>
      <c r="AS792">
        <f>HYPERLINK("https://creighton-primo.hosted.exlibrisgroup.com/primo-explore/search?tab=default_tab&amp;search_scope=EVERYTHING&amp;vid=01CRU&amp;lang=en_US&amp;offset=0&amp;query=any,contains,991004453299702656","Catalog Record")</f>
        <v/>
      </c>
      <c r="AT792">
        <f>HYPERLINK("http://www.worldcat.org/oclc/3516716","WorldCat Record")</f>
        <v/>
      </c>
      <c r="AU792" t="inlineStr">
        <is>
          <t>347347922:eng</t>
        </is>
      </c>
      <c r="AV792" t="inlineStr">
        <is>
          <t>3516716</t>
        </is>
      </c>
      <c r="AW792" t="inlineStr">
        <is>
          <t>991004453299702656</t>
        </is>
      </c>
      <c r="AX792" t="inlineStr">
        <is>
          <t>991004453299702656</t>
        </is>
      </c>
      <c r="AY792" t="inlineStr">
        <is>
          <t>2272434950002656</t>
        </is>
      </c>
      <c r="AZ792" t="inlineStr">
        <is>
          <t>BOOK</t>
        </is>
      </c>
      <c r="BB792" t="inlineStr">
        <is>
          <t>9780803209626</t>
        </is>
      </c>
      <c r="BC792" t="inlineStr">
        <is>
          <t>32285000415736</t>
        </is>
      </c>
      <c r="BD792" t="inlineStr">
        <is>
          <t>893901249</t>
        </is>
      </c>
    </row>
    <row r="793">
      <c r="A793" t="inlineStr">
        <is>
          <t>No</t>
        </is>
      </c>
      <c r="B793" t="inlineStr">
        <is>
          <t>PS3525.O7475 Z7</t>
        </is>
      </c>
      <c r="C793" t="inlineStr">
        <is>
          <t>0                      PS 3525000O  7475               Z  7</t>
        </is>
      </c>
      <c r="D793" t="inlineStr">
        <is>
          <t>Wright Morris.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K793" t="inlineStr">
        <is>
          <t>Madden, David, 1933-</t>
        </is>
      </c>
      <c r="L793" t="inlineStr">
        <is>
          <t>New York : Twayne Publishers, [1965, c1964]</t>
        </is>
      </c>
      <c r="M793" t="inlineStr">
        <is>
          <t>1965</t>
        </is>
      </c>
      <c r="O793" t="inlineStr">
        <is>
          <t>eng</t>
        </is>
      </c>
      <c r="P793" t="inlineStr">
        <is>
          <t>nyu</t>
        </is>
      </c>
      <c r="Q793" t="inlineStr">
        <is>
          <t>Twayne's United States authors series, 71</t>
        </is>
      </c>
      <c r="R793" t="inlineStr">
        <is>
          <t xml:space="preserve">PS </t>
        </is>
      </c>
      <c r="S793" t="n">
        <v>2</v>
      </c>
      <c r="T793" t="n">
        <v>2</v>
      </c>
      <c r="U793" t="inlineStr">
        <is>
          <t>1998-02-07</t>
        </is>
      </c>
      <c r="V793" t="inlineStr">
        <is>
          <t>1998-02-07</t>
        </is>
      </c>
      <c r="W793" t="inlineStr">
        <is>
          <t>1994-08-29</t>
        </is>
      </c>
      <c r="X793" t="inlineStr">
        <is>
          <t>1994-08-29</t>
        </is>
      </c>
      <c r="Y793" t="n">
        <v>915</v>
      </c>
      <c r="Z793" t="n">
        <v>865</v>
      </c>
      <c r="AA793" t="n">
        <v>1019</v>
      </c>
      <c r="AB793" t="n">
        <v>13</v>
      </c>
      <c r="AC793" t="n">
        <v>16</v>
      </c>
      <c r="AD793" t="n">
        <v>41</v>
      </c>
      <c r="AE793" t="n">
        <v>47</v>
      </c>
      <c r="AF793" t="n">
        <v>14</v>
      </c>
      <c r="AG793" t="n">
        <v>19</v>
      </c>
      <c r="AH793" t="n">
        <v>8</v>
      </c>
      <c r="AI793" t="n">
        <v>8</v>
      </c>
      <c r="AJ793" t="n">
        <v>18</v>
      </c>
      <c r="AK793" t="n">
        <v>19</v>
      </c>
      <c r="AL793" t="n">
        <v>10</v>
      </c>
      <c r="AM793" t="n">
        <v>11</v>
      </c>
      <c r="AN793" t="n">
        <v>0</v>
      </c>
      <c r="AO793" t="n">
        <v>0</v>
      </c>
      <c r="AP793" t="inlineStr">
        <is>
          <t>No</t>
        </is>
      </c>
      <c r="AQ793" t="inlineStr">
        <is>
          <t>Yes</t>
        </is>
      </c>
      <c r="AR793">
        <f>HYPERLINK("http://catalog.hathitrust.org/Record/000634110","HathiTrust Record")</f>
        <v/>
      </c>
      <c r="AS793">
        <f>HYPERLINK("https://creighton-primo.hosted.exlibrisgroup.com/primo-explore/search?tab=default_tab&amp;search_scope=EVERYTHING&amp;vid=01CRU&amp;lang=en_US&amp;offset=0&amp;query=any,contains,991002168089702656","Catalog Record")</f>
        <v/>
      </c>
      <c r="AT793">
        <f>HYPERLINK("http://www.worldcat.org/oclc/275961","WorldCat Record")</f>
        <v/>
      </c>
      <c r="AU793" t="inlineStr">
        <is>
          <t>579440:eng</t>
        </is>
      </c>
      <c r="AV793" t="inlineStr">
        <is>
          <t>275961</t>
        </is>
      </c>
      <c r="AW793" t="inlineStr">
        <is>
          <t>991002168089702656</t>
        </is>
      </c>
      <c r="AX793" t="inlineStr">
        <is>
          <t>991002168089702656</t>
        </is>
      </c>
      <c r="AY793" t="inlineStr">
        <is>
          <t>2263408400002656</t>
        </is>
      </c>
      <c r="AZ793" t="inlineStr">
        <is>
          <t>BOOK</t>
        </is>
      </c>
      <c r="BC793" t="inlineStr">
        <is>
          <t>32285001938751</t>
        </is>
      </c>
      <c r="BD793" t="inlineStr">
        <is>
          <t>893785793</t>
        </is>
      </c>
    </row>
    <row r="794">
      <c r="A794" t="inlineStr">
        <is>
          <t>No</t>
        </is>
      </c>
      <c r="B794" t="inlineStr">
        <is>
          <t>PS3527.E35 Z4</t>
        </is>
      </c>
      <c r="C794" t="inlineStr">
        <is>
          <t>0                      PS 3527000E  35                 Z  4</t>
        </is>
      </c>
      <c r="D794" t="inlineStr">
        <is>
          <t>John G. Neihardt : the man and his western writings : the Bancroft years, 1900-1921 / by Fred L. Lee.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K794" t="inlineStr">
        <is>
          <t>Lee, Fred L.</t>
        </is>
      </c>
      <c r="L794" t="inlineStr">
        <is>
          <t>[Kansas City, Mo.] : The Author, 1974.</t>
        </is>
      </c>
      <c r="M794" t="inlineStr">
        <is>
          <t>1974</t>
        </is>
      </c>
      <c r="O794" t="inlineStr">
        <is>
          <t>eng</t>
        </is>
      </c>
      <c r="P794" t="inlineStr">
        <is>
          <t>mou</t>
        </is>
      </c>
      <c r="R794" t="inlineStr">
        <is>
          <t xml:space="preserve">PS </t>
        </is>
      </c>
      <c r="S794" t="n">
        <v>1</v>
      </c>
      <c r="T794" t="n">
        <v>1</v>
      </c>
      <c r="U794" t="inlineStr">
        <is>
          <t>1999-02-14</t>
        </is>
      </c>
      <c r="V794" t="inlineStr">
        <is>
          <t>1999-02-14</t>
        </is>
      </c>
      <c r="W794" t="inlineStr">
        <is>
          <t>1991-11-06</t>
        </is>
      </c>
      <c r="X794" t="inlineStr">
        <is>
          <t>1991-11-06</t>
        </is>
      </c>
      <c r="Y794" t="n">
        <v>14</v>
      </c>
      <c r="Z794" t="n">
        <v>14</v>
      </c>
      <c r="AA794" t="n">
        <v>41</v>
      </c>
      <c r="AB794" t="n">
        <v>6</v>
      </c>
      <c r="AC794" t="n">
        <v>11</v>
      </c>
      <c r="AD794" t="n">
        <v>5</v>
      </c>
      <c r="AE794" t="n">
        <v>9</v>
      </c>
      <c r="AF794" t="n">
        <v>0</v>
      </c>
      <c r="AG794" t="n">
        <v>0</v>
      </c>
      <c r="AH794" t="n">
        <v>1</v>
      </c>
      <c r="AI794" t="n">
        <v>1</v>
      </c>
      <c r="AJ794" t="n">
        <v>0</v>
      </c>
      <c r="AK794" t="n">
        <v>0</v>
      </c>
      <c r="AL794" t="n">
        <v>4</v>
      </c>
      <c r="AM794" t="n">
        <v>8</v>
      </c>
      <c r="AN794" t="n">
        <v>0</v>
      </c>
      <c r="AO794" t="n">
        <v>0</v>
      </c>
      <c r="AP794" t="inlineStr">
        <is>
          <t>No</t>
        </is>
      </c>
      <c r="AQ794" t="inlineStr">
        <is>
          <t>No</t>
        </is>
      </c>
      <c r="AS794">
        <f>HYPERLINK("https://creighton-primo.hosted.exlibrisgroup.com/primo-explore/search?tab=default_tab&amp;search_scope=EVERYTHING&amp;vid=01CRU&amp;lang=en_US&amp;offset=0&amp;query=any,contains,991003931389702656","Catalog Record")</f>
        <v/>
      </c>
      <c r="AT794">
        <f>HYPERLINK("http://www.worldcat.org/oclc/1899662","WorldCat Record")</f>
        <v/>
      </c>
      <c r="AU794" t="inlineStr">
        <is>
          <t>1149041636:eng</t>
        </is>
      </c>
      <c r="AV794" t="inlineStr">
        <is>
          <t>1899662</t>
        </is>
      </c>
      <c r="AW794" t="inlineStr">
        <is>
          <t>991003931389702656</t>
        </is>
      </c>
      <c r="AX794" t="inlineStr">
        <is>
          <t>991003931389702656</t>
        </is>
      </c>
      <c r="AY794" t="inlineStr">
        <is>
          <t>2263576900002656</t>
        </is>
      </c>
      <c r="AZ794" t="inlineStr">
        <is>
          <t>BOOK</t>
        </is>
      </c>
      <c r="BC794" t="inlineStr">
        <is>
          <t>32285000804160</t>
        </is>
      </c>
      <c r="BD794" t="inlineStr">
        <is>
          <t>893699604</t>
        </is>
      </c>
    </row>
    <row r="795">
      <c r="A795" t="inlineStr">
        <is>
          <t>No</t>
        </is>
      </c>
      <c r="B795" t="inlineStr">
        <is>
          <t>PS3527.E35 Z574</t>
        </is>
      </c>
      <c r="C795" t="inlineStr">
        <is>
          <t>0                      PS 3527000E  35                 Z  574</t>
        </is>
      </c>
      <c r="D795" t="inlineStr">
        <is>
          <t>John G. Neihardt : a critical biography / by Lucile F. Aly. --</t>
        </is>
      </c>
      <c r="F795" t="inlineStr">
        <is>
          <t>No</t>
        </is>
      </c>
      <c r="G795" t="inlineStr">
        <is>
          <t>1</t>
        </is>
      </c>
      <c r="H795" t="inlineStr">
        <is>
          <t>No</t>
        </is>
      </c>
      <c r="I795" t="inlineStr">
        <is>
          <t>No</t>
        </is>
      </c>
      <c r="J795" t="inlineStr">
        <is>
          <t>0</t>
        </is>
      </c>
      <c r="K795" t="inlineStr">
        <is>
          <t>Aly, Lucile Folse, 1913-</t>
        </is>
      </c>
      <c r="L795" t="inlineStr">
        <is>
          <t>Amsterdam : Rodopi, 1977.</t>
        </is>
      </c>
      <c r="M795" t="inlineStr">
        <is>
          <t>1977</t>
        </is>
      </c>
      <c r="O795" t="inlineStr">
        <is>
          <t>eng</t>
        </is>
      </c>
      <c r="P795" t="inlineStr">
        <is>
          <t xml:space="preserve">ne </t>
        </is>
      </c>
      <c r="Q795" t="inlineStr">
        <is>
          <t>Melville studies in American culture ; v. 7</t>
        </is>
      </c>
      <c r="R795" t="inlineStr">
        <is>
          <t xml:space="preserve">PS </t>
        </is>
      </c>
      <c r="S795" t="n">
        <v>4</v>
      </c>
      <c r="T795" t="n">
        <v>4</v>
      </c>
      <c r="U795" t="inlineStr">
        <is>
          <t>1999-02-14</t>
        </is>
      </c>
      <c r="V795" t="inlineStr">
        <is>
          <t>1999-02-14</t>
        </is>
      </c>
      <c r="W795" t="inlineStr">
        <is>
          <t>1990-11-21</t>
        </is>
      </c>
      <c r="X795" t="inlineStr">
        <is>
          <t>1990-11-21</t>
        </is>
      </c>
      <c r="Y795" t="n">
        <v>150</v>
      </c>
      <c r="Z795" t="n">
        <v>126</v>
      </c>
      <c r="AA795" t="n">
        <v>127</v>
      </c>
      <c r="AB795" t="n">
        <v>10</v>
      </c>
      <c r="AC795" t="n">
        <v>10</v>
      </c>
      <c r="AD795" t="n">
        <v>12</v>
      </c>
      <c r="AE795" t="n">
        <v>12</v>
      </c>
      <c r="AF795" t="n">
        <v>0</v>
      </c>
      <c r="AG795" t="n">
        <v>0</v>
      </c>
      <c r="AH795" t="n">
        <v>2</v>
      </c>
      <c r="AI795" t="n">
        <v>2</v>
      </c>
      <c r="AJ795" t="n">
        <v>4</v>
      </c>
      <c r="AK795" t="n">
        <v>4</v>
      </c>
      <c r="AL795" t="n">
        <v>6</v>
      </c>
      <c r="AM795" t="n">
        <v>6</v>
      </c>
      <c r="AN795" t="n">
        <v>0</v>
      </c>
      <c r="AO795" t="n">
        <v>0</v>
      </c>
      <c r="AP795" t="inlineStr">
        <is>
          <t>No</t>
        </is>
      </c>
      <c r="AQ795" t="inlineStr">
        <is>
          <t>Yes</t>
        </is>
      </c>
      <c r="AR795">
        <f>HYPERLINK("http://catalog.hathitrust.org/Record/000748205","HathiTrust Record")</f>
        <v/>
      </c>
      <c r="AS795">
        <f>HYPERLINK("https://creighton-primo.hosted.exlibrisgroup.com/primo-explore/search?tab=default_tab&amp;search_scope=EVERYTHING&amp;vid=01CRU&amp;lang=en_US&amp;offset=0&amp;query=any,contains,991004410569702656","Catalog Record")</f>
        <v/>
      </c>
      <c r="AT795">
        <f>HYPERLINK("http://www.worldcat.org/oclc/3306269","WorldCat Record")</f>
        <v/>
      </c>
      <c r="AU795" t="inlineStr">
        <is>
          <t>1090332180:eng</t>
        </is>
      </c>
      <c r="AV795" t="inlineStr">
        <is>
          <t>3306269</t>
        </is>
      </c>
      <c r="AW795" t="inlineStr">
        <is>
          <t>991004410569702656</t>
        </is>
      </c>
      <c r="AX795" t="inlineStr">
        <is>
          <t>991004410569702656</t>
        </is>
      </c>
      <c r="AY795" t="inlineStr">
        <is>
          <t>2270540310002656</t>
        </is>
      </c>
      <c r="AZ795" t="inlineStr">
        <is>
          <t>BOOK</t>
        </is>
      </c>
      <c r="BB795" t="inlineStr">
        <is>
          <t>9789062031092</t>
        </is>
      </c>
      <c r="BC795" t="inlineStr">
        <is>
          <t>32285000415884</t>
        </is>
      </c>
      <c r="BD795" t="inlineStr">
        <is>
          <t>893775995</t>
        </is>
      </c>
    </row>
    <row r="796">
      <c r="A796" t="inlineStr">
        <is>
          <t>No</t>
        </is>
      </c>
      <c r="B796" t="inlineStr">
        <is>
          <t>PS3527.E35 Z7 1920</t>
        </is>
      </c>
      <c r="C796" t="inlineStr">
        <is>
          <t>0                      PS 3527000E  35                 Z  7           1920</t>
        </is>
      </c>
      <c r="D796" t="inlineStr">
        <is>
          <t>John G. Neihardt, man and poet, by Julius T. House.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K796" t="inlineStr">
        <is>
          <t>House, Julius T. (Julius Temple)</t>
        </is>
      </c>
      <c r="L796" t="inlineStr">
        <is>
          <t>Wayne, Neb., F. H. Jones and son, 1920.</t>
        </is>
      </c>
      <c r="M796" t="inlineStr">
        <is>
          <t>1920</t>
        </is>
      </c>
      <c r="O796" t="inlineStr">
        <is>
          <t>eng</t>
        </is>
      </c>
      <c r="P796" t="inlineStr">
        <is>
          <t xml:space="preserve">xx </t>
        </is>
      </c>
      <c r="R796" t="inlineStr">
        <is>
          <t xml:space="preserve">PS </t>
        </is>
      </c>
      <c r="S796" t="n">
        <v>4</v>
      </c>
      <c r="T796" t="n">
        <v>4</v>
      </c>
      <c r="U796" t="inlineStr">
        <is>
          <t>2003-03-19</t>
        </is>
      </c>
      <c r="V796" t="inlineStr">
        <is>
          <t>2003-03-19</t>
        </is>
      </c>
      <c r="W796" t="inlineStr">
        <is>
          <t>1990-11-21</t>
        </is>
      </c>
      <c r="X796" t="inlineStr">
        <is>
          <t>1990-11-21</t>
        </is>
      </c>
      <c r="Y796" t="n">
        <v>92</v>
      </c>
      <c r="Z796" t="n">
        <v>92</v>
      </c>
      <c r="AA796" t="n">
        <v>100</v>
      </c>
      <c r="AB796" t="n">
        <v>26</v>
      </c>
      <c r="AC796" t="n">
        <v>26</v>
      </c>
      <c r="AD796" t="n">
        <v>12</v>
      </c>
      <c r="AE796" t="n">
        <v>12</v>
      </c>
      <c r="AF796" t="n">
        <v>0</v>
      </c>
      <c r="AG796" t="n">
        <v>0</v>
      </c>
      <c r="AH796" t="n">
        <v>1</v>
      </c>
      <c r="AI796" t="n">
        <v>1</v>
      </c>
      <c r="AJ796" t="n">
        <v>0</v>
      </c>
      <c r="AK796" t="n">
        <v>0</v>
      </c>
      <c r="AL796" t="n">
        <v>11</v>
      </c>
      <c r="AM796" t="n">
        <v>11</v>
      </c>
      <c r="AN796" t="n">
        <v>0</v>
      </c>
      <c r="AO796" t="n">
        <v>0</v>
      </c>
      <c r="AP796" t="inlineStr">
        <is>
          <t>Yes</t>
        </is>
      </c>
      <c r="AQ796" t="inlineStr">
        <is>
          <t>No</t>
        </is>
      </c>
      <c r="AR796">
        <f>HYPERLINK("http://catalog.hathitrust.org/Record/006290873","HathiTrust Record")</f>
        <v/>
      </c>
      <c r="AS796">
        <f>HYPERLINK("https://creighton-primo.hosted.exlibrisgroup.com/primo-explore/search?tab=default_tab&amp;search_scope=EVERYTHING&amp;vid=01CRU&amp;lang=en_US&amp;offset=0&amp;query=any,contains,991004400359702656","Catalog Record")</f>
        <v/>
      </c>
      <c r="AT796">
        <f>HYPERLINK("http://www.worldcat.org/oclc/3295166","WorldCat Record")</f>
        <v/>
      </c>
      <c r="AU796" t="inlineStr">
        <is>
          <t>431250382:eng</t>
        </is>
      </c>
      <c r="AV796" t="inlineStr">
        <is>
          <t>3295166</t>
        </is>
      </c>
      <c r="AW796" t="inlineStr">
        <is>
          <t>991004400359702656</t>
        </is>
      </c>
      <c r="AX796" t="inlineStr">
        <is>
          <t>991004400359702656</t>
        </is>
      </c>
      <c r="AY796" t="inlineStr">
        <is>
          <t>2258022690002656</t>
        </is>
      </c>
      <c r="AZ796" t="inlineStr">
        <is>
          <t>BOOK</t>
        </is>
      </c>
      <c r="BC796" t="inlineStr">
        <is>
          <t>32285000415892</t>
        </is>
      </c>
      <c r="BD796" t="inlineStr">
        <is>
          <t>893519603</t>
        </is>
      </c>
    </row>
    <row r="797">
      <c r="A797" t="inlineStr">
        <is>
          <t>No</t>
        </is>
      </c>
      <c r="B797" t="inlineStr">
        <is>
          <t>PS3527.E47 R5 1937</t>
        </is>
      </c>
      <c r="C797" t="inlineStr">
        <is>
          <t>0                      PS 3527000E  47                 R  5           1937</t>
        </is>
      </c>
      <c r="D797" t="inlineStr">
        <is>
          <t>Rhythm for rain / [by] John Louw Nelson.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K797" t="inlineStr">
        <is>
          <t>Nelson, John Louw.</t>
        </is>
      </c>
      <c r="L797" t="inlineStr">
        <is>
          <t>Boston : Houghton Mifflin company, 1937.</t>
        </is>
      </c>
      <c r="M797" t="inlineStr">
        <is>
          <t>1937</t>
        </is>
      </c>
      <c r="O797" t="inlineStr">
        <is>
          <t>eng</t>
        </is>
      </c>
      <c r="P797" t="inlineStr">
        <is>
          <t>mau</t>
        </is>
      </c>
      <c r="R797" t="inlineStr">
        <is>
          <t xml:space="preserve">PS </t>
        </is>
      </c>
      <c r="S797" t="n">
        <v>1</v>
      </c>
      <c r="T797" t="n">
        <v>1</v>
      </c>
      <c r="U797" t="inlineStr">
        <is>
          <t>2003-06-03</t>
        </is>
      </c>
      <c r="V797" t="inlineStr">
        <is>
          <t>2003-06-03</t>
        </is>
      </c>
      <c r="W797" t="inlineStr">
        <is>
          <t>2003-06-03</t>
        </is>
      </c>
      <c r="X797" t="inlineStr">
        <is>
          <t>2003-06-03</t>
        </is>
      </c>
      <c r="Y797" t="n">
        <v>220</v>
      </c>
      <c r="Z797" t="n">
        <v>216</v>
      </c>
      <c r="AA797" t="n">
        <v>229</v>
      </c>
      <c r="AB797" t="n">
        <v>3</v>
      </c>
      <c r="AC797" t="n">
        <v>3</v>
      </c>
      <c r="AD797" t="n">
        <v>2</v>
      </c>
      <c r="AE797" t="n">
        <v>3</v>
      </c>
      <c r="AF797" t="n">
        <v>0</v>
      </c>
      <c r="AG797" t="n">
        <v>1</v>
      </c>
      <c r="AH797" t="n">
        <v>0</v>
      </c>
      <c r="AI797" t="n">
        <v>0</v>
      </c>
      <c r="AJ797" t="n">
        <v>0</v>
      </c>
      <c r="AK797" t="n">
        <v>0</v>
      </c>
      <c r="AL797" t="n">
        <v>2</v>
      </c>
      <c r="AM797" t="n">
        <v>2</v>
      </c>
      <c r="AN797" t="n">
        <v>0</v>
      </c>
      <c r="AO797" t="n">
        <v>0</v>
      </c>
      <c r="AP797" t="inlineStr">
        <is>
          <t>Yes</t>
        </is>
      </c>
      <c r="AQ797" t="inlineStr">
        <is>
          <t>No</t>
        </is>
      </c>
      <c r="AR797">
        <f>HYPERLINK("http://catalog.hathitrust.org/Record/000323975","HathiTrust Record")</f>
        <v/>
      </c>
      <c r="AS797">
        <f>HYPERLINK("https://creighton-primo.hosted.exlibrisgroup.com/primo-explore/search?tab=default_tab&amp;search_scope=EVERYTHING&amp;vid=01CRU&amp;lang=en_US&amp;offset=0&amp;query=any,contains,991004068779702656","Catalog Record")</f>
        <v/>
      </c>
      <c r="AT797">
        <f>HYPERLINK("http://www.worldcat.org/oclc/194153","WorldCat Record")</f>
        <v/>
      </c>
      <c r="AU797" t="inlineStr">
        <is>
          <t>1358826:eng</t>
        </is>
      </c>
      <c r="AV797" t="inlineStr">
        <is>
          <t>194153</t>
        </is>
      </c>
      <c r="AW797" t="inlineStr">
        <is>
          <t>991004068779702656</t>
        </is>
      </c>
      <c r="AX797" t="inlineStr">
        <is>
          <t>991004068779702656</t>
        </is>
      </c>
      <c r="AY797" t="inlineStr">
        <is>
          <t>2269324880002656</t>
        </is>
      </c>
      <c r="AZ797" t="inlineStr">
        <is>
          <t>BOOK</t>
        </is>
      </c>
      <c r="BC797" t="inlineStr">
        <is>
          <t>32285004750500</t>
        </is>
      </c>
      <c r="BD797" t="inlineStr">
        <is>
          <t>893875639</t>
        </is>
      </c>
    </row>
    <row r="798">
      <c r="A798" t="inlineStr">
        <is>
          <t>No</t>
        </is>
      </c>
      <c r="B798" t="inlineStr">
        <is>
          <t>PS3527.E5 Z74</t>
        </is>
      </c>
      <c r="C798" t="inlineStr">
        <is>
          <t>0                      PS 3527000E  5                  Z  74</t>
        </is>
      </c>
      <c r="D798" t="inlineStr">
        <is>
          <t>Howard Nemerov / by Ross Labrie.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K798" t="inlineStr">
        <is>
          <t>Labrie, Ross.</t>
        </is>
      </c>
      <c r="L798" t="inlineStr">
        <is>
          <t>Boston : Twayne Publishers, 1980.</t>
        </is>
      </c>
      <c r="M798" t="inlineStr">
        <is>
          <t>1980</t>
        </is>
      </c>
      <c r="O798" t="inlineStr">
        <is>
          <t>eng</t>
        </is>
      </c>
      <c r="P798" t="inlineStr">
        <is>
          <t>mau</t>
        </is>
      </c>
      <c r="Q798" t="inlineStr">
        <is>
          <t>Twayne's United States authors series ; TUSAS 356</t>
        </is>
      </c>
      <c r="R798" t="inlineStr">
        <is>
          <t xml:space="preserve">PS </t>
        </is>
      </c>
      <c r="S798" t="n">
        <v>1</v>
      </c>
      <c r="T798" t="n">
        <v>1</v>
      </c>
      <c r="U798" t="inlineStr">
        <is>
          <t>1992-11-01</t>
        </is>
      </c>
      <c r="V798" t="inlineStr">
        <is>
          <t>1992-11-01</t>
        </is>
      </c>
      <c r="W798" t="inlineStr">
        <is>
          <t>1990-11-21</t>
        </is>
      </c>
      <c r="X798" t="inlineStr">
        <is>
          <t>1990-11-21</t>
        </is>
      </c>
      <c r="Y798" t="n">
        <v>798</v>
      </c>
      <c r="Z798" t="n">
        <v>718</v>
      </c>
      <c r="AA798" t="n">
        <v>725</v>
      </c>
      <c r="AB798" t="n">
        <v>7</v>
      </c>
      <c r="AC798" t="n">
        <v>7</v>
      </c>
      <c r="AD798" t="n">
        <v>35</v>
      </c>
      <c r="AE798" t="n">
        <v>35</v>
      </c>
      <c r="AF798" t="n">
        <v>13</v>
      </c>
      <c r="AG798" t="n">
        <v>13</v>
      </c>
      <c r="AH798" t="n">
        <v>8</v>
      </c>
      <c r="AI798" t="n">
        <v>8</v>
      </c>
      <c r="AJ798" t="n">
        <v>17</v>
      </c>
      <c r="AK798" t="n">
        <v>17</v>
      </c>
      <c r="AL798" t="n">
        <v>6</v>
      </c>
      <c r="AM798" t="n">
        <v>6</v>
      </c>
      <c r="AN798" t="n">
        <v>0</v>
      </c>
      <c r="AO798" t="n">
        <v>0</v>
      </c>
      <c r="AP798" t="inlineStr">
        <is>
          <t>No</t>
        </is>
      </c>
      <c r="AQ798" t="inlineStr">
        <is>
          <t>Yes</t>
        </is>
      </c>
      <c r="AR798">
        <f>HYPERLINK("http://catalog.hathitrust.org/Record/000043321","HathiTrust Record")</f>
        <v/>
      </c>
      <c r="AS798">
        <f>HYPERLINK("https://creighton-primo.hosted.exlibrisgroup.com/primo-explore/search?tab=default_tab&amp;search_scope=EVERYTHING&amp;vid=01CRU&amp;lang=en_US&amp;offset=0&amp;query=any,contains,991004801749702656","Catalog Record")</f>
        <v/>
      </c>
      <c r="AT798">
        <f>HYPERLINK("http://www.worldcat.org/oclc/5219344","WorldCat Record")</f>
        <v/>
      </c>
      <c r="AU798" t="inlineStr">
        <is>
          <t>461664:eng</t>
        </is>
      </c>
      <c r="AV798" t="inlineStr">
        <is>
          <t>5219344</t>
        </is>
      </c>
      <c r="AW798" t="inlineStr">
        <is>
          <t>991004801749702656</t>
        </is>
      </c>
      <c r="AX798" t="inlineStr">
        <is>
          <t>991004801749702656</t>
        </is>
      </c>
      <c r="AY798" t="inlineStr">
        <is>
          <t>2268258350002656</t>
        </is>
      </c>
      <c r="AZ798" t="inlineStr">
        <is>
          <t>BOOK</t>
        </is>
      </c>
      <c r="BB798" t="inlineStr">
        <is>
          <t>9780805772982</t>
        </is>
      </c>
      <c r="BC798" t="inlineStr">
        <is>
          <t>32285000415900</t>
        </is>
      </c>
      <c r="BD798" t="inlineStr">
        <is>
          <t>893436769</t>
        </is>
      </c>
    </row>
    <row r="799">
      <c r="A799" t="inlineStr">
        <is>
          <t>No</t>
        </is>
      </c>
      <c r="B799" t="inlineStr">
        <is>
          <t>PS3527.I865 Z6</t>
        </is>
      </c>
      <c r="C799" t="inlineStr">
        <is>
          <t>0                      PS 3527000I  865                Z  6</t>
        </is>
      </c>
      <c r="D799" t="inlineStr">
        <is>
          <t>Anaïs Nin / [by] Oliver Evans. With a pref. by Harry T. Moore.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Evans, Oliver.</t>
        </is>
      </c>
      <c r="L799" t="inlineStr">
        <is>
          <t>Carbondale : Southern Illinois University Press, [1968]</t>
        </is>
      </c>
      <c r="M799" t="inlineStr">
        <is>
          <t>1968</t>
        </is>
      </c>
      <c r="O799" t="inlineStr">
        <is>
          <t>eng</t>
        </is>
      </c>
      <c r="P799" t="inlineStr">
        <is>
          <t>ilu</t>
        </is>
      </c>
      <c r="Q799" t="inlineStr">
        <is>
          <t>Crosscurrents/modern critiques</t>
        </is>
      </c>
      <c r="R799" t="inlineStr">
        <is>
          <t xml:space="preserve">PS </t>
        </is>
      </c>
      <c r="S799" t="n">
        <v>1</v>
      </c>
      <c r="T799" t="n">
        <v>1</v>
      </c>
      <c r="U799" t="inlineStr">
        <is>
          <t>1994-11-30</t>
        </is>
      </c>
      <c r="V799" t="inlineStr">
        <is>
          <t>1994-11-30</t>
        </is>
      </c>
      <c r="W799" t="inlineStr">
        <is>
          <t>1990-11-30</t>
        </is>
      </c>
      <c r="X799" t="inlineStr">
        <is>
          <t>1990-11-30</t>
        </is>
      </c>
      <c r="Y799" t="n">
        <v>809</v>
      </c>
      <c r="Z799" t="n">
        <v>726</v>
      </c>
      <c r="AA799" t="n">
        <v>729</v>
      </c>
      <c r="AB799" t="n">
        <v>5</v>
      </c>
      <c r="AC799" t="n">
        <v>5</v>
      </c>
      <c r="AD799" t="n">
        <v>31</v>
      </c>
      <c r="AE799" t="n">
        <v>31</v>
      </c>
      <c r="AF799" t="n">
        <v>13</v>
      </c>
      <c r="AG799" t="n">
        <v>13</v>
      </c>
      <c r="AH799" t="n">
        <v>5</v>
      </c>
      <c r="AI799" t="n">
        <v>5</v>
      </c>
      <c r="AJ799" t="n">
        <v>19</v>
      </c>
      <c r="AK799" t="n">
        <v>19</v>
      </c>
      <c r="AL799" t="n">
        <v>4</v>
      </c>
      <c r="AM799" t="n">
        <v>4</v>
      </c>
      <c r="AN799" t="n">
        <v>0</v>
      </c>
      <c r="AO799" t="n">
        <v>0</v>
      </c>
      <c r="AP799" t="inlineStr">
        <is>
          <t>No</t>
        </is>
      </c>
      <c r="AQ799" t="inlineStr">
        <is>
          <t>Yes</t>
        </is>
      </c>
      <c r="AR799">
        <f>HYPERLINK("http://catalog.hathitrust.org/Record/001376140","HathiTrust Record")</f>
        <v/>
      </c>
      <c r="AS799">
        <f>HYPERLINK("https://creighton-primo.hosted.exlibrisgroup.com/primo-explore/search?tab=default_tab&amp;search_scope=EVERYTHING&amp;vid=01CRU&amp;lang=en_US&amp;offset=0&amp;query=any,contains,991002927449702656","Catalog Record")</f>
        <v/>
      </c>
      <c r="AT799">
        <f>HYPERLINK("http://www.worldcat.org/oclc/529700","WorldCat Record")</f>
        <v/>
      </c>
      <c r="AU799" t="inlineStr">
        <is>
          <t>466783:eng</t>
        </is>
      </c>
      <c r="AV799" t="inlineStr">
        <is>
          <t>529700</t>
        </is>
      </c>
      <c r="AW799" t="inlineStr">
        <is>
          <t>991002927449702656</t>
        </is>
      </c>
      <c r="AX799" t="inlineStr">
        <is>
          <t>991002927449702656</t>
        </is>
      </c>
      <c r="AY799" t="inlineStr">
        <is>
          <t>2260875510002656</t>
        </is>
      </c>
      <c r="AZ799" t="inlineStr">
        <is>
          <t>BOOK</t>
        </is>
      </c>
      <c r="BC799" t="inlineStr">
        <is>
          <t>32285000411222</t>
        </is>
      </c>
      <c r="BD799" t="inlineStr">
        <is>
          <t>893524214</t>
        </is>
      </c>
    </row>
    <row r="800">
      <c r="A800" t="inlineStr">
        <is>
          <t>No</t>
        </is>
      </c>
      <c r="B800" t="inlineStr">
        <is>
          <t>PS3527.I865 Z64</t>
        </is>
      </c>
      <c r="C800" t="inlineStr">
        <is>
          <t>0                      PS 3527000I  865                Z  64</t>
        </is>
      </c>
      <c r="D800" t="inlineStr">
        <is>
          <t>Anais Nin : an introduction / Benjamin Franklin V and Duane Schneider.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K800" t="inlineStr">
        <is>
          <t>Franklin, Benjamin, 1939-</t>
        </is>
      </c>
      <c r="L800" t="inlineStr">
        <is>
          <t>Athens : Ohio University Press, c1979.</t>
        </is>
      </c>
      <c r="M800" t="inlineStr">
        <is>
          <t>1979</t>
        </is>
      </c>
      <c r="O800" t="inlineStr">
        <is>
          <t>eng</t>
        </is>
      </c>
      <c r="P800" t="inlineStr">
        <is>
          <t>ohu</t>
        </is>
      </c>
      <c r="R800" t="inlineStr">
        <is>
          <t xml:space="preserve">PS </t>
        </is>
      </c>
      <c r="S800" t="n">
        <v>3</v>
      </c>
      <c r="T800" t="n">
        <v>3</v>
      </c>
      <c r="U800" t="inlineStr">
        <is>
          <t>1994-11-30</t>
        </is>
      </c>
      <c r="V800" t="inlineStr">
        <is>
          <t>1994-11-30</t>
        </is>
      </c>
      <c r="W800" t="inlineStr">
        <is>
          <t>1990-11-21</t>
        </is>
      </c>
      <c r="X800" t="inlineStr">
        <is>
          <t>1990-11-21</t>
        </is>
      </c>
      <c r="Y800" t="n">
        <v>686</v>
      </c>
      <c r="Z800" t="n">
        <v>607</v>
      </c>
      <c r="AA800" t="n">
        <v>614</v>
      </c>
      <c r="AB800" t="n">
        <v>4</v>
      </c>
      <c r="AC800" t="n">
        <v>4</v>
      </c>
      <c r="AD800" t="n">
        <v>19</v>
      </c>
      <c r="AE800" t="n">
        <v>19</v>
      </c>
      <c r="AF800" t="n">
        <v>4</v>
      </c>
      <c r="AG800" t="n">
        <v>4</v>
      </c>
      <c r="AH800" t="n">
        <v>8</v>
      </c>
      <c r="AI800" t="n">
        <v>8</v>
      </c>
      <c r="AJ800" t="n">
        <v>9</v>
      </c>
      <c r="AK800" t="n">
        <v>9</v>
      </c>
      <c r="AL800" t="n">
        <v>3</v>
      </c>
      <c r="AM800" t="n">
        <v>3</v>
      </c>
      <c r="AN800" t="n">
        <v>0</v>
      </c>
      <c r="AO800" t="n">
        <v>0</v>
      </c>
      <c r="AP800" t="inlineStr">
        <is>
          <t>No</t>
        </is>
      </c>
      <c r="AQ800" t="inlineStr">
        <is>
          <t>Yes</t>
        </is>
      </c>
      <c r="AR800">
        <f>HYPERLINK("http://catalog.hathitrust.org/Record/000031108","HathiTrust Record")</f>
        <v/>
      </c>
      <c r="AS800">
        <f>HYPERLINK("https://creighton-primo.hosted.exlibrisgroup.com/primo-explore/search?tab=default_tab&amp;search_scope=EVERYTHING&amp;vid=01CRU&amp;lang=en_US&amp;offset=0&amp;query=any,contains,991004728289702656","Catalog Record")</f>
        <v/>
      </c>
      <c r="AT800">
        <f>HYPERLINK("http://www.worldcat.org/oclc/4831689","WorldCat Record")</f>
        <v/>
      </c>
      <c r="AU800" t="inlineStr">
        <is>
          <t>2542042962:eng</t>
        </is>
      </c>
      <c r="AV800" t="inlineStr">
        <is>
          <t>4831689</t>
        </is>
      </c>
      <c r="AW800" t="inlineStr">
        <is>
          <t>991004728289702656</t>
        </is>
      </c>
      <c r="AX800" t="inlineStr">
        <is>
          <t>991004728289702656</t>
        </is>
      </c>
      <c r="AY800" t="inlineStr">
        <is>
          <t>2266169020002656</t>
        </is>
      </c>
      <c r="AZ800" t="inlineStr">
        <is>
          <t>BOOK</t>
        </is>
      </c>
      <c r="BB800" t="inlineStr">
        <is>
          <t>9780821403952</t>
        </is>
      </c>
      <c r="BC800" t="inlineStr">
        <is>
          <t>32285000416056</t>
        </is>
      </c>
      <c r="BD800" t="inlineStr">
        <is>
          <t>893417949</t>
        </is>
      </c>
    </row>
    <row r="801">
      <c r="A801" t="inlineStr">
        <is>
          <t>No</t>
        </is>
      </c>
      <c r="B801" t="inlineStr">
        <is>
          <t>PS3527.I865 Z7 1973</t>
        </is>
      </c>
      <c r="C801" t="inlineStr">
        <is>
          <t>0                      PS 3527000I  865                Z  7           1973</t>
        </is>
      </c>
      <c r="D801" t="inlineStr">
        <is>
          <t>The mirror and the garden : realism and reality in the writings of Anaïs Nin / [by] Evelyn J. Hinz.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Hinz, Evelyn J.</t>
        </is>
      </c>
      <c r="L801" t="inlineStr">
        <is>
          <t>New York : Harcourt Brace Jovanovich, [1973]</t>
        </is>
      </c>
      <c r="M801" t="inlineStr">
        <is>
          <t>1973</t>
        </is>
      </c>
      <c r="O801" t="inlineStr">
        <is>
          <t>eng</t>
        </is>
      </c>
      <c r="P801" t="inlineStr">
        <is>
          <t>nyu</t>
        </is>
      </c>
      <c r="Q801" t="inlineStr">
        <is>
          <t>A Harvest book, HB 259</t>
        </is>
      </c>
      <c r="R801" t="inlineStr">
        <is>
          <t xml:space="preserve">PS </t>
        </is>
      </c>
      <c r="S801" t="n">
        <v>1</v>
      </c>
      <c r="T801" t="n">
        <v>1</v>
      </c>
      <c r="U801" t="inlineStr">
        <is>
          <t>1996-04-11</t>
        </is>
      </c>
      <c r="V801" t="inlineStr">
        <is>
          <t>1996-04-11</t>
        </is>
      </c>
      <c r="W801" t="inlineStr">
        <is>
          <t>1994-12-22</t>
        </is>
      </c>
      <c r="X801" t="inlineStr">
        <is>
          <t>1994-12-22</t>
        </is>
      </c>
      <c r="Y801" t="n">
        <v>210</v>
      </c>
      <c r="Z801" t="n">
        <v>176</v>
      </c>
      <c r="AA801" t="n">
        <v>347</v>
      </c>
      <c r="AB801" t="n">
        <v>2</v>
      </c>
      <c r="AC801" t="n">
        <v>2</v>
      </c>
      <c r="AD801" t="n">
        <v>5</v>
      </c>
      <c r="AE801" t="n">
        <v>13</v>
      </c>
      <c r="AF801" t="n">
        <v>2</v>
      </c>
      <c r="AG801" t="n">
        <v>4</v>
      </c>
      <c r="AH801" t="n">
        <v>1</v>
      </c>
      <c r="AI801" t="n">
        <v>5</v>
      </c>
      <c r="AJ801" t="n">
        <v>3</v>
      </c>
      <c r="AK801" t="n">
        <v>7</v>
      </c>
      <c r="AL801" t="n">
        <v>1</v>
      </c>
      <c r="AM801" t="n">
        <v>1</v>
      </c>
      <c r="AN801" t="n">
        <v>0</v>
      </c>
      <c r="AO801" t="n">
        <v>0</v>
      </c>
      <c r="AP801" t="inlineStr">
        <is>
          <t>No</t>
        </is>
      </c>
      <c r="AQ801" t="inlineStr">
        <is>
          <t>No</t>
        </is>
      </c>
      <c r="AS801">
        <f>HYPERLINK("https://creighton-primo.hosted.exlibrisgroup.com/primo-explore/search?tab=default_tab&amp;search_scope=EVERYTHING&amp;vid=01CRU&amp;lang=en_US&amp;offset=0&amp;query=any,contains,991003080289702656","Catalog Record")</f>
        <v/>
      </c>
      <c r="AT801">
        <f>HYPERLINK("http://www.worldcat.org/oclc/632347","WorldCat Record")</f>
        <v/>
      </c>
      <c r="AU801" t="inlineStr">
        <is>
          <t>198840878:eng</t>
        </is>
      </c>
      <c r="AV801" t="inlineStr">
        <is>
          <t>632347</t>
        </is>
      </c>
      <c r="AW801" t="inlineStr">
        <is>
          <t>991003080289702656</t>
        </is>
      </c>
      <c r="AX801" t="inlineStr">
        <is>
          <t>991003080289702656</t>
        </is>
      </c>
      <c r="AY801" t="inlineStr">
        <is>
          <t>2263793900002656</t>
        </is>
      </c>
      <c r="AZ801" t="inlineStr">
        <is>
          <t>BOOK</t>
        </is>
      </c>
      <c r="BB801" t="inlineStr">
        <is>
          <t>9780156605007</t>
        </is>
      </c>
      <c r="BC801" t="inlineStr">
        <is>
          <t>32285001985216</t>
        </is>
      </c>
      <c r="BD801" t="inlineStr">
        <is>
          <t>893786940</t>
        </is>
      </c>
    </row>
    <row r="802">
      <c r="A802" t="inlineStr">
        <is>
          <t>No</t>
        </is>
      </c>
      <c r="B802" t="inlineStr">
        <is>
          <t>PS3527.I865 Z98 1974</t>
        </is>
      </c>
      <c r="C802" t="inlineStr">
        <is>
          <t>0                      PS 3527000I  865                Z  98          1974</t>
        </is>
      </c>
      <c r="D802" t="inlineStr">
        <is>
          <t>A casebook on Anaïs Nin / edited with an introd. by Robert Zaller.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Zaller, Robert compiler.</t>
        </is>
      </c>
      <c r="L802" t="inlineStr">
        <is>
          <t>New York : New American Library, 1974.</t>
        </is>
      </c>
      <c r="M802" t="inlineStr">
        <is>
          <t>1974</t>
        </is>
      </c>
      <c r="O802" t="inlineStr">
        <is>
          <t>eng</t>
        </is>
      </c>
      <c r="P802" t="inlineStr">
        <is>
          <t>nyu</t>
        </is>
      </c>
      <c r="R802" t="inlineStr">
        <is>
          <t xml:space="preserve">PS </t>
        </is>
      </c>
      <c r="S802" t="n">
        <v>1</v>
      </c>
      <c r="T802" t="n">
        <v>1</v>
      </c>
      <c r="U802" t="inlineStr">
        <is>
          <t>2002-12-11</t>
        </is>
      </c>
      <c r="V802" t="inlineStr">
        <is>
          <t>2002-12-11</t>
        </is>
      </c>
      <c r="W802" t="inlineStr">
        <is>
          <t>2002-12-11</t>
        </is>
      </c>
      <c r="X802" t="inlineStr">
        <is>
          <t>2002-12-11</t>
        </is>
      </c>
      <c r="Y802" t="n">
        <v>257</v>
      </c>
      <c r="Z802" t="n">
        <v>219</v>
      </c>
      <c r="AA802" t="n">
        <v>226</v>
      </c>
      <c r="AB802" t="n">
        <v>2</v>
      </c>
      <c r="AC802" t="n">
        <v>2</v>
      </c>
      <c r="AD802" t="n">
        <v>13</v>
      </c>
      <c r="AE802" t="n">
        <v>13</v>
      </c>
      <c r="AF802" t="n">
        <v>6</v>
      </c>
      <c r="AG802" t="n">
        <v>6</v>
      </c>
      <c r="AH802" t="n">
        <v>4</v>
      </c>
      <c r="AI802" t="n">
        <v>4</v>
      </c>
      <c r="AJ802" t="n">
        <v>7</v>
      </c>
      <c r="AK802" t="n">
        <v>7</v>
      </c>
      <c r="AL802" t="n">
        <v>1</v>
      </c>
      <c r="AM802" t="n">
        <v>1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HYPERLINK("http://catalog.hathitrust.org/Record/000037736","HathiTrust Record")</f>
        <v/>
      </c>
      <c r="AS802">
        <f>HYPERLINK("https://creighton-primo.hosted.exlibrisgroup.com/primo-explore/search?tab=default_tab&amp;search_scope=EVERYTHING&amp;vid=01CRU&amp;lang=en_US&amp;offset=0&amp;query=any,contains,991003960859702656","Catalog Record")</f>
        <v/>
      </c>
      <c r="AT802">
        <f>HYPERLINK("http://www.worldcat.org/oclc/1144834","WorldCat Record")</f>
        <v/>
      </c>
      <c r="AU802" t="inlineStr">
        <is>
          <t>2068623:eng</t>
        </is>
      </c>
      <c r="AV802" t="inlineStr">
        <is>
          <t>1144834</t>
        </is>
      </c>
      <c r="AW802" t="inlineStr">
        <is>
          <t>991003960859702656</t>
        </is>
      </c>
      <c r="AX802" t="inlineStr">
        <is>
          <t>991003960859702656</t>
        </is>
      </c>
      <c r="AY802" t="inlineStr">
        <is>
          <t>2263439430002656</t>
        </is>
      </c>
      <c r="AZ802" t="inlineStr">
        <is>
          <t>BOOK</t>
        </is>
      </c>
      <c r="BC802" t="inlineStr">
        <is>
          <t>32285004690649</t>
        </is>
      </c>
      <c r="BD802" t="inlineStr">
        <is>
          <t>893535738</t>
        </is>
      </c>
    </row>
    <row r="803">
      <c r="A803" t="inlineStr">
        <is>
          <t>No</t>
        </is>
      </c>
      <c r="B803" t="inlineStr">
        <is>
          <t>PS3527.O437 M8</t>
        </is>
      </c>
      <c r="C803" t="inlineStr">
        <is>
          <t>0                      PS 3527000O  437                M  8</t>
        </is>
      </c>
      <c r="D803" t="inlineStr">
        <is>
          <t>Mutiny on the Bounty / by Charles Nordhoff and James Norman Hall.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Nordhoff, Charles, 1887-1947.</t>
        </is>
      </c>
      <c r="L803" t="inlineStr">
        <is>
          <t>Boston : Little, Brown, and company, 1932.</t>
        </is>
      </c>
      <c r="M803" t="inlineStr">
        <is>
          <t>1932</t>
        </is>
      </c>
      <c r="O803" t="inlineStr">
        <is>
          <t>eng</t>
        </is>
      </c>
      <c r="P803" t="inlineStr">
        <is>
          <t>mau</t>
        </is>
      </c>
      <c r="R803" t="inlineStr">
        <is>
          <t xml:space="preserve">PS </t>
        </is>
      </c>
      <c r="S803" t="n">
        <v>1</v>
      </c>
      <c r="T803" t="n">
        <v>1</v>
      </c>
      <c r="U803" t="inlineStr">
        <is>
          <t>2002-08-26</t>
        </is>
      </c>
      <c r="V803" t="inlineStr">
        <is>
          <t>2002-08-26</t>
        </is>
      </c>
      <c r="W803" t="inlineStr">
        <is>
          <t>1993-12-14</t>
        </is>
      </c>
      <c r="X803" t="inlineStr">
        <is>
          <t>1993-12-14</t>
        </is>
      </c>
      <c r="Y803" t="n">
        <v>1366</v>
      </c>
      <c r="Z803" t="n">
        <v>1325</v>
      </c>
      <c r="AA803" t="n">
        <v>3310</v>
      </c>
      <c r="AB803" t="n">
        <v>15</v>
      </c>
      <c r="AC803" t="n">
        <v>38</v>
      </c>
      <c r="AD803" t="n">
        <v>23</v>
      </c>
      <c r="AE803" t="n">
        <v>46</v>
      </c>
      <c r="AF803" t="n">
        <v>11</v>
      </c>
      <c r="AG803" t="n">
        <v>17</v>
      </c>
      <c r="AH803" t="n">
        <v>5</v>
      </c>
      <c r="AI803" t="n">
        <v>8</v>
      </c>
      <c r="AJ803" t="n">
        <v>12</v>
      </c>
      <c r="AK803" t="n">
        <v>20</v>
      </c>
      <c r="AL803" t="n">
        <v>4</v>
      </c>
      <c r="AM803" t="n">
        <v>12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HYPERLINK("http://catalog.hathitrust.org/Record/001021090","HathiTrust Record")</f>
        <v/>
      </c>
      <c r="AS803">
        <f>HYPERLINK("https://creighton-primo.hosted.exlibrisgroup.com/primo-explore/search?tab=default_tab&amp;search_scope=EVERYTHING&amp;vid=01CRU&amp;lang=en_US&amp;offset=0&amp;query=any,contains,991001400409702656","Catalog Record")</f>
        <v/>
      </c>
      <c r="AT803">
        <f>HYPERLINK("http://www.worldcat.org/oclc/229172","WorldCat Record")</f>
        <v/>
      </c>
      <c r="AU803" t="inlineStr">
        <is>
          <t>4714389557:eng</t>
        </is>
      </c>
      <c r="AV803" t="inlineStr">
        <is>
          <t>229172</t>
        </is>
      </c>
      <c r="AW803" t="inlineStr">
        <is>
          <t>991001400409702656</t>
        </is>
      </c>
      <c r="AX803" t="inlineStr">
        <is>
          <t>991001400409702656</t>
        </is>
      </c>
      <c r="AY803" t="inlineStr">
        <is>
          <t>2256705440002656</t>
        </is>
      </c>
      <c r="AZ803" t="inlineStr">
        <is>
          <t>BOOK</t>
        </is>
      </c>
      <c r="BC803" t="inlineStr">
        <is>
          <t>32285001808384</t>
        </is>
      </c>
      <c r="BD803" t="inlineStr">
        <is>
          <t>893346487</t>
        </is>
      </c>
    </row>
    <row r="804">
      <c r="A804" t="inlineStr">
        <is>
          <t>No</t>
        </is>
      </c>
      <c r="B804" t="inlineStr">
        <is>
          <t>PS3529 .N5 1954</t>
        </is>
      </c>
      <c r="C804" t="inlineStr">
        <is>
          <t>0                      PS 3529000N  5           1954</t>
        </is>
      </c>
      <c r="D804" t="inlineStr">
        <is>
          <t>Nine plays / by Eugene O'Neill ; selected by the author; introduction by Joseph Wood Krutch.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O'Neill, Eugene, 1888-1953.</t>
        </is>
      </c>
      <c r="L804" t="inlineStr">
        <is>
          <t>New York : The Modern Library, [1954?]</t>
        </is>
      </c>
      <c r="M804" t="inlineStr">
        <is>
          <t>1954</t>
        </is>
      </c>
      <c r="O804" t="inlineStr">
        <is>
          <t>eng</t>
        </is>
      </c>
      <c r="P804" t="inlineStr">
        <is>
          <t>___</t>
        </is>
      </c>
      <c r="Q804" t="inlineStr">
        <is>
          <t>Half-title: The Modern Library of the world's best books</t>
        </is>
      </c>
      <c r="R804" t="inlineStr">
        <is>
          <t xml:space="preserve">PS </t>
        </is>
      </c>
      <c r="S804" t="n">
        <v>5</v>
      </c>
      <c r="T804" t="n">
        <v>5</v>
      </c>
      <c r="U804" t="inlineStr">
        <is>
          <t>2002-09-09</t>
        </is>
      </c>
      <c r="V804" t="inlineStr">
        <is>
          <t>2002-09-09</t>
        </is>
      </c>
      <c r="W804" t="inlineStr">
        <is>
          <t>1990-11-26</t>
        </is>
      </c>
      <c r="X804" t="inlineStr">
        <is>
          <t>1990-11-26</t>
        </is>
      </c>
      <c r="Y804" t="n">
        <v>430</v>
      </c>
      <c r="Z804" t="n">
        <v>388</v>
      </c>
      <c r="AA804" t="n">
        <v>2137</v>
      </c>
      <c r="AB804" t="n">
        <v>2</v>
      </c>
      <c r="AC804" t="n">
        <v>16</v>
      </c>
      <c r="AD804" t="n">
        <v>6</v>
      </c>
      <c r="AE804" t="n">
        <v>50</v>
      </c>
      <c r="AF804" t="n">
        <v>1</v>
      </c>
      <c r="AG804" t="n">
        <v>22</v>
      </c>
      <c r="AH804" t="n">
        <v>0</v>
      </c>
      <c r="AI804" t="n">
        <v>10</v>
      </c>
      <c r="AJ804" t="n">
        <v>5</v>
      </c>
      <c r="AK804" t="n">
        <v>21</v>
      </c>
      <c r="AL804" t="n">
        <v>0</v>
      </c>
      <c r="AM804" t="n">
        <v>8</v>
      </c>
      <c r="AN804" t="n">
        <v>0</v>
      </c>
      <c r="AO804" t="n">
        <v>0</v>
      </c>
      <c r="AP804" t="inlineStr">
        <is>
          <t>No</t>
        </is>
      </c>
      <c r="AQ804" t="inlineStr">
        <is>
          <t>No</t>
        </is>
      </c>
      <c r="AR804">
        <f>HYPERLINK("http://catalog.hathitrust.org/Record/005115551","HathiTrust Record")</f>
        <v/>
      </c>
      <c r="AS804">
        <f>HYPERLINK("https://creighton-primo.hosted.exlibrisgroup.com/primo-explore/search?tab=default_tab&amp;search_scope=EVERYTHING&amp;vid=01CRU&amp;lang=en_US&amp;offset=0&amp;query=any,contains,991003614109702656","Catalog Record")</f>
        <v/>
      </c>
      <c r="AT804">
        <f>HYPERLINK("http://www.worldcat.org/oclc/1196759","WorldCat Record")</f>
        <v/>
      </c>
      <c r="AU804" t="inlineStr">
        <is>
          <t>196528454:eng</t>
        </is>
      </c>
      <c r="AV804" t="inlineStr">
        <is>
          <t>1196759</t>
        </is>
      </c>
      <c r="AW804" t="inlineStr">
        <is>
          <t>991003614109702656</t>
        </is>
      </c>
      <c r="AX804" t="inlineStr">
        <is>
          <t>991003614109702656</t>
        </is>
      </c>
      <c r="AY804" t="inlineStr">
        <is>
          <t>2259672970002656</t>
        </is>
      </c>
      <c r="AZ804" t="inlineStr">
        <is>
          <t>BOOK</t>
        </is>
      </c>
      <c r="BC804" t="inlineStr">
        <is>
          <t>32285000416197</t>
        </is>
      </c>
      <c r="BD804" t="inlineStr">
        <is>
          <t>893799949</t>
        </is>
      </c>
    </row>
    <row r="805">
      <c r="A805" t="inlineStr">
        <is>
          <t>No</t>
        </is>
      </c>
      <c r="B805" t="inlineStr">
        <is>
          <t>PS3529.B45 F6 1940</t>
        </is>
      </c>
      <c r="C805" t="inlineStr">
        <is>
          <t>0                      PS 3529000B  45                 F  6           1940</t>
        </is>
      </c>
      <c r="D805" t="inlineStr">
        <is>
          <t>Fourteen radio plays, by Arch Oboler, with a foreword by Lewis H. Titterton, an introduction, On reading a radio play, by Irving Stone; and an essay, The art of radio writing, by Arch Oboler.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Oboler, Arch, 1909-1987.</t>
        </is>
      </c>
      <c r="L805" t="inlineStr">
        <is>
          <t>New York, Random House [c1940]</t>
        </is>
      </c>
      <c r="M805" t="inlineStr">
        <is>
          <t>1940</t>
        </is>
      </c>
      <c r="O805" t="inlineStr">
        <is>
          <t>eng</t>
        </is>
      </c>
      <c r="P805" t="inlineStr">
        <is>
          <t>nyu</t>
        </is>
      </c>
      <c r="R805" t="inlineStr">
        <is>
          <t xml:space="preserve">PS </t>
        </is>
      </c>
      <c r="S805" t="n">
        <v>1</v>
      </c>
      <c r="T805" t="n">
        <v>1</v>
      </c>
      <c r="U805" t="inlineStr">
        <is>
          <t>2000-10-19</t>
        </is>
      </c>
      <c r="V805" t="inlineStr">
        <is>
          <t>2000-10-19</t>
        </is>
      </c>
      <c r="W805" t="inlineStr">
        <is>
          <t>1997-06-13</t>
        </is>
      </c>
      <c r="X805" t="inlineStr">
        <is>
          <t>1997-06-13</t>
        </is>
      </c>
      <c r="Y805" t="n">
        <v>243</v>
      </c>
      <c r="Z805" t="n">
        <v>231</v>
      </c>
      <c r="AA805" t="n">
        <v>233</v>
      </c>
      <c r="AB805" t="n">
        <v>3</v>
      </c>
      <c r="AC805" t="n">
        <v>3</v>
      </c>
      <c r="AD805" t="n">
        <v>8</v>
      </c>
      <c r="AE805" t="n">
        <v>8</v>
      </c>
      <c r="AF805" t="n">
        <v>2</v>
      </c>
      <c r="AG805" t="n">
        <v>2</v>
      </c>
      <c r="AH805" t="n">
        <v>2</v>
      </c>
      <c r="AI805" t="n">
        <v>2</v>
      </c>
      <c r="AJ805" t="n">
        <v>3</v>
      </c>
      <c r="AK805" t="n">
        <v>3</v>
      </c>
      <c r="AL805" t="n">
        <v>2</v>
      </c>
      <c r="AM805" t="n">
        <v>2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HYPERLINK("http://catalog.hathitrust.org/Record/000120688","HathiTrust Record")</f>
        <v/>
      </c>
      <c r="AS805">
        <f>HYPERLINK("https://creighton-primo.hosted.exlibrisgroup.com/primo-explore/search?tab=default_tab&amp;search_scope=EVERYTHING&amp;vid=01CRU&amp;lang=en_US&amp;offset=0&amp;query=any,contains,991003778869702656","Catalog Record")</f>
        <v/>
      </c>
      <c r="AT805">
        <f>HYPERLINK("http://www.worldcat.org/oclc/1490009","WorldCat Record")</f>
        <v/>
      </c>
      <c r="AU805" t="inlineStr">
        <is>
          <t>2402811:eng</t>
        </is>
      </c>
      <c r="AV805" t="inlineStr">
        <is>
          <t>1490009</t>
        </is>
      </c>
      <c r="AW805" t="inlineStr">
        <is>
          <t>991003778869702656</t>
        </is>
      </c>
      <c r="AX805" t="inlineStr">
        <is>
          <t>991003778869702656</t>
        </is>
      </c>
      <c r="AY805" t="inlineStr">
        <is>
          <t>2266187700002656</t>
        </is>
      </c>
      <c r="AZ805" t="inlineStr">
        <is>
          <t>BOOK</t>
        </is>
      </c>
      <c r="BC805" t="inlineStr">
        <is>
          <t>32285002815057</t>
        </is>
      </c>
      <c r="BD805" t="inlineStr">
        <is>
          <t>893422964</t>
        </is>
      </c>
    </row>
    <row r="806">
      <c r="A806" t="inlineStr">
        <is>
          <t>No</t>
        </is>
      </c>
      <c r="B806" t="inlineStr">
        <is>
          <t>PS3529.H28 Z68</t>
        </is>
      </c>
      <c r="C806" t="inlineStr">
        <is>
          <t>0                      PS 3529000H  28                 Z  68</t>
        </is>
      </c>
      <c r="D806" t="inlineStr">
        <is>
          <t>Frank O'Hara / by Alan Feldman.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Feldman, Alan, 1945-</t>
        </is>
      </c>
      <c r="L806" t="inlineStr">
        <is>
          <t>Boston : Twayne Publishers, c1979.</t>
        </is>
      </c>
      <c r="M806" t="inlineStr">
        <is>
          <t>1979</t>
        </is>
      </c>
      <c r="O806" t="inlineStr">
        <is>
          <t>eng</t>
        </is>
      </c>
      <c r="P806" t="inlineStr">
        <is>
          <t>mau</t>
        </is>
      </c>
      <c r="Q806" t="inlineStr">
        <is>
          <t>Twayne's United States authors series ; TUSAS 347</t>
        </is>
      </c>
      <c r="R806" t="inlineStr">
        <is>
          <t xml:space="preserve">PS </t>
        </is>
      </c>
      <c r="S806" t="n">
        <v>11</v>
      </c>
      <c r="T806" t="n">
        <v>11</v>
      </c>
      <c r="U806" t="inlineStr">
        <is>
          <t>1999-04-27</t>
        </is>
      </c>
      <c r="V806" t="inlineStr">
        <is>
          <t>1999-04-27</t>
        </is>
      </c>
      <c r="W806" t="inlineStr">
        <is>
          <t>1990-11-21</t>
        </is>
      </c>
      <c r="X806" t="inlineStr">
        <is>
          <t>1990-11-21</t>
        </is>
      </c>
      <c r="Y806" t="n">
        <v>791</v>
      </c>
      <c r="Z806" t="n">
        <v>717</v>
      </c>
      <c r="AA806" t="n">
        <v>723</v>
      </c>
      <c r="AB806" t="n">
        <v>4</v>
      </c>
      <c r="AC806" t="n">
        <v>4</v>
      </c>
      <c r="AD806" t="n">
        <v>30</v>
      </c>
      <c r="AE806" t="n">
        <v>30</v>
      </c>
      <c r="AF806" t="n">
        <v>11</v>
      </c>
      <c r="AG806" t="n">
        <v>11</v>
      </c>
      <c r="AH806" t="n">
        <v>7</v>
      </c>
      <c r="AI806" t="n">
        <v>7</v>
      </c>
      <c r="AJ806" t="n">
        <v>17</v>
      </c>
      <c r="AK806" t="n">
        <v>17</v>
      </c>
      <c r="AL806" t="n">
        <v>3</v>
      </c>
      <c r="AM806" t="n">
        <v>3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HYPERLINK("http://catalog.hathitrust.org/Record/000298374","HathiTrust Record")</f>
        <v/>
      </c>
      <c r="AS806">
        <f>HYPERLINK("https://creighton-primo.hosted.exlibrisgroup.com/primo-explore/search?tab=default_tab&amp;search_scope=EVERYTHING&amp;vid=01CRU&amp;lang=en_US&amp;offset=0&amp;query=any,contains,991004723859702656","Catalog Record")</f>
        <v/>
      </c>
      <c r="AT806">
        <f>HYPERLINK("http://www.worldcat.org/oclc/4805073","WorldCat Record")</f>
        <v/>
      </c>
      <c r="AU806" t="inlineStr">
        <is>
          <t>738639:eng</t>
        </is>
      </c>
      <c r="AV806" t="inlineStr">
        <is>
          <t>4805073</t>
        </is>
      </c>
      <c r="AW806" t="inlineStr">
        <is>
          <t>991004723859702656</t>
        </is>
      </c>
      <c r="AX806" t="inlineStr">
        <is>
          <t>991004723859702656</t>
        </is>
      </c>
      <c r="AY806" t="inlineStr">
        <is>
          <t>2270758220002656</t>
        </is>
      </c>
      <c r="AZ806" t="inlineStr">
        <is>
          <t>BOOK</t>
        </is>
      </c>
      <c r="BB806" t="inlineStr">
        <is>
          <t>9780805772777</t>
        </is>
      </c>
      <c r="BC806" t="inlineStr">
        <is>
          <t>32285000416122</t>
        </is>
      </c>
      <c r="BD806" t="inlineStr">
        <is>
          <t>893526430</t>
        </is>
      </c>
    </row>
    <row r="807">
      <c r="A807" t="inlineStr">
        <is>
          <t>No</t>
        </is>
      </c>
      <c r="B807" t="inlineStr">
        <is>
          <t>PS3529.H29 Z76 1980</t>
        </is>
      </c>
      <c r="C807" t="inlineStr">
        <is>
          <t>0                      PS 3529000H  29                 Z  76          1980</t>
        </is>
      </c>
      <c r="D807" t="inlineStr">
        <is>
          <t>The life of John O'Hara / Frank MacShane.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MacShane, Frank.</t>
        </is>
      </c>
      <c r="L807" t="inlineStr">
        <is>
          <t>New York : Dutton, c1980.</t>
        </is>
      </c>
      <c r="M807" t="inlineStr">
        <is>
          <t>1980</t>
        </is>
      </c>
      <c r="N807" t="inlineStr">
        <is>
          <t>1st ed.</t>
        </is>
      </c>
      <c r="O807" t="inlineStr">
        <is>
          <t>eng</t>
        </is>
      </c>
      <c r="P807" t="inlineStr">
        <is>
          <t>nyu</t>
        </is>
      </c>
      <c r="R807" t="inlineStr">
        <is>
          <t xml:space="preserve">PS </t>
        </is>
      </c>
      <c r="S807" t="n">
        <v>8</v>
      </c>
      <c r="T807" t="n">
        <v>8</v>
      </c>
      <c r="U807" t="inlineStr">
        <is>
          <t>2000-05-01</t>
        </is>
      </c>
      <c r="V807" t="inlineStr">
        <is>
          <t>2000-05-01</t>
        </is>
      </c>
      <c r="W807" t="inlineStr">
        <is>
          <t>1990-11-21</t>
        </is>
      </c>
      <c r="X807" t="inlineStr">
        <is>
          <t>1990-11-21</t>
        </is>
      </c>
      <c r="Y807" t="n">
        <v>836</v>
      </c>
      <c r="Z807" t="n">
        <v>759</v>
      </c>
      <c r="AA807" t="n">
        <v>772</v>
      </c>
      <c r="AB807" t="n">
        <v>4</v>
      </c>
      <c r="AC807" t="n">
        <v>4</v>
      </c>
      <c r="AD807" t="n">
        <v>27</v>
      </c>
      <c r="AE807" t="n">
        <v>28</v>
      </c>
      <c r="AF807" t="n">
        <v>11</v>
      </c>
      <c r="AG807" t="n">
        <v>11</v>
      </c>
      <c r="AH807" t="n">
        <v>7</v>
      </c>
      <c r="AI807" t="n">
        <v>7</v>
      </c>
      <c r="AJ807" t="n">
        <v>15</v>
      </c>
      <c r="AK807" t="n">
        <v>16</v>
      </c>
      <c r="AL807" t="n">
        <v>3</v>
      </c>
      <c r="AM807" t="n">
        <v>3</v>
      </c>
      <c r="AN807" t="n">
        <v>0</v>
      </c>
      <c r="AO807" t="n">
        <v>0</v>
      </c>
      <c r="AP807" t="inlineStr">
        <is>
          <t>No</t>
        </is>
      </c>
      <c r="AQ807" t="inlineStr">
        <is>
          <t>Yes</t>
        </is>
      </c>
      <c r="AR807">
        <f>HYPERLINK("http://catalog.hathitrust.org/Record/000739420","HathiTrust Record")</f>
        <v/>
      </c>
      <c r="AS807">
        <f>HYPERLINK("https://creighton-primo.hosted.exlibrisgroup.com/primo-explore/search?tab=default_tab&amp;search_scope=EVERYTHING&amp;vid=01CRU&amp;lang=en_US&amp;offset=0&amp;query=any,contains,991004926859702656","Catalog Record")</f>
        <v/>
      </c>
      <c r="AT807">
        <f>HYPERLINK("http://www.worldcat.org/oclc/6086608","WorldCat Record")</f>
        <v/>
      </c>
      <c r="AU807" t="inlineStr">
        <is>
          <t>7250925:eng</t>
        </is>
      </c>
      <c r="AV807" t="inlineStr">
        <is>
          <t>6086608</t>
        </is>
      </c>
      <c r="AW807" t="inlineStr">
        <is>
          <t>991004926859702656</t>
        </is>
      </c>
      <c r="AX807" t="inlineStr">
        <is>
          <t>991004926859702656</t>
        </is>
      </c>
      <c r="AY807" t="inlineStr">
        <is>
          <t>2257829170002656</t>
        </is>
      </c>
      <c r="AZ807" t="inlineStr">
        <is>
          <t>BOOK</t>
        </is>
      </c>
      <c r="BC807" t="inlineStr">
        <is>
          <t>32285000416148</t>
        </is>
      </c>
      <c r="BD807" t="inlineStr">
        <is>
          <t>893338287</t>
        </is>
      </c>
    </row>
    <row r="808">
      <c r="A808" t="inlineStr">
        <is>
          <t>No</t>
        </is>
      </c>
      <c r="B808" t="inlineStr">
        <is>
          <t>PS3529.H34 Z465 1982</t>
        </is>
      </c>
      <c r="C808" t="inlineStr">
        <is>
          <t>0                      PS 3529000H  34                 Z  465         1982</t>
        </is>
      </c>
      <c r="D808" t="inlineStr">
        <is>
          <t>Flicka's friend : the autobiography of Mary O'Hara.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O'Hara, Mary.</t>
        </is>
      </c>
      <c r="L808" t="inlineStr">
        <is>
          <t>New York : Putnam, c1982.</t>
        </is>
      </c>
      <c r="M808" t="inlineStr">
        <is>
          <t>1982</t>
        </is>
      </c>
      <c r="O808" t="inlineStr">
        <is>
          <t>eng</t>
        </is>
      </c>
      <c r="P808" t="inlineStr">
        <is>
          <t>nyu</t>
        </is>
      </c>
      <c r="R808" t="inlineStr">
        <is>
          <t xml:space="preserve">PS </t>
        </is>
      </c>
      <c r="S808" t="n">
        <v>2</v>
      </c>
      <c r="T808" t="n">
        <v>2</v>
      </c>
      <c r="U808" t="inlineStr">
        <is>
          <t>1996-06-01</t>
        </is>
      </c>
      <c r="V808" t="inlineStr">
        <is>
          <t>1996-06-01</t>
        </is>
      </c>
      <c r="W808" t="inlineStr">
        <is>
          <t>1990-11-21</t>
        </is>
      </c>
      <c r="X808" t="inlineStr">
        <is>
          <t>1990-11-21</t>
        </is>
      </c>
      <c r="Y808" t="n">
        <v>571</v>
      </c>
      <c r="Z808" t="n">
        <v>536</v>
      </c>
      <c r="AA808" t="n">
        <v>538</v>
      </c>
      <c r="AB808" t="n">
        <v>7</v>
      </c>
      <c r="AC808" t="n">
        <v>7</v>
      </c>
      <c r="AD808" t="n">
        <v>3</v>
      </c>
      <c r="AE808" t="n">
        <v>3</v>
      </c>
      <c r="AF808" t="n">
        <v>0</v>
      </c>
      <c r="AG808" t="n">
        <v>0</v>
      </c>
      <c r="AH808" t="n">
        <v>1</v>
      </c>
      <c r="AI808" t="n">
        <v>1</v>
      </c>
      <c r="AJ808" t="n">
        <v>1</v>
      </c>
      <c r="AK808" t="n">
        <v>1</v>
      </c>
      <c r="AL808" t="n">
        <v>2</v>
      </c>
      <c r="AM808" t="n">
        <v>2</v>
      </c>
      <c r="AN808" t="n">
        <v>0</v>
      </c>
      <c r="AO808" t="n">
        <v>0</v>
      </c>
      <c r="AP808" t="inlineStr">
        <is>
          <t>No</t>
        </is>
      </c>
      <c r="AQ808" t="inlineStr">
        <is>
          <t>Yes</t>
        </is>
      </c>
      <c r="AR808">
        <f>HYPERLINK("http://catalog.hathitrust.org/Record/000101188","HathiTrust Record")</f>
        <v/>
      </c>
      <c r="AS808">
        <f>HYPERLINK("https://creighton-primo.hosted.exlibrisgroup.com/primo-explore/search?tab=default_tab&amp;search_scope=EVERYTHING&amp;vid=01CRU&amp;lang=en_US&amp;offset=0&amp;query=any,contains,991005196969702656","Catalog Record")</f>
        <v/>
      </c>
      <c r="AT808">
        <f>HYPERLINK("http://www.worldcat.org/oclc/8051398","WorldCat Record")</f>
        <v/>
      </c>
      <c r="AU808" t="inlineStr">
        <is>
          <t>196748995:eng</t>
        </is>
      </c>
      <c r="AV808" t="inlineStr">
        <is>
          <t>8051398</t>
        </is>
      </c>
      <c r="AW808" t="inlineStr">
        <is>
          <t>991005196969702656</t>
        </is>
      </c>
      <c r="AX808" t="inlineStr">
        <is>
          <t>991005196969702656</t>
        </is>
      </c>
      <c r="AY808" t="inlineStr">
        <is>
          <t>2258967630002656</t>
        </is>
      </c>
      <c r="AZ808" t="inlineStr">
        <is>
          <t>BOOK</t>
        </is>
      </c>
      <c r="BB808" t="inlineStr">
        <is>
          <t>9780399127274</t>
        </is>
      </c>
      <c r="BC808" t="inlineStr">
        <is>
          <t>32285000416163</t>
        </is>
      </c>
      <c r="BD808" t="inlineStr">
        <is>
          <t>893412482</t>
        </is>
      </c>
    </row>
    <row r="809">
      <c r="A809" t="inlineStr">
        <is>
          <t>No</t>
        </is>
      </c>
      <c r="B809" t="inlineStr">
        <is>
          <t>PS3529.N5 I437</t>
        </is>
      </c>
      <c r="C809" t="inlineStr">
        <is>
          <t>0                      PS 3529000N  5                  I  437</t>
        </is>
      </c>
      <c r="D809" t="inlineStr">
        <is>
          <t>Twentieth century interpretations of The iceman cometh : a collection of critical essays.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Raleigh, John Henry, 1920-2001 compiler.</t>
        </is>
      </c>
      <c r="L809" t="inlineStr">
        <is>
          <t>Englewood Cliffs, N.J. : Prentice-Hall, [1968]</t>
        </is>
      </c>
      <c r="M809" t="inlineStr">
        <is>
          <t>1968</t>
        </is>
      </c>
      <c r="O809" t="inlineStr">
        <is>
          <t>eng</t>
        </is>
      </c>
      <c r="P809" t="inlineStr">
        <is>
          <t>nju</t>
        </is>
      </c>
      <c r="Q809" t="inlineStr">
        <is>
          <t>A Spectrum book.</t>
        </is>
      </c>
      <c r="R809" t="inlineStr">
        <is>
          <t xml:space="preserve">PS </t>
        </is>
      </c>
      <c r="S809" t="n">
        <v>3</v>
      </c>
      <c r="T809" t="n">
        <v>3</v>
      </c>
      <c r="U809" t="inlineStr">
        <is>
          <t>1996-02-22</t>
        </is>
      </c>
      <c r="V809" t="inlineStr">
        <is>
          <t>1996-02-22</t>
        </is>
      </c>
      <c r="W809" t="inlineStr">
        <is>
          <t>1990-07-06</t>
        </is>
      </c>
      <c r="X809" t="inlineStr">
        <is>
          <t>1990-07-06</t>
        </is>
      </c>
      <c r="Y809" t="n">
        <v>1719</v>
      </c>
      <c r="Z809" t="n">
        <v>1543</v>
      </c>
      <c r="AA809" t="n">
        <v>1555</v>
      </c>
      <c r="AB809" t="n">
        <v>16</v>
      </c>
      <c r="AC809" t="n">
        <v>16</v>
      </c>
      <c r="AD809" t="n">
        <v>53</v>
      </c>
      <c r="AE809" t="n">
        <v>53</v>
      </c>
      <c r="AF809" t="n">
        <v>20</v>
      </c>
      <c r="AG809" t="n">
        <v>20</v>
      </c>
      <c r="AH809" t="n">
        <v>9</v>
      </c>
      <c r="AI809" t="n">
        <v>9</v>
      </c>
      <c r="AJ809" t="n">
        <v>23</v>
      </c>
      <c r="AK809" t="n">
        <v>23</v>
      </c>
      <c r="AL809" t="n">
        <v>14</v>
      </c>
      <c r="AM809" t="n">
        <v>14</v>
      </c>
      <c r="AN809" t="n">
        <v>0</v>
      </c>
      <c r="AO809" t="n">
        <v>0</v>
      </c>
      <c r="AP809" t="inlineStr">
        <is>
          <t>No</t>
        </is>
      </c>
      <c r="AQ809" t="inlineStr">
        <is>
          <t>Yes</t>
        </is>
      </c>
      <c r="AR809">
        <f>HYPERLINK("http://catalog.hathitrust.org/Record/001029065","HathiTrust Record")</f>
        <v/>
      </c>
      <c r="AS809">
        <f>HYPERLINK("https://creighton-primo.hosted.exlibrisgroup.com/primo-explore/search?tab=default_tab&amp;search_scope=EVERYTHING&amp;vid=01CRU&amp;lang=en_US&amp;offset=0&amp;query=any,contains,991000991489702656","Catalog Record")</f>
        <v/>
      </c>
      <c r="AT809">
        <f>HYPERLINK("http://www.worldcat.org/oclc/171201","WorldCat Record")</f>
        <v/>
      </c>
      <c r="AU809" t="inlineStr">
        <is>
          <t>913804097:eng</t>
        </is>
      </c>
      <c r="AV809" t="inlineStr">
        <is>
          <t>171201</t>
        </is>
      </c>
      <c r="AW809" t="inlineStr">
        <is>
          <t>991000991489702656</t>
        </is>
      </c>
      <c r="AX809" t="inlineStr">
        <is>
          <t>991000991489702656</t>
        </is>
      </c>
      <c r="AY809" t="inlineStr">
        <is>
          <t>2267358930002656</t>
        </is>
      </c>
      <c r="AZ809" t="inlineStr">
        <is>
          <t>BOOK</t>
        </is>
      </c>
      <c r="BC809" t="inlineStr">
        <is>
          <t>32285000204544</t>
        </is>
      </c>
      <c r="BD809" t="inlineStr">
        <is>
          <t>893708903</t>
        </is>
      </c>
    </row>
    <row r="810">
      <c r="A810" t="inlineStr">
        <is>
          <t>No</t>
        </is>
      </c>
      <c r="B810" t="inlineStr">
        <is>
          <t>PS3529.N5 Z4593 1974</t>
        </is>
      </c>
      <c r="C810" t="inlineStr">
        <is>
          <t>0                      PS 3529000N  5                  Z  4593        1974</t>
        </is>
      </c>
      <c r="D810" t="inlineStr">
        <is>
          <t>Eugene O'Neill : a descriptive bibliography.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Atkinson, Jennifer McCabe, 1937-</t>
        </is>
      </c>
      <c r="L810" t="inlineStr">
        <is>
          <t>[Pittsburgh] : University of Pittsburgh Press, 1974.</t>
        </is>
      </c>
      <c r="M810" t="inlineStr">
        <is>
          <t>1974</t>
        </is>
      </c>
      <c r="O810" t="inlineStr">
        <is>
          <t>eng</t>
        </is>
      </c>
      <c r="P810" t="inlineStr">
        <is>
          <t>pau</t>
        </is>
      </c>
      <c r="Q810" t="inlineStr">
        <is>
          <t>Pittsburgh series in bibliography</t>
        </is>
      </c>
      <c r="R810" t="inlineStr">
        <is>
          <t xml:space="preserve">PS </t>
        </is>
      </c>
      <c r="S810" t="n">
        <v>4</v>
      </c>
      <c r="T810" t="n">
        <v>4</v>
      </c>
      <c r="U810" t="inlineStr">
        <is>
          <t>1996-02-22</t>
        </is>
      </c>
      <c r="V810" t="inlineStr">
        <is>
          <t>1996-02-22</t>
        </is>
      </c>
      <c r="W810" t="inlineStr">
        <is>
          <t>1992-08-14</t>
        </is>
      </c>
      <c r="X810" t="inlineStr">
        <is>
          <t>1992-08-14</t>
        </is>
      </c>
      <c r="Y810" t="n">
        <v>567</v>
      </c>
      <c r="Z810" t="n">
        <v>453</v>
      </c>
      <c r="AA810" t="n">
        <v>456</v>
      </c>
      <c r="AB810" t="n">
        <v>3</v>
      </c>
      <c r="AC810" t="n">
        <v>3</v>
      </c>
      <c r="AD810" t="n">
        <v>22</v>
      </c>
      <c r="AE810" t="n">
        <v>22</v>
      </c>
      <c r="AF810" t="n">
        <v>9</v>
      </c>
      <c r="AG810" t="n">
        <v>9</v>
      </c>
      <c r="AH810" t="n">
        <v>6</v>
      </c>
      <c r="AI810" t="n">
        <v>6</v>
      </c>
      <c r="AJ810" t="n">
        <v>13</v>
      </c>
      <c r="AK810" t="n">
        <v>13</v>
      </c>
      <c r="AL810" t="n">
        <v>2</v>
      </c>
      <c r="AM810" t="n">
        <v>2</v>
      </c>
      <c r="AN810" t="n">
        <v>0</v>
      </c>
      <c r="AO810" t="n">
        <v>0</v>
      </c>
      <c r="AP810" t="inlineStr">
        <is>
          <t>No</t>
        </is>
      </c>
      <c r="AQ810" t="inlineStr">
        <is>
          <t>Yes</t>
        </is>
      </c>
      <c r="AR810">
        <f>HYPERLINK("http://catalog.hathitrust.org/Record/001029077","HathiTrust Record")</f>
        <v/>
      </c>
      <c r="AS810">
        <f>HYPERLINK("https://creighton-primo.hosted.exlibrisgroup.com/primo-explore/search?tab=default_tab&amp;search_scope=EVERYTHING&amp;vid=01CRU&amp;lang=en_US&amp;offset=0&amp;query=any,contains,991003292649702656","Catalog Record")</f>
        <v/>
      </c>
      <c r="AT810">
        <f>HYPERLINK("http://www.worldcat.org/oclc/814523","WorldCat Record")</f>
        <v/>
      </c>
      <c r="AU810" t="inlineStr">
        <is>
          <t>2044301612:eng</t>
        </is>
      </c>
      <c r="AV810" t="inlineStr">
        <is>
          <t>814523</t>
        </is>
      </c>
      <c r="AW810" t="inlineStr">
        <is>
          <t>991003292649702656</t>
        </is>
      </c>
      <c r="AX810" t="inlineStr">
        <is>
          <t>991003292649702656</t>
        </is>
      </c>
      <c r="AY810" t="inlineStr">
        <is>
          <t>2270111450002656</t>
        </is>
      </c>
      <c r="AZ810" t="inlineStr">
        <is>
          <t>BOOK</t>
        </is>
      </c>
      <c r="BB810" t="inlineStr">
        <is>
          <t>9780822932796</t>
        </is>
      </c>
      <c r="BC810" t="inlineStr">
        <is>
          <t>32285001245439</t>
        </is>
      </c>
      <c r="BD810" t="inlineStr">
        <is>
          <t>893531056</t>
        </is>
      </c>
    </row>
    <row r="811">
      <c r="A811" t="inlineStr">
        <is>
          <t>No</t>
        </is>
      </c>
      <c r="B811" t="inlineStr">
        <is>
          <t>PS3529.N5 Z4596 1974</t>
        </is>
      </c>
      <c r="C811" t="inlineStr">
        <is>
          <t>0                      PS 3529000N  5                  Z  4596        1974</t>
        </is>
      </c>
      <c r="D811" t="inlineStr">
        <is>
          <t>Eugene O'Neill and the American critic : a bibliographical checklist / by Jordan Y. Miller.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K811" t="inlineStr">
        <is>
          <t>Miller, Jordan Yale, 1919-2008.</t>
        </is>
      </c>
      <c r="L811" t="inlineStr">
        <is>
          <t>[Hamden, Conn.] : Archon Books, 1973 [i.e. 1974]</t>
        </is>
      </c>
      <c r="M811" t="inlineStr">
        <is>
          <t>1974</t>
        </is>
      </c>
      <c r="N811" t="inlineStr">
        <is>
          <t>2d ed., rev.</t>
        </is>
      </c>
      <c r="O811" t="inlineStr">
        <is>
          <t>eng</t>
        </is>
      </c>
      <c r="P811" t="inlineStr">
        <is>
          <t>ctu</t>
        </is>
      </c>
      <c r="R811" t="inlineStr">
        <is>
          <t xml:space="preserve">PS </t>
        </is>
      </c>
      <c r="S811" t="n">
        <v>5</v>
      </c>
      <c r="T811" t="n">
        <v>5</v>
      </c>
      <c r="U811" t="inlineStr">
        <is>
          <t>1996-02-22</t>
        </is>
      </c>
      <c r="V811" t="inlineStr">
        <is>
          <t>1996-02-22</t>
        </is>
      </c>
      <c r="W811" t="inlineStr">
        <is>
          <t>1990-07-06</t>
        </is>
      </c>
      <c r="X811" t="inlineStr">
        <is>
          <t>1990-07-06</t>
        </is>
      </c>
      <c r="Y811" t="n">
        <v>620</v>
      </c>
      <c r="Z811" t="n">
        <v>569</v>
      </c>
      <c r="AA811" t="n">
        <v>820</v>
      </c>
      <c r="AB811" t="n">
        <v>6</v>
      </c>
      <c r="AC811" t="n">
        <v>7</v>
      </c>
      <c r="AD811" t="n">
        <v>28</v>
      </c>
      <c r="AE811" t="n">
        <v>40</v>
      </c>
      <c r="AF811" t="n">
        <v>8</v>
      </c>
      <c r="AG811" t="n">
        <v>18</v>
      </c>
      <c r="AH811" t="n">
        <v>6</v>
      </c>
      <c r="AI811" t="n">
        <v>6</v>
      </c>
      <c r="AJ811" t="n">
        <v>15</v>
      </c>
      <c r="AK811" t="n">
        <v>20</v>
      </c>
      <c r="AL811" t="n">
        <v>5</v>
      </c>
      <c r="AM811" t="n">
        <v>6</v>
      </c>
      <c r="AN811" t="n">
        <v>0</v>
      </c>
      <c r="AO811" t="n">
        <v>0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HYPERLINK("http://catalog.hathitrust.org/Record/000008615","HathiTrust Record")</f>
        <v/>
      </c>
      <c r="AS811">
        <f>HYPERLINK("https://creighton-primo.hosted.exlibrisgroup.com/primo-explore/search?tab=default_tab&amp;search_scope=EVERYTHING&amp;vid=01CRU&amp;lang=en_US&amp;offset=0&amp;query=any,contains,991003068989702656","Catalog Record")</f>
        <v/>
      </c>
      <c r="AT811">
        <f>HYPERLINK("http://www.worldcat.org/oclc/623567","WorldCat Record")</f>
        <v/>
      </c>
      <c r="AU811" t="inlineStr">
        <is>
          <t>285212957:eng</t>
        </is>
      </c>
      <c r="AV811" t="inlineStr">
        <is>
          <t>623567</t>
        </is>
      </c>
      <c r="AW811" t="inlineStr">
        <is>
          <t>991003068989702656</t>
        </is>
      </c>
      <c r="AX811" t="inlineStr">
        <is>
          <t>991003068989702656</t>
        </is>
      </c>
      <c r="AY811" t="inlineStr">
        <is>
          <t>2255789430002656</t>
        </is>
      </c>
      <c r="AZ811" t="inlineStr">
        <is>
          <t>BOOK</t>
        </is>
      </c>
      <c r="BB811" t="inlineStr">
        <is>
          <t>9780208009395</t>
        </is>
      </c>
      <c r="BC811" t="inlineStr">
        <is>
          <t>32285000204551</t>
        </is>
      </c>
      <c r="BD811" t="inlineStr">
        <is>
          <t>893498913</t>
        </is>
      </c>
    </row>
    <row r="812">
      <c r="A812" t="inlineStr">
        <is>
          <t>No</t>
        </is>
      </c>
      <c r="B812" t="inlineStr">
        <is>
          <t>PS3529.N5 Z566 1988</t>
        </is>
      </c>
      <c r="C812" t="inlineStr">
        <is>
          <t>0                      PS 3529000N  5                  Z  566         1988</t>
        </is>
      </c>
      <c r="D812" t="inlineStr">
        <is>
          <t>Eugene O'Neill / Normand Berlin.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Berlin, Normand.</t>
        </is>
      </c>
      <c r="L812" t="inlineStr">
        <is>
          <t>New York : St. Martin's Press, 1988, c1982.</t>
        </is>
      </c>
      <c r="M812" t="inlineStr">
        <is>
          <t>1988</t>
        </is>
      </c>
      <c r="O812" t="inlineStr">
        <is>
          <t>eng</t>
        </is>
      </c>
      <c r="P812" t="inlineStr">
        <is>
          <t>nyu</t>
        </is>
      </c>
      <c r="Q812" t="inlineStr">
        <is>
          <t>Modern dramatists</t>
        </is>
      </c>
      <c r="R812" t="inlineStr">
        <is>
          <t xml:space="preserve">PS </t>
        </is>
      </c>
      <c r="S812" t="n">
        <v>14</v>
      </c>
      <c r="T812" t="n">
        <v>14</v>
      </c>
      <c r="U812" t="inlineStr">
        <is>
          <t>2003-11-30</t>
        </is>
      </c>
      <c r="V812" t="inlineStr">
        <is>
          <t>2003-11-30</t>
        </is>
      </c>
      <c r="W812" t="inlineStr">
        <is>
          <t>1990-04-03</t>
        </is>
      </c>
      <c r="X812" t="inlineStr">
        <is>
          <t>1990-04-03</t>
        </is>
      </c>
      <c r="Y812" t="n">
        <v>134</v>
      </c>
      <c r="Z812" t="n">
        <v>124</v>
      </c>
      <c r="AA812" t="n">
        <v>518</v>
      </c>
      <c r="AB812" t="n">
        <v>1</v>
      </c>
      <c r="AC812" t="n">
        <v>4</v>
      </c>
      <c r="AD812" t="n">
        <v>4</v>
      </c>
      <c r="AE812" t="n">
        <v>19</v>
      </c>
      <c r="AF812" t="n">
        <v>1</v>
      </c>
      <c r="AG812" t="n">
        <v>7</v>
      </c>
      <c r="AH812" t="n">
        <v>2</v>
      </c>
      <c r="AI812" t="n">
        <v>6</v>
      </c>
      <c r="AJ812" t="n">
        <v>1</v>
      </c>
      <c r="AK812" t="n">
        <v>9</v>
      </c>
      <c r="AL812" t="n">
        <v>0</v>
      </c>
      <c r="AM812" t="n">
        <v>3</v>
      </c>
      <c r="AN812" t="n">
        <v>0</v>
      </c>
      <c r="AO812" t="n">
        <v>0</v>
      </c>
      <c r="AP812" t="inlineStr">
        <is>
          <t>No</t>
        </is>
      </c>
      <c r="AQ812" t="inlineStr">
        <is>
          <t>No</t>
        </is>
      </c>
      <c r="AS812">
        <f>HYPERLINK("https://creighton-primo.hosted.exlibrisgroup.com/primo-explore/search?tab=default_tab&amp;search_scope=EVERYTHING&amp;vid=01CRU&amp;lang=en_US&amp;offset=0&amp;query=any,contains,991001254679702656","Catalog Record")</f>
        <v/>
      </c>
      <c r="AT812">
        <f>HYPERLINK("http://www.worldcat.org/oclc/17727397","WorldCat Record")</f>
        <v/>
      </c>
      <c r="AU812" t="inlineStr">
        <is>
          <t>3901171635:eng</t>
        </is>
      </c>
      <c r="AV812" t="inlineStr">
        <is>
          <t>17727397</t>
        </is>
      </c>
      <c r="AW812" t="inlineStr">
        <is>
          <t>991001254679702656</t>
        </is>
      </c>
      <c r="AX812" t="inlineStr">
        <is>
          <t>991001254679702656</t>
        </is>
      </c>
      <c r="AY812" t="inlineStr">
        <is>
          <t>2257903530002656</t>
        </is>
      </c>
      <c r="AZ812" t="inlineStr">
        <is>
          <t>BOOK</t>
        </is>
      </c>
      <c r="BB812" t="inlineStr">
        <is>
          <t>9780312021252</t>
        </is>
      </c>
      <c r="BC812" t="inlineStr">
        <is>
          <t>32285000093137</t>
        </is>
      </c>
      <c r="BD812" t="inlineStr">
        <is>
          <t>893702881</t>
        </is>
      </c>
    </row>
    <row r="813">
      <c r="A813" t="inlineStr">
        <is>
          <t>No</t>
        </is>
      </c>
      <c r="B813" t="inlineStr">
        <is>
          <t>PS3529.N5 Z568 1988</t>
        </is>
      </c>
      <c r="C813" t="inlineStr">
        <is>
          <t>0                      PS 3529000N  5                  Z  568         1988</t>
        </is>
      </c>
      <c r="D813" t="inlineStr">
        <is>
          <t>Contour in time : the plays of Eugene O'Neill / Travis Bogard.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Yes</t>
        </is>
      </c>
      <c r="J813" t="inlineStr">
        <is>
          <t>0</t>
        </is>
      </c>
      <c r="K813" t="inlineStr">
        <is>
          <t>Bogard, Travis.</t>
        </is>
      </c>
      <c r="L813" t="inlineStr">
        <is>
          <t>New York : Oxford University Press, 1988.</t>
        </is>
      </c>
      <c r="M813" t="inlineStr">
        <is>
          <t>1988</t>
        </is>
      </c>
      <c r="N813" t="inlineStr">
        <is>
          <t>Rev. ed.</t>
        </is>
      </c>
      <c r="O813" t="inlineStr">
        <is>
          <t>eng</t>
        </is>
      </c>
      <c r="P813" t="inlineStr">
        <is>
          <t>nyu</t>
        </is>
      </c>
      <c r="R813" t="inlineStr">
        <is>
          <t xml:space="preserve">PS </t>
        </is>
      </c>
      <c r="S813" t="n">
        <v>6</v>
      </c>
      <c r="T813" t="n">
        <v>6</v>
      </c>
      <c r="U813" t="inlineStr">
        <is>
          <t>2001-11-18</t>
        </is>
      </c>
      <c r="V813" t="inlineStr">
        <is>
          <t>2001-11-18</t>
        </is>
      </c>
      <c r="W813" t="inlineStr">
        <is>
          <t>1990-11-26</t>
        </is>
      </c>
      <c r="X813" t="inlineStr">
        <is>
          <t>1990-11-26</t>
        </is>
      </c>
      <c r="Y813" t="n">
        <v>767</v>
      </c>
      <c r="Z813" t="n">
        <v>640</v>
      </c>
      <c r="AA813" t="n">
        <v>1527</v>
      </c>
      <c r="AB813" t="n">
        <v>3</v>
      </c>
      <c r="AC813" t="n">
        <v>13</v>
      </c>
      <c r="AD813" t="n">
        <v>33</v>
      </c>
      <c r="AE813" t="n">
        <v>59</v>
      </c>
      <c r="AF813" t="n">
        <v>17</v>
      </c>
      <c r="AG813" t="n">
        <v>27</v>
      </c>
      <c r="AH813" t="n">
        <v>8</v>
      </c>
      <c r="AI813" t="n">
        <v>9</v>
      </c>
      <c r="AJ813" t="n">
        <v>15</v>
      </c>
      <c r="AK813" t="n">
        <v>24</v>
      </c>
      <c r="AL813" t="n">
        <v>2</v>
      </c>
      <c r="AM813" t="n">
        <v>12</v>
      </c>
      <c r="AN813" t="n">
        <v>0</v>
      </c>
      <c r="AO813" t="n">
        <v>0</v>
      </c>
      <c r="AP813" t="inlineStr">
        <is>
          <t>No</t>
        </is>
      </c>
      <c r="AQ813" t="inlineStr">
        <is>
          <t>No</t>
        </is>
      </c>
      <c r="AS813">
        <f>HYPERLINK("https://creighton-primo.hosted.exlibrisgroup.com/primo-explore/search?tab=default_tab&amp;search_scope=EVERYTHING&amp;vid=01CRU&amp;lang=en_US&amp;offset=0&amp;query=any,contains,991001200739702656","Catalog Record")</f>
        <v/>
      </c>
      <c r="AT813">
        <f>HYPERLINK("http://www.worldcat.org/oclc/17301023","WorldCat Record")</f>
        <v/>
      </c>
      <c r="AU813" t="inlineStr">
        <is>
          <t>1521065:eng</t>
        </is>
      </c>
      <c r="AV813" t="inlineStr">
        <is>
          <t>17301023</t>
        </is>
      </c>
      <c r="AW813" t="inlineStr">
        <is>
          <t>991001200739702656</t>
        </is>
      </c>
      <c r="AX813" t="inlineStr">
        <is>
          <t>991001200739702656</t>
        </is>
      </c>
      <c r="AY813" t="inlineStr">
        <is>
          <t>2266751970002656</t>
        </is>
      </c>
      <c r="AZ813" t="inlineStr">
        <is>
          <t>BOOK</t>
        </is>
      </c>
      <c r="BB813" t="inlineStr">
        <is>
          <t>9780195045482</t>
        </is>
      </c>
      <c r="BC813" t="inlineStr">
        <is>
          <t>32285000416288</t>
        </is>
      </c>
      <c r="BD813" t="inlineStr">
        <is>
          <t>893407937</t>
        </is>
      </c>
    </row>
    <row r="814">
      <c r="A814" t="inlineStr">
        <is>
          <t>No</t>
        </is>
      </c>
      <c r="B814" t="inlineStr">
        <is>
          <t>PS3529.N5 Z573 1960</t>
        </is>
      </c>
      <c r="C814" t="inlineStr">
        <is>
          <t>0                      PS 3529000N  5                  Z  573         1960</t>
        </is>
      </c>
      <c r="D814" t="inlineStr">
        <is>
          <t>The curse of the misbegotten; a tale of the house of O'Neill, by Croswell Bowen, with the assistance of Shane O'Neill.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Bowen, Croswell.</t>
        </is>
      </c>
      <c r="L814" t="inlineStr">
        <is>
          <t>London, Hart-Davis, 1960.</t>
        </is>
      </c>
      <c r="M814" t="inlineStr">
        <is>
          <t>1960</t>
        </is>
      </c>
      <c r="O814" t="inlineStr">
        <is>
          <t>eng</t>
        </is>
      </c>
      <c r="P814" t="inlineStr">
        <is>
          <t>enk</t>
        </is>
      </c>
      <c r="R814" t="inlineStr">
        <is>
          <t xml:space="preserve">PS </t>
        </is>
      </c>
      <c r="S814" t="n">
        <v>1</v>
      </c>
      <c r="T814" t="n">
        <v>1</v>
      </c>
      <c r="U814" t="inlineStr">
        <is>
          <t>2004-01-19</t>
        </is>
      </c>
      <c r="V814" t="inlineStr">
        <is>
          <t>2004-01-19</t>
        </is>
      </c>
      <c r="W814" t="inlineStr">
        <is>
          <t>1997-06-13</t>
        </is>
      </c>
      <c r="X814" t="inlineStr">
        <is>
          <t>1997-06-13</t>
        </is>
      </c>
      <c r="Y814" t="n">
        <v>189</v>
      </c>
      <c r="Z814" t="n">
        <v>101</v>
      </c>
      <c r="AA814" t="n">
        <v>956</v>
      </c>
      <c r="AB814" t="n">
        <v>1</v>
      </c>
      <c r="AC814" t="n">
        <v>12</v>
      </c>
      <c r="AD814" t="n">
        <v>6</v>
      </c>
      <c r="AE814" t="n">
        <v>44</v>
      </c>
      <c r="AF814" t="n">
        <v>3</v>
      </c>
      <c r="AG814" t="n">
        <v>16</v>
      </c>
      <c r="AH814" t="n">
        <v>2</v>
      </c>
      <c r="AI814" t="n">
        <v>8</v>
      </c>
      <c r="AJ814" t="n">
        <v>3</v>
      </c>
      <c r="AK814" t="n">
        <v>23</v>
      </c>
      <c r="AL814" t="n">
        <v>0</v>
      </c>
      <c r="AM814" t="n">
        <v>8</v>
      </c>
      <c r="AN814" t="n">
        <v>0</v>
      </c>
      <c r="AO814" t="n">
        <v>0</v>
      </c>
      <c r="AP814" t="inlineStr">
        <is>
          <t>No</t>
        </is>
      </c>
      <c r="AQ814" t="inlineStr">
        <is>
          <t>No</t>
        </is>
      </c>
      <c r="AS814">
        <f>HYPERLINK("https://creighton-primo.hosted.exlibrisgroup.com/primo-explore/search?tab=default_tab&amp;search_scope=EVERYTHING&amp;vid=01CRU&amp;lang=en_US&amp;offset=0&amp;query=any,contains,991002220929702656","Catalog Record")</f>
        <v/>
      </c>
      <c r="AT814">
        <f>HYPERLINK("http://www.worldcat.org/oclc/289995","WorldCat Record")</f>
        <v/>
      </c>
      <c r="AU814" t="inlineStr">
        <is>
          <t>1469248:eng</t>
        </is>
      </c>
      <c r="AV814" t="inlineStr">
        <is>
          <t>289995</t>
        </is>
      </c>
      <c r="AW814" t="inlineStr">
        <is>
          <t>991002220929702656</t>
        </is>
      </c>
      <c r="AX814" t="inlineStr">
        <is>
          <t>991002220929702656</t>
        </is>
      </c>
      <c r="AY814" t="inlineStr">
        <is>
          <t>2262134230002656</t>
        </is>
      </c>
      <c r="AZ814" t="inlineStr">
        <is>
          <t>BOOK</t>
        </is>
      </c>
      <c r="BC814" t="inlineStr">
        <is>
          <t>32285002815404</t>
        </is>
      </c>
      <c r="BD814" t="inlineStr">
        <is>
          <t>893232699</t>
        </is>
      </c>
    </row>
    <row r="815">
      <c r="A815" t="inlineStr">
        <is>
          <t>No</t>
        </is>
      </c>
      <c r="B815" t="inlineStr">
        <is>
          <t>PS3529.N5 Z578 1979</t>
        </is>
      </c>
      <c r="C815" t="inlineStr">
        <is>
          <t>0                      PS 3529000N  5                  Z  578         1979</t>
        </is>
      </c>
      <c r="D815" t="inlineStr">
        <is>
          <t>Eugene O'Neill / by Frederic I. Carpenter.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Yes</t>
        </is>
      </c>
      <c r="J815" t="inlineStr">
        <is>
          <t>0</t>
        </is>
      </c>
      <c r="K815" t="inlineStr">
        <is>
          <t>Carpenter, Frederic Ives, 1903-1991.</t>
        </is>
      </c>
      <c r="L815" t="inlineStr">
        <is>
          <t>Boston : Twayne Publishers, 1979.</t>
        </is>
      </c>
      <c r="M815" t="inlineStr">
        <is>
          <t>1979</t>
        </is>
      </c>
      <c r="N815" t="inlineStr">
        <is>
          <t>Rev. ed.</t>
        </is>
      </c>
      <c r="O815" t="inlineStr">
        <is>
          <t>eng</t>
        </is>
      </c>
      <c r="P815" t="inlineStr">
        <is>
          <t>mau</t>
        </is>
      </c>
      <c r="Q815" t="inlineStr">
        <is>
          <t>Twayne's United States authors series ; TUSAS 66</t>
        </is>
      </c>
      <c r="R815" t="inlineStr">
        <is>
          <t xml:space="preserve">PS </t>
        </is>
      </c>
      <c r="S815" t="n">
        <v>8</v>
      </c>
      <c r="T815" t="n">
        <v>8</v>
      </c>
      <c r="U815" t="inlineStr">
        <is>
          <t>1997-04-23</t>
        </is>
      </c>
      <c r="V815" t="inlineStr">
        <is>
          <t>1997-04-23</t>
        </is>
      </c>
      <c r="W815" t="inlineStr">
        <is>
          <t>1990-11-26</t>
        </is>
      </c>
      <c r="X815" t="inlineStr">
        <is>
          <t>1990-11-26</t>
        </is>
      </c>
      <c r="Y815" t="n">
        <v>1362</v>
      </c>
      <c r="Z815" t="n">
        <v>1248</v>
      </c>
      <c r="AA815" t="n">
        <v>2244</v>
      </c>
      <c r="AB815" t="n">
        <v>4</v>
      </c>
      <c r="AC815" t="n">
        <v>17</v>
      </c>
      <c r="AD815" t="n">
        <v>36</v>
      </c>
      <c r="AE815" t="n">
        <v>52</v>
      </c>
      <c r="AF815" t="n">
        <v>15</v>
      </c>
      <c r="AG815" t="n">
        <v>22</v>
      </c>
      <c r="AH815" t="n">
        <v>9</v>
      </c>
      <c r="AI815" t="n">
        <v>10</v>
      </c>
      <c r="AJ815" t="n">
        <v>20</v>
      </c>
      <c r="AK815" t="n">
        <v>24</v>
      </c>
      <c r="AL815" t="n">
        <v>3</v>
      </c>
      <c r="AM815" t="n">
        <v>9</v>
      </c>
      <c r="AN815" t="n">
        <v>0</v>
      </c>
      <c r="AO815" t="n">
        <v>0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HYPERLINK("http://catalog.hathitrust.org/Record/001398134","HathiTrust Record")</f>
        <v/>
      </c>
      <c r="AS815">
        <f>HYPERLINK("https://creighton-primo.hosted.exlibrisgroup.com/primo-explore/search?tab=default_tab&amp;search_scope=EVERYTHING&amp;vid=01CRU&amp;lang=en_US&amp;offset=0&amp;query=any,contains,991004662559702656","Catalog Record")</f>
        <v/>
      </c>
      <c r="AT815">
        <f>HYPERLINK("http://www.worldcat.org/oclc/4497846","WorldCat Record")</f>
        <v/>
      </c>
      <c r="AU815" t="inlineStr">
        <is>
          <t>3372269805:eng</t>
        </is>
      </c>
      <c r="AV815" t="inlineStr">
        <is>
          <t>4497846</t>
        </is>
      </c>
      <c r="AW815" t="inlineStr">
        <is>
          <t>991004662559702656</t>
        </is>
      </c>
      <c r="AX815" t="inlineStr">
        <is>
          <t>991004662559702656</t>
        </is>
      </c>
      <c r="AY815" t="inlineStr">
        <is>
          <t>2266754600002656</t>
        </is>
      </c>
      <c r="AZ815" t="inlineStr">
        <is>
          <t>BOOK</t>
        </is>
      </c>
      <c r="BB815" t="inlineStr">
        <is>
          <t>9780805772678</t>
        </is>
      </c>
      <c r="BC815" t="inlineStr">
        <is>
          <t>32285000416296</t>
        </is>
      </c>
      <c r="BD815" t="inlineStr">
        <is>
          <t>893612610</t>
        </is>
      </c>
    </row>
    <row r="816">
      <c r="A816" t="inlineStr">
        <is>
          <t>No</t>
        </is>
      </c>
      <c r="B816" t="inlineStr">
        <is>
          <t>PS3529.N5 Z5798</t>
        </is>
      </c>
      <c r="C816" t="inlineStr">
        <is>
          <t>0                      PS 3529000N  5                  Z  5798</t>
        </is>
      </c>
      <c r="D816" t="inlineStr">
        <is>
          <t>Forging a language : a study of the plays of Eugene O'Neill / Jean Chothia.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Chothia, Jean.</t>
        </is>
      </c>
      <c r="L816" t="inlineStr">
        <is>
          <t>Cambridge [Eng.] ; New York : Cambridge University Press, 1979.</t>
        </is>
      </c>
      <c r="M816" t="inlineStr">
        <is>
          <t>1979</t>
        </is>
      </c>
      <c r="O816" t="inlineStr">
        <is>
          <t>eng</t>
        </is>
      </c>
      <c r="P816" t="inlineStr">
        <is>
          <t>enk</t>
        </is>
      </c>
      <c r="R816" t="inlineStr">
        <is>
          <t xml:space="preserve">PS </t>
        </is>
      </c>
      <c r="S816" t="n">
        <v>1</v>
      </c>
      <c r="T816" t="n">
        <v>1</v>
      </c>
      <c r="U816" t="inlineStr">
        <is>
          <t>1997-03-17</t>
        </is>
      </c>
      <c r="V816" t="inlineStr">
        <is>
          <t>1997-03-17</t>
        </is>
      </c>
      <c r="W816" t="inlineStr">
        <is>
          <t>1990-11-26</t>
        </is>
      </c>
      <c r="X816" t="inlineStr">
        <is>
          <t>1990-11-26</t>
        </is>
      </c>
      <c r="Y816" t="n">
        <v>604</v>
      </c>
      <c r="Z816" t="n">
        <v>462</v>
      </c>
      <c r="AA816" t="n">
        <v>501</v>
      </c>
      <c r="AB816" t="n">
        <v>3</v>
      </c>
      <c r="AC816" t="n">
        <v>4</v>
      </c>
      <c r="AD816" t="n">
        <v>22</v>
      </c>
      <c r="AE816" t="n">
        <v>24</v>
      </c>
      <c r="AF816" t="n">
        <v>6</v>
      </c>
      <c r="AG816" t="n">
        <v>6</v>
      </c>
      <c r="AH816" t="n">
        <v>6</v>
      </c>
      <c r="AI816" t="n">
        <v>6</v>
      </c>
      <c r="AJ816" t="n">
        <v>12</v>
      </c>
      <c r="AK816" t="n">
        <v>13</v>
      </c>
      <c r="AL816" t="n">
        <v>2</v>
      </c>
      <c r="AM816" t="n">
        <v>3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HYPERLINK("https://creighton-primo.hosted.exlibrisgroup.com/primo-explore/search?tab=default_tab&amp;search_scope=EVERYTHING&amp;vid=01CRU&amp;lang=en_US&amp;offset=0&amp;query=any,contains,991004677049702656","Catalog Record")</f>
        <v/>
      </c>
      <c r="AT816">
        <f>HYPERLINK("http://www.worldcat.org/oclc/4549305","WorldCat Record")</f>
        <v/>
      </c>
      <c r="AU816" t="inlineStr">
        <is>
          <t>504151:eng</t>
        </is>
      </c>
      <c r="AV816" t="inlineStr">
        <is>
          <t>4549305</t>
        </is>
      </c>
      <c r="AW816" t="inlineStr">
        <is>
          <t>991004677049702656</t>
        </is>
      </c>
      <c r="AX816" t="inlineStr">
        <is>
          <t>991004677049702656</t>
        </is>
      </c>
      <c r="AY816" t="inlineStr">
        <is>
          <t>2272701840002656</t>
        </is>
      </c>
      <c r="AZ816" t="inlineStr">
        <is>
          <t>BOOK</t>
        </is>
      </c>
      <c r="BB816" t="inlineStr">
        <is>
          <t>9780521225694</t>
        </is>
      </c>
      <c r="BC816" t="inlineStr">
        <is>
          <t>32285000416304</t>
        </is>
      </c>
      <c r="BD816" t="inlineStr">
        <is>
          <t>893319518</t>
        </is>
      </c>
    </row>
    <row r="817">
      <c r="A817" t="inlineStr">
        <is>
          <t>No</t>
        </is>
      </c>
      <c r="B817" t="inlineStr">
        <is>
          <t>PS3529.N5 Z63</t>
        </is>
      </c>
      <c r="C817" t="inlineStr">
        <is>
          <t>0                      PS 3529000N  5                  Z  63</t>
        </is>
      </c>
      <c r="D817" t="inlineStr">
        <is>
          <t>The haunted heroes of Eugene O'Neill.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Engel, Edwin A.</t>
        </is>
      </c>
      <c r="L817" t="inlineStr">
        <is>
          <t>Cambridge, Harvard University Press, 1953.</t>
        </is>
      </c>
      <c r="M817" t="inlineStr">
        <is>
          <t>1953</t>
        </is>
      </c>
      <c r="O817" t="inlineStr">
        <is>
          <t>eng</t>
        </is>
      </c>
      <c r="P817" t="inlineStr">
        <is>
          <t>mau</t>
        </is>
      </c>
      <c r="R817" t="inlineStr">
        <is>
          <t xml:space="preserve">PS </t>
        </is>
      </c>
      <c r="S817" t="n">
        <v>1</v>
      </c>
      <c r="T817" t="n">
        <v>1</v>
      </c>
      <c r="U817" t="inlineStr">
        <is>
          <t>2001-11-18</t>
        </is>
      </c>
      <c r="V817" t="inlineStr">
        <is>
          <t>2001-11-18</t>
        </is>
      </c>
      <c r="W817" t="inlineStr">
        <is>
          <t>1997-06-13</t>
        </is>
      </c>
      <c r="X817" t="inlineStr">
        <is>
          <t>1997-06-13</t>
        </is>
      </c>
      <c r="Y817" t="n">
        <v>773</v>
      </c>
      <c r="Z817" t="n">
        <v>687</v>
      </c>
      <c r="AA817" t="n">
        <v>689</v>
      </c>
      <c r="AB817" t="n">
        <v>12</v>
      </c>
      <c r="AC817" t="n">
        <v>12</v>
      </c>
      <c r="AD817" t="n">
        <v>42</v>
      </c>
      <c r="AE817" t="n">
        <v>42</v>
      </c>
      <c r="AF817" t="n">
        <v>13</v>
      </c>
      <c r="AG817" t="n">
        <v>13</v>
      </c>
      <c r="AH817" t="n">
        <v>9</v>
      </c>
      <c r="AI817" t="n">
        <v>9</v>
      </c>
      <c r="AJ817" t="n">
        <v>18</v>
      </c>
      <c r="AK817" t="n">
        <v>18</v>
      </c>
      <c r="AL817" t="n">
        <v>11</v>
      </c>
      <c r="AM817" t="n">
        <v>11</v>
      </c>
      <c r="AN817" t="n">
        <v>0</v>
      </c>
      <c r="AO817" t="n">
        <v>0</v>
      </c>
      <c r="AP817" t="inlineStr">
        <is>
          <t>No</t>
        </is>
      </c>
      <c r="AQ817" t="inlineStr">
        <is>
          <t>Yes</t>
        </is>
      </c>
      <c r="AR817">
        <f>HYPERLINK("http://catalog.hathitrust.org/Record/001029072","HathiTrust Record")</f>
        <v/>
      </c>
      <c r="AS817">
        <f>HYPERLINK("https://creighton-primo.hosted.exlibrisgroup.com/primo-explore/search?tab=default_tab&amp;search_scope=EVERYTHING&amp;vid=01CRU&amp;lang=en_US&amp;offset=0&amp;query=any,contains,991003563859702656","Catalog Record")</f>
        <v/>
      </c>
      <c r="AT817">
        <f>HYPERLINK("http://www.worldcat.org/oclc/1135984","WorldCat Record")</f>
        <v/>
      </c>
      <c r="AU817" t="inlineStr">
        <is>
          <t>2053539:eng</t>
        </is>
      </c>
      <c r="AV817" t="inlineStr">
        <is>
          <t>1135984</t>
        </is>
      </c>
      <c r="AW817" t="inlineStr">
        <is>
          <t>991003563859702656</t>
        </is>
      </c>
      <c r="AX817" t="inlineStr">
        <is>
          <t>991003563859702656</t>
        </is>
      </c>
      <c r="AY817" t="inlineStr">
        <is>
          <t>2265402780002656</t>
        </is>
      </c>
      <c r="AZ817" t="inlineStr">
        <is>
          <t>BOOK</t>
        </is>
      </c>
      <c r="BC817" t="inlineStr">
        <is>
          <t>32285002815446</t>
        </is>
      </c>
      <c r="BD817" t="inlineStr">
        <is>
          <t>893228168</t>
        </is>
      </c>
    </row>
    <row r="818">
      <c r="A818" t="inlineStr">
        <is>
          <t>No</t>
        </is>
      </c>
      <c r="B818" t="inlineStr">
        <is>
          <t>PS3529.N5 Z64 1982</t>
        </is>
      </c>
      <c r="C818" t="inlineStr">
        <is>
          <t>0                      PS 3529000N  5                  Z  64          1982</t>
        </is>
      </c>
      <c r="D818" t="inlineStr">
        <is>
          <t>Eugene O'Neill and the tragic tension : an interpretive study of the plays / Doris V. Falk.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Yes</t>
        </is>
      </c>
      <c r="J818" t="inlineStr">
        <is>
          <t>0</t>
        </is>
      </c>
      <c r="K818" t="inlineStr">
        <is>
          <t>Falk, Doris V.</t>
        </is>
      </c>
      <c r="L818" t="inlineStr">
        <is>
          <t>New York : Gordian Press, 1982, c1958.</t>
        </is>
      </c>
      <c r="M818" t="inlineStr">
        <is>
          <t>1982</t>
        </is>
      </c>
      <c r="N818" t="inlineStr">
        <is>
          <t>2nd ed.</t>
        </is>
      </c>
      <c r="O818" t="inlineStr">
        <is>
          <t>eng</t>
        </is>
      </c>
      <c r="P818" t="inlineStr">
        <is>
          <t>nyu</t>
        </is>
      </c>
      <c r="R818" t="inlineStr">
        <is>
          <t xml:space="preserve">PS </t>
        </is>
      </c>
      <c r="S818" t="n">
        <v>7</v>
      </c>
      <c r="T818" t="n">
        <v>7</v>
      </c>
      <c r="U818" t="inlineStr">
        <is>
          <t>2004-04-02</t>
        </is>
      </c>
      <c r="V818" t="inlineStr">
        <is>
          <t>2004-04-02</t>
        </is>
      </c>
      <c r="W818" t="inlineStr">
        <is>
          <t>1990-11-26</t>
        </is>
      </c>
      <c r="X818" t="inlineStr">
        <is>
          <t>1990-11-26</t>
        </is>
      </c>
      <c r="Y818" t="n">
        <v>200</v>
      </c>
      <c r="Z818" t="n">
        <v>161</v>
      </c>
      <c r="AA818" t="n">
        <v>1240</v>
      </c>
      <c r="AB818" t="n">
        <v>1</v>
      </c>
      <c r="AC818" t="n">
        <v>10</v>
      </c>
      <c r="AD818" t="n">
        <v>8</v>
      </c>
      <c r="AE818" t="n">
        <v>52</v>
      </c>
      <c r="AF818" t="n">
        <v>4</v>
      </c>
      <c r="AG818" t="n">
        <v>25</v>
      </c>
      <c r="AH818" t="n">
        <v>3</v>
      </c>
      <c r="AI818" t="n">
        <v>9</v>
      </c>
      <c r="AJ818" t="n">
        <v>6</v>
      </c>
      <c r="AK818" t="n">
        <v>21</v>
      </c>
      <c r="AL818" t="n">
        <v>0</v>
      </c>
      <c r="AM818" t="n">
        <v>9</v>
      </c>
      <c r="AN818" t="n">
        <v>0</v>
      </c>
      <c r="AO818" t="n">
        <v>0</v>
      </c>
      <c r="AP818" t="inlineStr">
        <is>
          <t>No</t>
        </is>
      </c>
      <c r="AQ818" t="inlineStr">
        <is>
          <t>Yes</t>
        </is>
      </c>
      <c r="AR818">
        <f>HYPERLINK("http://catalog.hathitrust.org/Record/000120840","HathiTrust Record")</f>
        <v/>
      </c>
      <c r="AS818">
        <f>HYPERLINK("https://creighton-primo.hosted.exlibrisgroup.com/primo-explore/search?tab=default_tab&amp;search_scope=EVERYTHING&amp;vid=01CRU&amp;lang=en_US&amp;offset=0&amp;query=any,contains,991005153139702656","Catalog Record")</f>
        <v/>
      </c>
      <c r="AT818">
        <f>HYPERLINK("http://www.worldcat.org/oclc/7735335","WorldCat Record")</f>
        <v/>
      </c>
      <c r="AU818" t="inlineStr">
        <is>
          <t>536273:eng</t>
        </is>
      </c>
      <c r="AV818" t="inlineStr">
        <is>
          <t>7735335</t>
        </is>
      </c>
      <c r="AW818" t="inlineStr">
        <is>
          <t>991005153139702656</t>
        </is>
      </c>
      <c r="AX818" t="inlineStr">
        <is>
          <t>991005153139702656</t>
        </is>
      </c>
      <c r="AY818" t="inlineStr">
        <is>
          <t>2254776220002656</t>
        </is>
      </c>
      <c r="AZ818" t="inlineStr">
        <is>
          <t>BOOK</t>
        </is>
      </c>
      <c r="BB818" t="inlineStr">
        <is>
          <t>9780877522225</t>
        </is>
      </c>
      <c r="BC818" t="inlineStr">
        <is>
          <t>32285000416338</t>
        </is>
      </c>
      <c r="BD818" t="inlineStr">
        <is>
          <t>893870608</t>
        </is>
      </c>
    </row>
    <row r="819">
      <c r="A819" t="inlineStr">
        <is>
          <t>No</t>
        </is>
      </c>
      <c r="B819" t="inlineStr">
        <is>
          <t>PS3529.N5 Z6427 1985</t>
        </is>
      </c>
      <c r="C819" t="inlineStr">
        <is>
          <t>0                      PS 3529000N  5                  Z  6427        1985</t>
        </is>
      </c>
      <c r="D819" t="inlineStr">
        <is>
          <t>The plays of Eugene O'Neill : a new assessment / Virginia Floyd.</t>
        </is>
      </c>
      <c r="F819" t="inlineStr">
        <is>
          <t>No</t>
        </is>
      </c>
      <c r="G819" t="inlineStr">
        <is>
          <t>1</t>
        </is>
      </c>
      <c r="H819" t="inlineStr">
        <is>
          <t>Yes</t>
        </is>
      </c>
      <c r="I819" t="inlineStr">
        <is>
          <t>No</t>
        </is>
      </c>
      <c r="J819" t="inlineStr">
        <is>
          <t>0</t>
        </is>
      </c>
      <c r="K819" t="inlineStr">
        <is>
          <t>Floyd, Virginia.</t>
        </is>
      </c>
      <c r="L819" t="inlineStr">
        <is>
          <t>New York : F. Ungar Pub. Co., 1985.</t>
        </is>
      </c>
      <c r="M819" t="inlineStr">
        <is>
          <t>1985</t>
        </is>
      </c>
      <c r="O819" t="inlineStr">
        <is>
          <t>eng</t>
        </is>
      </c>
      <c r="P819" t="inlineStr">
        <is>
          <t>nyu</t>
        </is>
      </c>
      <c r="Q819" t="inlineStr">
        <is>
          <t>Literature and life series</t>
        </is>
      </c>
      <c r="R819" t="inlineStr">
        <is>
          <t xml:space="preserve">PS </t>
        </is>
      </c>
      <c r="S819" t="n">
        <v>18</v>
      </c>
      <c r="T819" t="n">
        <v>22</v>
      </c>
      <c r="U819" t="inlineStr">
        <is>
          <t>2002-11-25</t>
        </is>
      </c>
      <c r="V819" t="inlineStr">
        <is>
          <t>2007-03-20</t>
        </is>
      </c>
      <c r="W819" t="inlineStr">
        <is>
          <t>1990-11-29</t>
        </is>
      </c>
      <c r="X819" t="inlineStr">
        <is>
          <t>1990-11-29</t>
        </is>
      </c>
      <c r="Y819" t="n">
        <v>1049</v>
      </c>
      <c r="Z819" t="n">
        <v>946</v>
      </c>
      <c r="AA819" t="n">
        <v>957</v>
      </c>
      <c r="AB819" t="n">
        <v>5</v>
      </c>
      <c r="AC819" t="n">
        <v>5</v>
      </c>
      <c r="AD819" t="n">
        <v>37</v>
      </c>
      <c r="AE819" t="n">
        <v>38</v>
      </c>
      <c r="AF819" t="n">
        <v>20</v>
      </c>
      <c r="AG819" t="n">
        <v>20</v>
      </c>
      <c r="AH819" t="n">
        <v>7</v>
      </c>
      <c r="AI819" t="n">
        <v>7</v>
      </c>
      <c r="AJ819" t="n">
        <v>16</v>
      </c>
      <c r="AK819" t="n">
        <v>17</v>
      </c>
      <c r="AL819" t="n">
        <v>4</v>
      </c>
      <c r="AM819" t="n">
        <v>4</v>
      </c>
      <c r="AN819" t="n">
        <v>0</v>
      </c>
      <c r="AO819" t="n">
        <v>0</v>
      </c>
      <c r="AP819" t="inlineStr">
        <is>
          <t>No</t>
        </is>
      </c>
      <c r="AQ819" t="inlineStr">
        <is>
          <t>Yes</t>
        </is>
      </c>
      <c r="AR819">
        <f>HYPERLINK("http://catalog.hathitrust.org/Record/000652798","HathiTrust Record")</f>
        <v/>
      </c>
      <c r="AS819">
        <f>HYPERLINK("https://creighton-primo.hosted.exlibrisgroup.com/primo-explore/search?tab=default_tab&amp;search_scope=EVERYTHING&amp;vid=01CRU&amp;lang=en_US&amp;offset=0&amp;query=any,contains,991000460109702656","Catalog Record")</f>
        <v/>
      </c>
      <c r="AT819">
        <f>HYPERLINK("http://www.worldcat.org/oclc/10925006","WorldCat Record")</f>
        <v/>
      </c>
      <c r="AU819" t="inlineStr">
        <is>
          <t>3943266362:eng</t>
        </is>
      </c>
      <c r="AV819" t="inlineStr">
        <is>
          <t>10925006</t>
        </is>
      </c>
      <c r="AW819" t="inlineStr">
        <is>
          <t>991000460109702656</t>
        </is>
      </c>
      <c r="AX819" t="inlineStr">
        <is>
          <t>991000460109702656</t>
        </is>
      </c>
      <c r="AY819" t="inlineStr">
        <is>
          <t>2272729990002656</t>
        </is>
      </c>
      <c r="AZ819" t="inlineStr">
        <is>
          <t>BOOK</t>
        </is>
      </c>
      <c r="BB819" t="inlineStr">
        <is>
          <t>9780804461535</t>
        </is>
      </c>
      <c r="BC819" t="inlineStr">
        <is>
          <t>32285000417013</t>
        </is>
      </c>
      <c r="BD819" t="inlineStr">
        <is>
          <t>893333490</t>
        </is>
      </c>
    </row>
    <row r="820">
      <c r="A820" t="inlineStr">
        <is>
          <t>No</t>
        </is>
      </c>
      <c r="B820" t="inlineStr">
        <is>
          <t>PS3529.N5 Z648</t>
        </is>
      </c>
      <c r="C820" t="inlineStr">
        <is>
          <t>0                      PS 3529000N  5                  Z  648</t>
        </is>
      </c>
      <c r="D820" t="inlineStr">
        <is>
          <t>O'Neill, a collection of critical essays.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Gassner, John, 1903-1967 editor.</t>
        </is>
      </c>
      <c r="L820" t="inlineStr">
        <is>
          <t>Englewood Cliffs, N.J. : Prentice-Hall, [1964]</t>
        </is>
      </c>
      <c r="M820" t="inlineStr">
        <is>
          <t>1964</t>
        </is>
      </c>
      <c r="O820" t="inlineStr">
        <is>
          <t>eng</t>
        </is>
      </c>
      <c r="P820" t="inlineStr">
        <is>
          <t>nju</t>
        </is>
      </c>
      <c r="Q820" t="inlineStr">
        <is>
          <t>A Spectrum book.</t>
        </is>
      </c>
      <c r="R820" t="inlineStr">
        <is>
          <t xml:space="preserve">PS </t>
        </is>
      </c>
      <c r="S820" t="n">
        <v>8</v>
      </c>
      <c r="T820" t="n">
        <v>8</v>
      </c>
      <c r="U820" t="inlineStr">
        <is>
          <t>2004-04-02</t>
        </is>
      </c>
      <c r="V820" t="inlineStr">
        <is>
          <t>2004-04-02</t>
        </is>
      </c>
      <c r="W820" t="inlineStr">
        <is>
          <t>1995-03-07</t>
        </is>
      </c>
      <c r="X820" t="inlineStr">
        <is>
          <t>1995-03-07</t>
        </is>
      </c>
      <c r="Y820" t="n">
        <v>2134</v>
      </c>
      <c r="Z820" t="n">
        <v>1878</v>
      </c>
      <c r="AA820" t="n">
        <v>1897</v>
      </c>
      <c r="AB820" t="n">
        <v>15</v>
      </c>
      <c r="AC820" t="n">
        <v>15</v>
      </c>
      <c r="AD820" t="n">
        <v>58</v>
      </c>
      <c r="AE820" t="n">
        <v>59</v>
      </c>
      <c r="AF820" t="n">
        <v>24</v>
      </c>
      <c r="AG820" t="n">
        <v>25</v>
      </c>
      <c r="AH820" t="n">
        <v>10</v>
      </c>
      <c r="AI820" t="n">
        <v>10</v>
      </c>
      <c r="AJ820" t="n">
        <v>23</v>
      </c>
      <c r="AK820" t="n">
        <v>23</v>
      </c>
      <c r="AL820" t="n">
        <v>13</v>
      </c>
      <c r="AM820" t="n">
        <v>13</v>
      </c>
      <c r="AN820" t="n">
        <v>0</v>
      </c>
      <c r="AO820" t="n">
        <v>0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HYPERLINK("http://catalog.hathitrust.org/Record/001113219","HathiTrust Record")</f>
        <v/>
      </c>
      <c r="AS820">
        <f>HYPERLINK("https://creighton-primo.hosted.exlibrisgroup.com/primo-explore/search?tab=default_tab&amp;search_scope=EVERYTHING&amp;vid=01CRU&amp;lang=en_US&amp;offset=0&amp;query=any,contains,991002221069702656","Catalog Record")</f>
        <v/>
      </c>
      <c r="AT820">
        <f>HYPERLINK("http://www.worldcat.org/oclc/290007","WorldCat Record")</f>
        <v/>
      </c>
      <c r="AU820" t="inlineStr">
        <is>
          <t>795157028:eng</t>
        </is>
      </c>
      <c r="AV820" t="inlineStr">
        <is>
          <t>290007</t>
        </is>
      </c>
      <c r="AW820" t="inlineStr">
        <is>
          <t>991002221069702656</t>
        </is>
      </c>
      <c r="AX820" t="inlineStr">
        <is>
          <t>991002221069702656</t>
        </is>
      </c>
      <c r="AY820" t="inlineStr">
        <is>
          <t>2268841340002656</t>
        </is>
      </c>
      <c r="AZ820" t="inlineStr">
        <is>
          <t>BOOK</t>
        </is>
      </c>
      <c r="BC820" t="inlineStr">
        <is>
          <t>32285002011525</t>
        </is>
      </c>
      <c r="BD820" t="inlineStr">
        <is>
          <t>893322691</t>
        </is>
      </c>
    </row>
    <row r="821">
      <c r="A821" t="inlineStr">
        <is>
          <t>No</t>
        </is>
      </c>
      <c r="B821" t="inlineStr">
        <is>
          <t>PS3529.N5 Z689 1982</t>
        </is>
      </c>
      <c r="C821" t="inlineStr">
        <is>
          <t>0                      PS 3529000N  5                  Z  689         1982</t>
        </is>
      </c>
      <c r="D821" t="inlineStr">
        <is>
          <t>Eugene O'Neill's new language of kinship / Michael Manheim.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Manheim, Michael.</t>
        </is>
      </c>
      <c r="L821" t="inlineStr">
        <is>
          <t>[Syracuse, N.Y.] : Syracuse University Press, 1982.</t>
        </is>
      </c>
      <c r="M821" t="inlineStr">
        <is>
          <t>1982</t>
        </is>
      </c>
      <c r="N821" t="inlineStr">
        <is>
          <t>1st ed.</t>
        </is>
      </c>
      <c r="O821" t="inlineStr">
        <is>
          <t>eng</t>
        </is>
      </c>
      <c r="P821" t="inlineStr">
        <is>
          <t>nyu</t>
        </is>
      </c>
      <c r="R821" t="inlineStr">
        <is>
          <t xml:space="preserve">PS </t>
        </is>
      </c>
      <c r="S821" t="n">
        <v>3</v>
      </c>
      <c r="T821" t="n">
        <v>3</v>
      </c>
      <c r="U821" t="inlineStr">
        <is>
          <t>1996-02-22</t>
        </is>
      </c>
      <c r="V821" t="inlineStr">
        <is>
          <t>1996-02-22</t>
        </is>
      </c>
      <c r="W821" t="inlineStr">
        <is>
          <t>1990-11-26</t>
        </is>
      </c>
      <c r="X821" t="inlineStr">
        <is>
          <t>1990-11-26</t>
        </is>
      </c>
      <c r="Y821" t="n">
        <v>626</v>
      </c>
      <c r="Z821" t="n">
        <v>542</v>
      </c>
      <c r="AA821" t="n">
        <v>548</v>
      </c>
      <c r="AB821" t="n">
        <v>4</v>
      </c>
      <c r="AC821" t="n">
        <v>4</v>
      </c>
      <c r="AD821" t="n">
        <v>24</v>
      </c>
      <c r="AE821" t="n">
        <v>24</v>
      </c>
      <c r="AF821" t="n">
        <v>9</v>
      </c>
      <c r="AG821" t="n">
        <v>9</v>
      </c>
      <c r="AH821" t="n">
        <v>6</v>
      </c>
      <c r="AI821" t="n">
        <v>6</v>
      </c>
      <c r="AJ821" t="n">
        <v>13</v>
      </c>
      <c r="AK821" t="n">
        <v>13</v>
      </c>
      <c r="AL821" t="n">
        <v>3</v>
      </c>
      <c r="AM821" t="n">
        <v>3</v>
      </c>
      <c r="AN821" t="n">
        <v>0</v>
      </c>
      <c r="AO821" t="n">
        <v>0</v>
      </c>
      <c r="AP821" t="inlineStr">
        <is>
          <t>No</t>
        </is>
      </c>
      <c r="AQ821" t="inlineStr">
        <is>
          <t>Yes</t>
        </is>
      </c>
      <c r="AR821">
        <f>HYPERLINK("http://catalog.hathitrust.org/Record/000101899","HathiTrust Record")</f>
        <v/>
      </c>
      <c r="AS821">
        <f>HYPERLINK("https://creighton-primo.hosted.exlibrisgroup.com/primo-explore/search?tab=default_tab&amp;search_scope=EVERYTHING&amp;vid=01CRU&amp;lang=en_US&amp;offset=0&amp;query=any,contains,991005227029702656","Catalog Record")</f>
        <v/>
      </c>
      <c r="AT821">
        <f>HYPERLINK("http://www.worldcat.org/oclc/8283536","WorldCat Record")</f>
        <v/>
      </c>
      <c r="AU821" t="inlineStr">
        <is>
          <t>477759:eng</t>
        </is>
      </c>
      <c r="AV821" t="inlineStr">
        <is>
          <t>8283536</t>
        </is>
      </c>
      <c r="AW821" t="inlineStr">
        <is>
          <t>991005227029702656</t>
        </is>
      </c>
      <c r="AX821" t="inlineStr">
        <is>
          <t>991005227029702656</t>
        </is>
      </c>
      <c r="AY821" t="inlineStr">
        <is>
          <t>2268478700002656</t>
        </is>
      </c>
      <c r="AZ821" t="inlineStr">
        <is>
          <t>BOOK</t>
        </is>
      </c>
      <c r="BB821" t="inlineStr">
        <is>
          <t>9780815622628</t>
        </is>
      </c>
      <c r="BC821" t="inlineStr">
        <is>
          <t>32285000416346</t>
        </is>
      </c>
      <c r="BD821" t="inlineStr">
        <is>
          <t>893412530</t>
        </is>
      </c>
    </row>
    <row r="822">
      <c r="A822" t="inlineStr">
        <is>
          <t>No</t>
        </is>
      </c>
      <c r="B822" t="inlineStr">
        <is>
          <t>PS3529.N5 Z759 1981</t>
        </is>
      </c>
      <c r="C822" t="inlineStr">
        <is>
          <t>0                      PS 3529000N  5                  Z  759         1981</t>
        </is>
      </c>
      <c r="D822" t="inlineStr">
        <is>
          <t>Eugene O'Neill at work : newly released ideas for plays / edited and annotated by Virginia Floyd.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O'Neill, Eugene, 1888-1953.</t>
        </is>
      </c>
      <c r="L822" t="inlineStr">
        <is>
          <t>New York : Ungar, c1981.</t>
        </is>
      </c>
      <c r="M822" t="inlineStr">
        <is>
          <t>1981</t>
        </is>
      </c>
      <c r="O822" t="inlineStr">
        <is>
          <t>eng</t>
        </is>
      </c>
      <c r="P822" t="inlineStr">
        <is>
          <t>nyu</t>
        </is>
      </c>
      <c r="R822" t="inlineStr">
        <is>
          <t xml:space="preserve">PS </t>
        </is>
      </c>
      <c r="S822" t="n">
        <v>2</v>
      </c>
      <c r="T822" t="n">
        <v>2</v>
      </c>
      <c r="U822" t="inlineStr">
        <is>
          <t>1996-02-22</t>
        </is>
      </c>
      <c r="V822" t="inlineStr">
        <is>
          <t>1996-02-22</t>
        </is>
      </c>
      <c r="W822" t="inlineStr">
        <is>
          <t>1990-11-26</t>
        </is>
      </c>
      <c r="X822" t="inlineStr">
        <is>
          <t>1990-11-26</t>
        </is>
      </c>
      <c r="Y822" t="n">
        <v>842</v>
      </c>
      <c r="Z822" t="n">
        <v>723</v>
      </c>
      <c r="AA822" t="n">
        <v>726</v>
      </c>
      <c r="AB822" t="n">
        <v>5</v>
      </c>
      <c r="AC822" t="n">
        <v>5</v>
      </c>
      <c r="AD822" t="n">
        <v>39</v>
      </c>
      <c r="AE822" t="n">
        <v>39</v>
      </c>
      <c r="AF822" t="n">
        <v>20</v>
      </c>
      <c r="AG822" t="n">
        <v>20</v>
      </c>
      <c r="AH822" t="n">
        <v>9</v>
      </c>
      <c r="AI822" t="n">
        <v>9</v>
      </c>
      <c r="AJ822" t="n">
        <v>17</v>
      </c>
      <c r="AK822" t="n">
        <v>17</v>
      </c>
      <c r="AL822" t="n">
        <v>4</v>
      </c>
      <c r="AM822" t="n">
        <v>4</v>
      </c>
      <c r="AN822" t="n">
        <v>0</v>
      </c>
      <c r="AO822" t="n">
        <v>0</v>
      </c>
      <c r="AP822" t="inlineStr">
        <is>
          <t>No</t>
        </is>
      </c>
      <c r="AQ822" t="inlineStr">
        <is>
          <t>Yes</t>
        </is>
      </c>
      <c r="AR822">
        <f>HYPERLINK("http://catalog.hathitrust.org/Record/000181148","HathiTrust Record")</f>
        <v/>
      </c>
      <c r="AS822">
        <f>HYPERLINK("https://creighton-primo.hosted.exlibrisgroup.com/primo-explore/search?tab=default_tab&amp;search_scope=EVERYTHING&amp;vid=01CRU&amp;lang=en_US&amp;offset=0&amp;query=any,contains,991005153879702656","Catalog Record")</f>
        <v/>
      </c>
      <c r="AT822">
        <f>HYPERLINK("http://www.worldcat.org/oclc/7737305","WorldCat Record")</f>
        <v/>
      </c>
      <c r="AU822" t="inlineStr">
        <is>
          <t>365442558:eng</t>
        </is>
      </c>
      <c r="AV822" t="inlineStr">
        <is>
          <t>7737305</t>
        </is>
      </c>
      <c r="AW822" t="inlineStr">
        <is>
          <t>991005153879702656</t>
        </is>
      </c>
      <c r="AX822" t="inlineStr">
        <is>
          <t>991005153879702656</t>
        </is>
      </c>
      <c r="AY822" t="inlineStr">
        <is>
          <t>2259681190002656</t>
        </is>
      </c>
      <c r="AZ822" t="inlineStr">
        <is>
          <t>BOOK</t>
        </is>
      </c>
      <c r="BB822" t="inlineStr">
        <is>
          <t>9780804422055</t>
        </is>
      </c>
      <c r="BC822" t="inlineStr">
        <is>
          <t>32285000416353</t>
        </is>
      </c>
      <c r="BD822" t="inlineStr">
        <is>
          <t>893613216</t>
        </is>
      </c>
    </row>
    <row r="823">
      <c r="A823" t="inlineStr">
        <is>
          <t>No</t>
        </is>
      </c>
      <c r="B823" t="inlineStr">
        <is>
          <t>PS3529.N5 Z775 1988</t>
        </is>
      </c>
      <c r="C823" t="inlineStr">
        <is>
          <t>0                      PS 3529000N  5                  Z  775         1988</t>
        </is>
      </c>
      <c r="D823" t="inlineStr">
        <is>
          <t>The banished prince : time, memory, and ritual in the late plays of Eugene O'Neill / by Laurin Porter.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Porter, Laurin, 1945-</t>
        </is>
      </c>
      <c r="L823" t="inlineStr">
        <is>
          <t>Ann Arbor : UMI Research Press, c1988.</t>
        </is>
      </c>
      <c r="M823" t="inlineStr">
        <is>
          <t>1988</t>
        </is>
      </c>
      <c r="O823" t="inlineStr">
        <is>
          <t>eng</t>
        </is>
      </c>
      <c r="P823" t="inlineStr">
        <is>
          <t>miu</t>
        </is>
      </c>
      <c r="Q823" t="inlineStr">
        <is>
          <t>Theater and dramatic studies ; no. 54</t>
        </is>
      </c>
      <c r="R823" t="inlineStr">
        <is>
          <t xml:space="preserve">PS </t>
        </is>
      </c>
      <c r="S823" t="n">
        <v>3</v>
      </c>
      <c r="T823" t="n">
        <v>3</v>
      </c>
      <c r="U823" t="inlineStr">
        <is>
          <t>1997-03-17</t>
        </is>
      </c>
      <c r="V823" t="inlineStr">
        <is>
          <t>1997-03-17</t>
        </is>
      </c>
      <c r="W823" t="inlineStr">
        <is>
          <t>1989-11-01</t>
        </is>
      </c>
      <c r="X823" t="inlineStr">
        <is>
          <t>1989-11-01</t>
        </is>
      </c>
      <c r="Y823" t="n">
        <v>477</v>
      </c>
      <c r="Z823" t="n">
        <v>410</v>
      </c>
      <c r="AA823" t="n">
        <v>422</v>
      </c>
      <c r="AB823" t="n">
        <v>3</v>
      </c>
      <c r="AC823" t="n">
        <v>3</v>
      </c>
      <c r="AD823" t="n">
        <v>24</v>
      </c>
      <c r="AE823" t="n">
        <v>24</v>
      </c>
      <c r="AF823" t="n">
        <v>9</v>
      </c>
      <c r="AG823" t="n">
        <v>9</v>
      </c>
      <c r="AH823" t="n">
        <v>7</v>
      </c>
      <c r="AI823" t="n">
        <v>7</v>
      </c>
      <c r="AJ823" t="n">
        <v>12</v>
      </c>
      <c r="AK823" t="n">
        <v>12</v>
      </c>
      <c r="AL823" t="n">
        <v>2</v>
      </c>
      <c r="AM823" t="n">
        <v>2</v>
      </c>
      <c r="AN823" t="n">
        <v>0</v>
      </c>
      <c r="AO823" t="n">
        <v>0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HYPERLINK("http://catalog.hathitrust.org/Record/000949018","HathiTrust Record")</f>
        <v/>
      </c>
      <c r="AS823">
        <f>HYPERLINK("https://creighton-primo.hosted.exlibrisgroup.com/primo-explore/search?tab=default_tab&amp;search_scope=EVERYTHING&amp;vid=01CRU&amp;lang=en_US&amp;offset=0&amp;query=any,contains,991001336529702656","Catalog Record")</f>
        <v/>
      </c>
      <c r="AT823">
        <f>HYPERLINK("http://www.worldcat.org/oclc/18351781","WorldCat Record")</f>
        <v/>
      </c>
      <c r="AU823" t="inlineStr">
        <is>
          <t>17200676:eng</t>
        </is>
      </c>
      <c r="AV823" t="inlineStr">
        <is>
          <t>18351781</t>
        </is>
      </c>
      <c r="AW823" t="inlineStr">
        <is>
          <t>991001336529702656</t>
        </is>
      </c>
      <c r="AX823" t="inlineStr">
        <is>
          <t>991001336529702656</t>
        </is>
      </c>
      <c r="AY823" t="inlineStr">
        <is>
          <t>2265846490002656</t>
        </is>
      </c>
      <c r="AZ823" t="inlineStr">
        <is>
          <t>BOOK</t>
        </is>
      </c>
      <c r="BB823" t="inlineStr">
        <is>
          <t>9780835719346</t>
        </is>
      </c>
      <c r="BC823" t="inlineStr">
        <is>
          <t>32285000011386</t>
        </is>
      </c>
      <c r="BD823" t="inlineStr">
        <is>
          <t>893528888</t>
        </is>
      </c>
    </row>
    <row r="824">
      <c r="A824" t="inlineStr">
        <is>
          <t>No</t>
        </is>
      </c>
      <c r="B824" t="inlineStr">
        <is>
          <t>PS3529.N5 Z79696 1996</t>
        </is>
      </c>
      <c r="C824" t="inlineStr">
        <is>
          <t>0                      PS 3529000N  5                  Z  79696       1996</t>
        </is>
      </c>
      <c r="D824" t="inlineStr">
        <is>
          <t>Down the nights and down the days : Eugene O'Neill's Catholic sensibility / Edward L. Shaughnessy.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Shaughnessy, Edward L., 1932-</t>
        </is>
      </c>
      <c r="L824" t="inlineStr">
        <is>
          <t>Notre Dame, Ind. : University of Notre Dame Press, c1996.</t>
        </is>
      </c>
      <c r="M824" t="inlineStr">
        <is>
          <t>1996</t>
        </is>
      </c>
      <c r="O824" t="inlineStr">
        <is>
          <t>eng</t>
        </is>
      </c>
      <c r="P824" t="inlineStr">
        <is>
          <t>inu</t>
        </is>
      </c>
      <c r="Q824" t="inlineStr">
        <is>
          <t>The Irish in America</t>
        </is>
      </c>
      <c r="R824" t="inlineStr">
        <is>
          <t xml:space="preserve">PS </t>
        </is>
      </c>
      <c r="S824" t="n">
        <v>3</v>
      </c>
      <c r="T824" t="n">
        <v>3</v>
      </c>
      <c r="U824" t="inlineStr">
        <is>
          <t>1997-05-02</t>
        </is>
      </c>
      <c r="V824" t="inlineStr">
        <is>
          <t>1997-05-02</t>
        </is>
      </c>
      <c r="W824" t="inlineStr">
        <is>
          <t>1997-03-14</t>
        </is>
      </c>
      <c r="X824" t="inlineStr">
        <is>
          <t>1997-03-14</t>
        </is>
      </c>
      <c r="Y824" t="n">
        <v>469</v>
      </c>
      <c r="Z824" t="n">
        <v>418</v>
      </c>
      <c r="AA824" t="n">
        <v>622</v>
      </c>
      <c r="AB824" t="n">
        <v>5</v>
      </c>
      <c r="AC824" t="n">
        <v>5</v>
      </c>
      <c r="AD824" t="n">
        <v>36</v>
      </c>
      <c r="AE824" t="n">
        <v>41</v>
      </c>
      <c r="AF824" t="n">
        <v>12</v>
      </c>
      <c r="AG824" t="n">
        <v>16</v>
      </c>
      <c r="AH824" t="n">
        <v>10</v>
      </c>
      <c r="AI824" t="n">
        <v>11</v>
      </c>
      <c r="AJ824" t="n">
        <v>21</v>
      </c>
      <c r="AK824" t="n">
        <v>22</v>
      </c>
      <c r="AL824" t="n">
        <v>4</v>
      </c>
      <c r="AM824" t="n">
        <v>4</v>
      </c>
      <c r="AN824" t="n">
        <v>0</v>
      </c>
      <c r="AO824" t="n">
        <v>0</v>
      </c>
      <c r="AP824" t="inlineStr">
        <is>
          <t>No</t>
        </is>
      </c>
      <c r="AQ824" t="inlineStr">
        <is>
          <t>Yes</t>
        </is>
      </c>
      <c r="AR824">
        <f>HYPERLINK("http://catalog.hathitrust.org/Record/003126448","HathiTrust Record")</f>
        <v/>
      </c>
      <c r="AS824">
        <f>HYPERLINK("https://creighton-primo.hosted.exlibrisgroup.com/primo-explore/search?tab=default_tab&amp;search_scope=EVERYTHING&amp;vid=01CRU&amp;lang=en_US&amp;offset=0&amp;query=any,contains,991002679649702656","Catalog Record")</f>
        <v/>
      </c>
      <c r="AT824">
        <f>HYPERLINK("http://www.worldcat.org/oclc/35025810","WorldCat Record")</f>
        <v/>
      </c>
      <c r="AU824" t="inlineStr">
        <is>
          <t>839692634:eng</t>
        </is>
      </c>
      <c r="AV824" t="inlineStr">
        <is>
          <t>35025810</t>
        </is>
      </c>
      <c r="AW824" t="inlineStr">
        <is>
          <t>991002679649702656</t>
        </is>
      </c>
      <c r="AX824" t="inlineStr">
        <is>
          <t>991002679649702656</t>
        </is>
      </c>
      <c r="AY824" t="inlineStr">
        <is>
          <t>2265711140002656</t>
        </is>
      </c>
      <c r="AZ824" t="inlineStr">
        <is>
          <t>BOOK</t>
        </is>
      </c>
      <c r="BB824" t="inlineStr">
        <is>
          <t>9780268008826</t>
        </is>
      </c>
      <c r="BC824" t="inlineStr">
        <is>
          <t>32285002443108</t>
        </is>
      </c>
      <c r="BD824" t="inlineStr">
        <is>
          <t>893233266</t>
        </is>
      </c>
    </row>
    <row r="825">
      <c r="A825" t="inlineStr">
        <is>
          <t>No</t>
        </is>
      </c>
      <c r="B825" t="inlineStr">
        <is>
          <t>PS3529.N5 Z797</t>
        </is>
      </c>
      <c r="C825" t="inlineStr">
        <is>
          <t>0                      PS 3529000N  5                  Z  797</t>
        </is>
      </c>
      <c r="D825" t="inlineStr">
        <is>
          <t>O'Neill, son and artist.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Sheaffer, Louis.</t>
        </is>
      </c>
      <c r="L825" t="inlineStr">
        <is>
          <t>Boston, Little, Brown [1973]</t>
        </is>
      </c>
      <c r="M825" t="inlineStr">
        <is>
          <t>1973</t>
        </is>
      </c>
      <c r="N825" t="inlineStr">
        <is>
          <t>[1st ed.]</t>
        </is>
      </c>
      <c r="O825" t="inlineStr">
        <is>
          <t>eng</t>
        </is>
      </c>
      <c r="P825" t="inlineStr">
        <is>
          <t>mau</t>
        </is>
      </c>
      <c r="R825" t="inlineStr">
        <is>
          <t xml:space="preserve">PS </t>
        </is>
      </c>
      <c r="S825" t="n">
        <v>0</v>
      </c>
      <c r="T825" t="n">
        <v>0</v>
      </c>
      <c r="U825" t="inlineStr">
        <is>
          <t>2003-09-17</t>
        </is>
      </c>
      <c r="V825" t="inlineStr">
        <is>
          <t>2003-09-17</t>
        </is>
      </c>
      <c r="W825" t="inlineStr">
        <is>
          <t>1997-06-13</t>
        </is>
      </c>
      <c r="X825" t="inlineStr">
        <is>
          <t>1997-06-13</t>
        </is>
      </c>
      <c r="Y825" t="n">
        <v>1586</v>
      </c>
      <c r="Z825" t="n">
        <v>1444</v>
      </c>
      <c r="AA825" t="n">
        <v>1577</v>
      </c>
      <c r="AB825" t="n">
        <v>12</v>
      </c>
      <c r="AC825" t="n">
        <v>12</v>
      </c>
      <c r="AD825" t="n">
        <v>50</v>
      </c>
      <c r="AE825" t="n">
        <v>51</v>
      </c>
      <c r="AF825" t="n">
        <v>20</v>
      </c>
      <c r="AG825" t="n">
        <v>21</v>
      </c>
      <c r="AH825" t="n">
        <v>10</v>
      </c>
      <c r="AI825" t="n">
        <v>10</v>
      </c>
      <c r="AJ825" t="n">
        <v>23</v>
      </c>
      <c r="AK825" t="n">
        <v>23</v>
      </c>
      <c r="AL825" t="n">
        <v>9</v>
      </c>
      <c r="AM825" t="n">
        <v>9</v>
      </c>
      <c r="AN825" t="n">
        <v>0</v>
      </c>
      <c r="AO825" t="n">
        <v>0</v>
      </c>
      <c r="AP825" t="inlineStr">
        <is>
          <t>No</t>
        </is>
      </c>
      <c r="AQ825" t="inlineStr">
        <is>
          <t>No</t>
        </is>
      </c>
      <c r="AS825">
        <f>HYPERLINK("https://creighton-primo.hosted.exlibrisgroup.com/primo-explore/search?tab=default_tab&amp;search_scope=EVERYTHING&amp;vid=01CRU&amp;lang=en_US&amp;offset=0&amp;query=any,contains,991003080699702656","Catalog Record")</f>
        <v/>
      </c>
      <c r="AT825">
        <f>HYPERLINK("http://www.worldcat.org/oclc/632488","WorldCat Record")</f>
        <v/>
      </c>
      <c r="AU825" t="inlineStr">
        <is>
          <t>1749010:eng</t>
        </is>
      </c>
      <c r="AV825" t="inlineStr">
        <is>
          <t>632488</t>
        </is>
      </c>
      <c r="AW825" t="inlineStr">
        <is>
          <t>991003080699702656</t>
        </is>
      </c>
      <c r="AX825" t="inlineStr">
        <is>
          <t>991003080699702656</t>
        </is>
      </c>
      <c r="AY825" t="inlineStr">
        <is>
          <t>2263859310002656</t>
        </is>
      </c>
      <c r="AZ825" t="inlineStr">
        <is>
          <t>BOOK</t>
        </is>
      </c>
      <c r="BB825" t="inlineStr">
        <is>
          <t>9780316783361</t>
        </is>
      </c>
      <c r="BC825" t="inlineStr">
        <is>
          <t>32285002815529</t>
        </is>
      </c>
      <c r="BD825" t="inlineStr">
        <is>
          <t>893692378</t>
        </is>
      </c>
    </row>
    <row r="826">
      <c r="A826" t="inlineStr">
        <is>
          <t>No</t>
        </is>
      </c>
      <c r="B826" t="inlineStr">
        <is>
          <t>PS3529.N6 Z79697 1988</t>
        </is>
      </c>
      <c r="C826" t="inlineStr">
        <is>
          <t>0                      PS 3529000N  6                  Z  79697       1988</t>
        </is>
      </c>
      <c r="D826" t="inlineStr">
        <is>
          <t>Eugene O'Neill in Ireland : the critical reception / Edward L. Shaughnessy.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K826" t="inlineStr">
        <is>
          <t>Shaughnessy, Edward L., 1932-</t>
        </is>
      </c>
      <c r="L826" t="inlineStr">
        <is>
          <t>New York : Greenwood Press, c1988.</t>
        </is>
      </c>
      <c r="M826" t="inlineStr">
        <is>
          <t>1988</t>
        </is>
      </c>
      <c r="O826" t="inlineStr">
        <is>
          <t>eng</t>
        </is>
      </c>
      <c r="P826" t="inlineStr">
        <is>
          <t>nyu</t>
        </is>
      </c>
      <c r="Q826" t="inlineStr">
        <is>
          <t>Contributions in drama and theatre studies, 0163-3821 ; no. 25</t>
        </is>
      </c>
      <c r="R826" t="inlineStr">
        <is>
          <t xml:space="preserve">PS </t>
        </is>
      </c>
      <c r="S826" t="n">
        <v>1</v>
      </c>
      <c r="T826" t="n">
        <v>1</v>
      </c>
      <c r="U826" t="inlineStr">
        <is>
          <t>1997-04-23</t>
        </is>
      </c>
      <c r="V826" t="inlineStr">
        <is>
          <t>1997-04-23</t>
        </is>
      </c>
      <c r="W826" t="inlineStr">
        <is>
          <t>1990-11-26</t>
        </is>
      </c>
      <c r="X826" t="inlineStr">
        <is>
          <t>1990-11-26</t>
        </is>
      </c>
      <c r="Y826" t="n">
        <v>278</v>
      </c>
      <c r="Z826" t="n">
        <v>219</v>
      </c>
      <c r="AA826" t="n">
        <v>221</v>
      </c>
      <c r="AB826" t="n">
        <v>2</v>
      </c>
      <c r="AC826" t="n">
        <v>2</v>
      </c>
      <c r="AD826" t="n">
        <v>12</v>
      </c>
      <c r="AE826" t="n">
        <v>12</v>
      </c>
      <c r="AF826" t="n">
        <v>3</v>
      </c>
      <c r="AG826" t="n">
        <v>3</v>
      </c>
      <c r="AH826" t="n">
        <v>4</v>
      </c>
      <c r="AI826" t="n">
        <v>4</v>
      </c>
      <c r="AJ826" t="n">
        <v>9</v>
      </c>
      <c r="AK826" t="n">
        <v>9</v>
      </c>
      <c r="AL826" t="n">
        <v>1</v>
      </c>
      <c r="AM826" t="n">
        <v>1</v>
      </c>
      <c r="AN826" t="n">
        <v>0</v>
      </c>
      <c r="AO826" t="n">
        <v>0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HYPERLINK("http://catalog.hathitrust.org/Record/001304875","HathiTrust Record")</f>
        <v/>
      </c>
      <c r="AS826">
        <f>HYPERLINK("https://creighton-primo.hosted.exlibrisgroup.com/primo-explore/search?tab=default_tab&amp;search_scope=EVERYTHING&amp;vid=01CRU&amp;lang=en_US&amp;offset=0&amp;query=any,contains,991001192269702656","Catalog Record")</f>
        <v/>
      </c>
      <c r="AT826">
        <f>HYPERLINK("http://www.worldcat.org/oclc/17261019","WorldCat Record")</f>
        <v/>
      </c>
      <c r="AU826" t="inlineStr">
        <is>
          <t>836743195:eng</t>
        </is>
      </c>
      <c r="AV826" t="inlineStr">
        <is>
          <t>17261019</t>
        </is>
      </c>
      <c r="AW826" t="inlineStr">
        <is>
          <t>991001192269702656</t>
        </is>
      </c>
      <c r="AX826" t="inlineStr">
        <is>
          <t>991001192269702656</t>
        </is>
      </c>
      <c r="AY826" t="inlineStr">
        <is>
          <t>2267832100002656</t>
        </is>
      </c>
      <c r="AZ826" t="inlineStr">
        <is>
          <t>BOOK</t>
        </is>
      </c>
      <c r="BB826" t="inlineStr">
        <is>
          <t>9780313256271</t>
        </is>
      </c>
      <c r="BC826" t="inlineStr">
        <is>
          <t>32285000416379</t>
        </is>
      </c>
      <c r="BD826" t="inlineStr">
        <is>
          <t>893426402</t>
        </is>
      </c>
    </row>
    <row r="827">
      <c r="A827" t="inlineStr">
        <is>
          <t>No</t>
        </is>
      </c>
      <c r="B827" t="inlineStr">
        <is>
          <t>PS3531 .P87Zk 1974</t>
        </is>
      </c>
      <c r="C827" t="inlineStr">
        <is>
          <t>0                      PS 3531000P  87Zk        1974</t>
        </is>
      </c>
      <c r="D827" t="inlineStr">
        <is>
          <t>The poetry of Ezra Pound / Hugh Kenner. --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K827" t="inlineStr">
        <is>
          <t>Kenner, Hugh.</t>
        </is>
      </c>
      <c r="L827" t="inlineStr">
        <is>
          <t>Millwood, N.Y. : Kraus Reprint Co., 1974.</t>
        </is>
      </c>
      <c r="M827" t="inlineStr">
        <is>
          <t>1974</t>
        </is>
      </c>
      <c r="O827" t="inlineStr">
        <is>
          <t>eng</t>
        </is>
      </c>
      <c r="P827" t="inlineStr">
        <is>
          <t>___</t>
        </is>
      </c>
      <c r="R827" t="inlineStr">
        <is>
          <t xml:space="preserve">PS </t>
        </is>
      </c>
      <c r="S827" t="n">
        <v>4</v>
      </c>
      <c r="T827" t="n">
        <v>4</v>
      </c>
      <c r="U827" t="inlineStr">
        <is>
          <t>2001-04-17</t>
        </is>
      </c>
      <c r="V827" t="inlineStr">
        <is>
          <t>2001-04-17</t>
        </is>
      </c>
      <c r="W827" t="inlineStr">
        <is>
          <t>1990-11-27</t>
        </is>
      </c>
      <c r="X827" t="inlineStr">
        <is>
          <t>1990-11-27</t>
        </is>
      </c>
      <c r="Y827" t="n">
        <v>102</v>
      </c>
      <c r="Z827" t="n">
        <v>85</v>
      </c>
      <c r="AA827" t="n">
        <v>840</v>
      </c>
      <c r="AB827" t="n">
        <v>1</v>
      </c>
      <c r="AC827" t="n">
        <v>9</v>
      </c>
      <c r="AD827" t="n">
        <v>1</v>
      </c>
      <c r="AE827" t="n">
        <v>49</v>
      </c>
      <c r="AF827" t="n">
        <v>1</v>
      </c>
      <c r="AG827" t="n">
        <v>22</v>
      </c>
      <c r="AH827" t="n">
        <v>0</v>
      </c>
      <c r="AI827" t="n">
        <v>9</v>
      </c>
      <c r="AJ827" t="n">
        <v>0</v>
      </c>
      <c r="AK827" t="n">
        <v>22</v>
      </c>
      <c r="AL827" t="n">
        <v>0</v>
      </c>
      <c r="AM827" t="n">
        <v>7</v>
      </c>
      <c r="AN827" t="n">
        <v>0</v>
      </c>
      <c r="AO827" t="n">
        <v>1</v>
      </c>
      <c r="AP827" t="inlineStr">
        <is>
          <t>No</t>
        </is>
      </c>
      <c r="AQ827" t="inlineStr">
        <is>
          <t>Yes</t>
        </is>
      </c>
      <c r="AR827">
        <f>HYPERLINK("http://catalog.hathitrust.org/Record/012269201","HathiTrust Record")</f>
        <v/>
      </c>
      <c r="AS827">
        <f>HYPERLINK("https://creighton-primo.hosted.exlibrisgroup.com/primo-explore/search?tab=default_tab&amp;search_scope=EVERYTHING&amp;vid=01CRU&amp;lang=en_US&amp;offset=0&amp;query=any,contains,991003622669702656","Catalog Record")</f>
        <v/>
      </c>
      <c r="AT827">
        <f>HYPERLINK("http://www.worldcat.org/oclc/1211014","WorldCat Record")</f>
        <v/>
      </c>
      <c r="AU827" t="inlineStr">
        <is>
          <t>1463426:eng</t>
        </is>
      </c>
      <c r="AV827" t="inlineStr">
        <is>
          <t>1211014</t>
        </is>
      </c>
      <c r="AW827" t="inlineStr">
        <is>
          <t>991003622669702656</t>
        </is>
      </c>
      <c r="AX827" t="inlineStr">
        <is>
          <t>991003622669702656</t>
        </is>
      </c>
      <c r="AY827" t="inlineStr">
        <is>
          <t>2268781840002656</t>
        </is>
      </c>
      <c r="AZ827" t="inlineStr">
        <is>
          <t>BOOK</t>
        </is>
      </c>
      <c r="BB827" t="inlineStr">
        <is>
          <t>9780527485009</t>
        </is>
      </c>
      <c r="BC827" t="inlineStr">
        <is>
          <t>32285000416817</t>
        </is>
      </c>
      <c r="BD827" t="inlineStr">
        <is>
          <t>893686733</t>
        </is>
      </c>
    </row>
    <row r="828">
      <c r="A828" t="inlineStr">
        <is>
          <t>No</t>
        </is>
      </c>
      <c r="B828" t="inlineStr">
        <is>
          <t>PS3531.A764 C58 1948</t>
        </is>
      </c>
      <c r="C828" t="inlineStr">
        <is>
          <t>0                      PS 3531000A  764                C  58          1948</t>
        </is>
      </c>
      <c r="D828" t="inlineStr">
        <is>
          <t>Cloth of the tempest / by Kenneth Patchen.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Patchen, Kenneth, 1911-1972.</t>
        </is>
      </c>
      <c r="L828" t="inlineStr">
        <is>
          <t>New York : Padell, c1948.</t>
        </is>
      </c>
      <c r="M828" t="inlineStr">
        <is>
          <t>1948</t>
        </is>
      </c>
      <c r="N828" t="inlineStr">
        <is>
          <t>2d ed.</t>
        </is>
      </c>
      <c r="O828" t="inlineStr">
        <is>
          <t>eng</t>
        </is>
      </c>
      <c r="P828" t="inlineStr">
        <is>
          <t>nyu</t>
        </is>
      </c>
      <c r="R828" t="inlineStr">
        <is>
          <t xml:space="preserve">PS </t>
        </is>
      </c>
      <c r="S828" t="n">
        <v>3</v>
      </c>
      <c r="T828" t="n">
        <v>3</v>
      </c>
      <c r="U828" t="inlineStr">
        <is>
          <t>1999-07-06</t>
        </is>
      </c>
      <c r="V828" t="inlineStr">
        <is>
          <t>1999-07-06</t>
        </is>
      </c>
      <c r="W828" t="inlineStr">
        <is>
          <t>1997-06-13</t>
        </is>
      </c>
      <c r="X828" t="inlineStr">
        <is>
          <t>1997-06-13</t>
        </is>
      </c>
      <c r="Y828" t="n">
        <v>181</v>
      </c>
      <c r="Z828" t="n">
        <v>167</v>
      </c>
      <c r="AA828" t="n">
        <v>258</v>
      </c>
      <c r="AB828" t="n">
        <v>2</v>
      </c>
      <c r="AC828" t="n">
        <v>2</v>
      </c>
      <c r="AD828" t="n">
        <v>9</v>
      </c>
      <c r="AE828" t="n">
        <v>10</v>
      </c>
      <c r="AF828" t="n">
        <v>2</v>
      </c>
      <c r="AG828" t="n">
        <v>2</v>
      </c>
      <c r="AH828" t="n">
        <v>3</v>
      </c>
      <c r="AI828" t="n">
        <v>4</v>
      </c>
      <c r="AJ828" t="n">
        <v>6</v>
      </c>
      <c r="AK828" t="n">
        <v>7</v>
      </c>
      <c r="AL828" t="n">
        <v>1</v>
      </c>
      <c r="AM828" t="n">
        <v>1</v>
      </c>
      <c r="AN828" t="n">
        <v>0</v>
      </c>
      <c r="AO828" t="n">
        <v>0</v>
      </c>
      <c r="AP828" t="inlineStr">
        <is>
          <t>No</t>
        </is>
      </c>
      <c r="AQ828" t="inlineStr">
        <is>
          <t>No</t>
        </is>
      </c>
      <c r="AR828">
        <f>HYPERLINK("http://catalog.hathitrust.org/Record/001427141","HathiTrust Record")</f>
        <v/>
      </c>
      <c r="AS828">
        <f>HYPERLINK("https://creighton-primo.hosted.exlibrisgroup.com/primo-explore/search?tab=default_tab&amp;search_scope=EVERYTHING&amp;vid=01CRU&amp;lang=en_US&amp;offset=0&amp;query=any,contains,991001358649702656","Catalog Record")</f>
        <v/>
      </c>
      <c r="AT828">
        <f>HYPERLINK("http://www.worldcat.org/oclc/18509323","WorldCat Record")</f>
        <v/>
      </c>
      <c r="AU828" t="inlineStr">
        <is>
          <t>1643269:eng</t>
        </is>
      </c>
      <c r="AV828" t="inlineStr">
        <is>
          <t>18509323</t>
        </is>
      </c>
      <c r="AW828" t="inlineStr">
        <is>
          <t>991001358649702656</t>
        </is>
      </c>
      <c r="AX828" t="inlineStr">
        <is>
          <t>991001358649702656</t>
        </is>
      </c>
      <c r="AY828" t="inlineStr">
        <is>
          <t>2256508020002656</t>
        </is>
      </c>
      <c r="AZ828" t="inlineStr">
        <is>
          <t>BOOK</t>
        </is>
      </c>
      <c r="BC828" t="inlineStr">
        <is>
          <t>32285002815701</t>
        </is>
      </c>
      <c r="BD828" t="inlineStr">
        <is>
          <t>893615002</t>
        </is>
      </c>
    </row>
    <row r="829">
      <c r="A829" t="inlineStr">
        <is>
          <t>No</t>
        </is>
      </c>
      <c r="B829" t="inlineStr">
        <is>
          <t>PS3531.A764 D35</t>
        </is>
      </c>
      <c r="C829" t="inlineStr">
        <is>
          <t>0                      PS 3531000A  764                D  35</t>
        </is>
      </c>
      <c r="D829" t="inlineStr">
        <is>
          <t>The dark kingdom [by] Kenneth Patchen.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Patchen, Kenneth, 1911-1972.</t>
        </is>
      </c>
      <c r="L829" t="inlineStr">
        <is>
          <t>New York, Harriss &amp; Givens [1942]</t>
        </is>
      </c>
      <c r="M829" t="inlineStr">
        <is>
          <t>1942</t>
        </is>
      </c>
      <c r="O829" t="inlineStr">
        <is>
          <t>eng</t>
        </is>
      </c>
      <c r="P829" t="inlineStr">
        <is>
          <t>nyu</t>
        </is>
      </c>
      <c r="R829" t="inlineStr">
        <is>
          <t xml:space="preserve">PS </t>
        </is>
      </c>
      <c r="S829" t="n">
        <v>1</v>
      </c>
      <c r="T829" t="n">
        <v>1</v>
      </c>
      <c r="U829" t="inlineStr">
        <is>
          <t>1999-07-06</t>
        </is>
      </c>
      <c r="V829" t="inlineStr">
        <is>
          <t>1999-07-06</t>
        </is>
      </c>
      <c r="W829" t="inlineStr">
        <is>
          <t>1997-06-13</t>
        </is>
      </c>
      <c r="X829" t="inlineStr">
        <is>
          <t>1997-06-13</t>
        </is>
      </c>
      <c r="Y829" t="n">
        <v>210</v>
      </c>
      <c r="Z829" t="n">
        <v>198</v>
      </c>
      <c r="AA829" t="n">
        <v>265</v>
      </c>
      <c r="AB829" t="n">
        <v>2</v>
      </c>
      <c r="AC829" t="n">
        <v>2</v>
      </c>
      <c r="AD829" t="n">
        <v>9</v>
      </c>
      <c r="AE829" t="n">
        <v>12</v>
      </c>
      <c r="AF829" t="n">
        <v>4</v>
      </c>
      <c r="AG829" t="n">
        <v>4</v>
      </c>
      <c r="AH829" t="n">
        <v>4</v>
      </c>
      <c r="AI829" t="n">
        <v>4</v>
      </c>
      <c r="AJ829" t="n">
        <v>5</v>
      </c>
      <c r="AK829" t="n">
        <v>8</v>
      </c>
      <c r="AL829" t="n">
        <v>1</v>
      </c>
      <c r="AM829" t="n">
        <v>1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R829">
        <f>HYPERLINK("http://catalog.hathitrust.org/Record/001376325","HathiTrust Record")</f>
        <v/>
      </c>
      <c r="AS829">
        <f>HYPERLINK("https://creighton-primo.hosted.exlibrisgroup.com/primo-explore/search?tab=default_tab&amp;search_scope=EVERYTHING&amp;vid=01CRU&amp;lang=en_US&amp;offset=0&amp;query=any,contains,991003431039702656","Catalog Record")</f>
        <v/>
      </c>
      <c r="AT829">
        <f>HYPERLINK("http://www.worldcat.org/oclc/965546","WorldCat Record")</f>
        <v/>
      </c>
      <c r="AU829" t="inlineStr">
        <is>
          <t>1919841:eng</t>
        </is>
      </c>
      <c r="AV829" t="inlineStr">
        <is>
          <t>965546</t>
        </is>
      </c>
      <c r="AW829" t="inlineStr">
        <is>
          <t>991003431039702656</t>
        </is>
      </c>
      <c r="AX829" t="inlineStr">
        <is>
          <t>991003431039702656</t>
        </is>
      </c>
      <c r="AY829" t="inlineStr">
        <is>
          <t>2258258730002656</t>
        </is>
      </c>
      <c r="AZ829" t="inlineStr">
        <is>
          <t>BOOK</t>
        </is>
      </c>
      <c r="BC829" t="inlineStr">
        <is>
          <t>32285002815719</t>
        </is>
      </c>
      <c r="BD829" t="inlineStr">
        <is>
          <t>893524802</t>
        </is>
      </c>
    </row>
    <row r="830">
      <c r="A830" t="inlineStr">
        <is>
          <t>No</t>
        </is>
      </c>
      <c r="B830" t="inlineStr">
        <is>
          <t>PS3531.A764 F5 1948</t>
        </is>
      </c>
      <c r="C830" t="inlineStr">
        <is>
          <t>0                      PS 3531000A  764                F  5           1948</t>
        </is>
      </c>
      <c r="D830" t="inlineStr">
        <is>
          <t>First will &amp; testament / Kenneth Patchen.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No</t>
        </is>
      </c>
      <c r="J830" t="inlineStr">
        <is>
          <t>0</t>
        </is>
      </c>
      <c r="K830" t="inlineStr">
        <is>
          <t>Patchen, Kenneth, 1911-1972.</t>
        </is>
      </c>
      <c r="L830" t="inlineStr">
        <is>
          <t>New York : Padell, c1948.</t>
        </is>
      </c>
      <c r="M830" t="inlineStr">
        <is>
          <t>1948</t>
        </is>
      </c>
      <c r="O830" t="inlineStr">
        <is>
          <t>eng</t>
        </is>
      </c>
      <c r="P830" t="inlineStr">
        <is>
          <t>nyu</t>
        </is>
      </c>
      <c r="R830" t="inlineStr">
        <is>
          <t xml:space="preserve">PS </t>
        </is>
      </c>
      <c r="S830" t="n">
        <v>2</v>
      </c>
      <c r="T830" t="n">
        <v>2</v>
      </c>
      <c r="U830" t="inlineStr">
        <is>
          <t>1999-07-06</t>
        </is>
      </c>
      <c r="V830" t="inlineStr">
        <is>
          <t>1999-07-06</t>
        </is>
      </c>
      <c r="W830" t="inlineStr">
        <is>
          <t>1997-06-13</t>
        </is>
      </c>
      <c r="X830" t="inlineStr">
        <is>
          <t>1997-06-13</t>
        </is>
      </c>
      <c r="Y830" t="n">
        <v>145</v>
      </c>
      <c r="Z830" t="n">
        <v>123</v>
      </c>
      <c r="AA830" t="n">
        <v>265</v>
      </c>
      <c r="AB830" t="n">
        <v>1</v>
      </c>
      <c r="AC830" t="n">
        <v>3</v>
      </c>
      <c r="AD830" t="n">
        <v>6</v>
      </c>
      <c r="AE830" t="n">
        <v>13</v>
      </c>
      <c r="AF830" t="n">
        <v>2</v>
      </c>
      <c r="AG830" t="n">
        <v>3</v>
      </c>
      <c r="AH830" t="n">
        <v>3</v>
      </c>
      <c r="AI830" t="n">
        <v>5</v>
      </c>
      <c r="AJ830" t="n">
        <v>5</v>
      </c>
      <c r="AK830" t="n">
        <v>9</v>
      </c>
      <c r="AL830" t="n">
        <v>0</v>
      </c>
      <c r="AM830" t="n">
        <v>2</v>
      </c>
      <c r="AN830" t="n">
        <v>0</v>
      </c>
      <c r="AO830" t="n">
        <v>0</v>
      </c>
      <c r="AP830" t="inlineStr">
        <is>
          <t>No</t>
        </is>
      </c>
      <c r="AQ830" t="inlineStr">
        <is>
          <t>No</t>
        </is>
      </c>
      <c r="AR830">
        <f>HYPERLINK("http://catalog.hathitrust.org/Record/001427146","HathiTrust Record")</f>
        <v/>
      </c>
      <c r="AS830">
        <f>HYPERLINK("https://creighton-primo.hosted.exlibrisgroup.com/primo-explore/search?tab=default_tab&amp;search_scope=EVERYTHING&amp;vid=01CRU&amp;lang=en_US&amp;offset=0&amp;query=any,contains,991002212869702656","Catalog Record")</f>
        <v/>
      </c>
      <c r="AT830">
        <f>HYPERLINK("http://www.worldcat.org/oclc/288085","WorldCat Record")</f>
        <v/>
      </c>
      <c r="AU830" t="inlineStr">
        <is>
          <t>1462181:eng</t>
        </is>
      </c>
      <c r="AV830" t="inlineStr">
        <is>
          <t>288085</t>
        </is>
      </c>
      <c r="AW830" t="inlineStr">
        <is>
          <t>991002212869702656</t>
        </is>
      </c>
      <c r="AX830" t="inlineStr">
        <is>
          <t>991002212869702656</t>
        </is>
      </c>
      <c r="AY830" t="inlineStr">
        <is>
          <t>2263925790002656</t>
        </is>
      </c>
      <c r="AZ830" t="inlineStr">
        <is>
          <t>BOOK</t>
        </is>
      </c>
      <c r="BC830" t="inlineStr">
        <is>
          <t>32285002815727</t>
        </is>
      </c>
      <c r="BD830" t="inlineStr">
        <is>
          <t>893433622</t>
        </is>
      </c>
    </row>
    <row r="831">
      <c r="A831" t="inlineStr">
        <is>
          <t>No</t>
        </is>
      </c>
      <c r="B831" t="inlineStr">
        <is>
          <t>PS3531.A843 R4</t>
        </is>
      </c>
      <c r="C831" t="inlineStr">
        <is>
          <t>0                      PS 3531000A  843                R  4</t>
        </is>
      </c>
      <c r="D831" t="inlineStr">
        <is>
          <t>Rebellion, by Joseph Medill Patterson ... illustrated by Walter Dean Goldbeck.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Patterson, Joseph Medill, 1879-1946.</t>
        </is>
      </c>
      <c r="L831" t="inlineStr">
        <is>
          <t>Chicago, The Reilly &amp; Britton Co. [1911]</t>
        </is>
      </c>
      <c r="M831" t="inlineStr">
        <is>
          <t>1911</t>
        </is>
      </c>
      <c r="O831" t="inlineStr">
        <is>
          <t>eng</t>
        </is>
      </c>
      <c r="P831" t="inlineStr">
        <is>
          <t>ilu</t>
        </is>
      </c>
      <c r="R831" t="inlineStr">
        <is>
          <t xml:space="preserve">PS </t>
        </is>
      </c>
      <c r="S831" t="n">
        <v>1</v>
      </c>
      <c r="T831" t="n">
        <v>1</v>
      </c>
      <c r="U831" t="inlineStr">
        <is>
          <t>2003-06-13</t>
        </is>
      </c>
      <c r="V831" t="inlineStr">
        <is>
          <t>2003-06-13</t>
        </is>
      </c>
      <c r="W831" t="inlineStr">
        <is>
          <t>1997-06-13</t>
        </is>
      </c>
      <c r="X831" t="inlineStr">
        <is>
          <t>1997-06-13</t>
        </is>
      </c>
      <c r="Y831" t="n">
        <v>100</v>
      </c>
      <c r="Z831" t="n">
        <v>93</v>
      </c>
      <c r="AA831" t="n">
        <v>118</v>
      </c>
      <c r="AB831" t="n">
        <v>2</v>
      </c>
      <c r="AC831" t="n">
        <v>2</v>
      </c>
      <c r="AD831" t="n">
        <v>2</v>
      </c>
      <c r="AE831" t="n">
        <v>3</v>
      </c>
      <c r="AF831" t="n">
        <v>1</v>
      </c>
      <c r="AG831" t="n">
        <v>1</v>
      </c>
      <c r="AH831" t="n">
        <v>0</v>
      </c>
      <c r="AI831" t="n">
        <v>1</v>
      </c>
      <c r="AJ831" t="n">
        <v>0</v>
      </c>
      <c r="AK831" t="n">
        <v>0</v>
      </c>
      <c r="AL831" t="n">
        <v>1</v>
      </c>
      <c r="AM831" t="n">
        <v>1</v>
      </c>
      <c r="AN831" t="n">
        <v>0</v>
      </c>
      <c r="AO831" t="n">
        <v>0</v>
      </c>
      <c r="AP831" t="inlineStr">
        <is>
          <t>Yes</t>
        </is>
      </c>
      <c r="AQ831" t="inlineStr">
        <is>
          <t>No</t>
        </is>
      </c>
      <c r="AR831">
        <f>HYPERLINK("http://catalog.hathitrust.org/Record/000270630","HathiTrust Record")</f>
        <v/>
      </c>
      <c r="AS831">
        <f>HYPERLINK("https://creighton-primo.hosted.exlibrisgroup.com/primo-explore/search?tab=default_tab&amp;search_scope=EVERYTHING&amp;vid=01CRU&amp;lang=en_US&amp;offset=0&amp;query=any,contains,991003727749702656","Catalog Record")</f>
        <v/>
      </c>
      <c r="AT831">
        <f>HYPERLINK("http://www.worldcat.org/oclc/1376843","WorldCat Record")</f>
        <v/>
      </c>
      <c r="AU831" t="inlineStr">
        <is>
          <t>2297479:eng</t>
        </is>
      </c>
      <c r="AV831" t="inlineStr">
        <is>
          <t>1376843</t>
        </is>
      </c>
      <c r="AW831" t="inlineStr">
        <is>
          <t>991003727749702656</t>
        </is>
      </c>
      <c r="AX831" t="inlineStr">
        <is>
          <t>991003727749702656</t>
        </is>
      </c>
      <c r="AY831" t="inlineStr">
        <is>
          <t>2257283450002656</t>
        </is>
      </c>
      <c r="AZ831" t="inlineStr">
        <is>
          <t>BOOK</t>
        </is>
      </c>
      <c r="BC831" t="inlineStr">
        <is>
          <t>32285002815768</t>
        </is>
      </c>
      <c r="BD831" t="inlineStr">
        <is>
          <t>893324400</t>
        </is>
      </c>
    </row>
    <row r="832">
      <c r="A832" t="inlineStr">
        <is>
          <t>No</t>
        </is>
      </c>
      <c r="B832" t="inlineStr">
        <is>
          <t>PS3531.E6544 Z693 1992</t>
        </is>
      </c>
      <c r="C832" t="inlineStr">
        <is>
          <t>0                      PS 3531000E  6544               Z  693         1992</t>
        </is>
      </c>
      <c r="D832" t="inlineStr">
        <is>
          <t>S.J. Perelman : critical essays / [edited by] Steven H. Gale.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L832" t="inlineStr">
        <is>
          <t>New York : Garland Pub., 1992.</t>
        </is>
      </c>
      <c r="M832" t="inlineStr">
        <is>
          <t>1992</t>
        </is>
      </c>
      <c r="O832" t="inlineStr">
        <is>
          <t>eng</t>
        </is>
      </c>
      <c r="P832" t="inlineStr">
        <is>
          <t>nyu</t>
        </is>
      </c>
      <c r="Q832" t="inlineStr">
        <is>
          <t>Garland studies in humor ; v. 1</t>
        </is>
      </c>
      <c r="R832" t="inlineStr">
        <is>
          <t xml:space="preserve">PS </t>
        </is>
      </c>
      <c r="S832" t="n">
        <v>2</v>
      </c>
      <c r="T832" t="n">
        <v>2</v>
      </c>
      <c r="U832" t="inlineStr">
        <is>
          <t>1993-12-17</t>
        </is>
      </c>
      <c r="V832" t="inlineStr">
        <is>
          <t>1993-12-17</t>
        </is>
      </c>
      <c r="W832" t="inlineStr">
        <is>
          <t>1993-11-29</t>
        </is>
      </c>
      <c r="X832" t="inlineStr">
        <is>
          <t>1993-11-29</t>
        </is>
      </c>
      <c r="Y832" t="n">
        <v>142</v>
      </c>
      <c r="Z832" t="n">
        <v>111</v>
      </c>
      <c r="AA832" t="n">
        <v>151</v>
      </c>
      <c r="AB832" t="n">
        <v>2</v>
      </c>
      <c r="AC832" t="n">
        <v>2</v>
      </c>
      <c r="AD832" t="n">
        <v>2</v>
      </c>
      <c r="AE832" t="n">
        <v>2</v>
      </c>
      <c r="AF832" t="n">
        <v>0</v>
      </c>
      <c r="AG832" t="n">
        <v>0</v>
      </c>
      <c r="AH832" t="n">
        <v>0</v>
      </c>
      <c r="AI832" t="n">
        <v>0</v>
      </c>
      <c r="AJ832" t="n">
        <v>1</v>
      </c>
      <c r="AK832" t="n">
        <v>1</v>
      </c>
      <c r="AL832" t="n">
        <v>1</v>
      </c>
      <c r="AM832" t="n">
        <v>1</v>
      </c>
      <c r="AN832" t="n">
        <v>0</v>
      </c>
      <c r="AO832" t="n">
        <v>0</v>
      </c>
      <c r="AP832" t="inlineStr">
        <is>
          <t>No</t>
        </is>
      </c>
      <c r="AQ832" t="inlineStr">
        <is>
          <t>No</t>
        </is>
      </c>
      <c r="AS832">
        <f>HYPERLINK("https://creighton-primo.hosted.exlibrisgroup.com/primo-explore/search?tab=default_tab&amp;search_scope=EVERYTHING&amp;vid=01CRU&amp;lang=en_US&amp;offset=0&amp;query=any,contains,991001890349702656","Catalog Record")</f>
        <v/>
      </c>
      <c r="AT832">
        <f>HYPERLINK("http://www.worldcat.org/oclc/23868547","WorldCat Record")</f>
        <v/>
      </c>
      <c r="AU832" t="inlineStr">
        <is>
          <t>2287278933:eng</t>
        </is>
      </c>
      <c r="AV832" t="inlineStr">
        <is>
          <t>23868547</t>
        </is>
      </c>
      <c r="AW832" t="inlineStr">
        <is>
          <t>991001890349702656</t>
        </is>
      </c>
      <c r="AX832" t="inlineStr">
        <is>
          <t>991001890349702656</t>
        </is>
      </c>
      <c r="AY832" t="inlineStr">
        <is>
          <t>2269561610002656</t>
        </is>
      </c>
      <c r="AZ832" t="inlineStr">
        <is>
          <t>BOOK</t>
        </is>
      </c>
      <c r="BB832" t="inlineStr">
        <is>
          <t>9780824034221</t>
        </is>
      </c>
      <c r="BC832" t="inlineStr">
        <is>
          <t>32285001812782</t>
        </is>
      </c>
      <c r="BD832" t="inlineStr">
        <is>
          <t>893529312</t>
        </is>
      </c>
    </row>
    <row r="833">
      <c r="A833" t="inlineStr">
        <is>
          <t>No</t>
        </is>
      </c>
      <c r="B833" t="inlineStr">
        <is>
          <t>PS3531.E8 H3</t>
        </is>
      </c>
      <c r="C833" t="inlineStr">
        <is>
          <t>0                      PS 3531000E  8                  H  3</t>
        </is>
      </c>
      <c r="D833" t="inlineStr">
        <is>
          <t>Harriet Tubman, conductor on the Underground Railroad.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Petry, Ann, 1908-1997.</t>
        </is>
      </c>
      <c r="L833" t="inlineStr">
        <is>
          <t>New York : Crowell, [1955]</t>
        </is>
      </c>
      <c r="M833" t="inlineStr">
        <is>
          <t>1955</t>
        </is>
      </c>
      <c r="O833" t="inlineStr">
        <is>
          <t>eng</t>
        </is>
      </c>
      <c r="P833" t="inlineStr">
        <is>
          <t>nyu</t>
        </is>
      </c>
      <c r="R833" t="inlineStr">
        <is>
          <t xml:space="preserve">PS </t>
        </is>
      </c>
      <c r="S833" t="n">
        <v>13</v>
      </c>
      <c r="T833" t="n">
        <v>13</v>
      </c>
      <c r="U833" t="inlineStr">
        <is>
          <t>2003-03-26</t>
        </is>
      </c>
      <c r="V833" t="inlineStr">
        <is>
          <t>2003-03-26</t>
        </is>
      </c>
      <c r="W833" t="inlineStr">
        <is>
          <t>1990-03-01</t>
        </is>
      </c>
      <c r="X833" t="inlineStr">
        <is>
          <t>1990-03-01</t>
        </is>
      </c>
      <c r="Y833" t="n">
        <v>1213</v>
      </c>
      <c r="Z833" t="n">
        <v>1191</v>
      </c>
      <c r="AA833" t="n">
        <v>2214</v>
      </c>
      <c r="AB833" t="n">
        <v>9</v>
      </c>
      <c r="AC833" t="n">
        <v>22</v>
      </c>
      <c r="AD833" t="n">
        <v>17</v>
      </c>
      <c r="AE833" t="n">
        <v>26</v>
      </c>
      <c r="AF833" t="n">
        <v>6</v>
      </c>
      <c r="AG833" t="n">
        <v>9</v>
      </c>
      <c r="AH833" t="n">
        <v>4</v>
      </c>
      <c r="AI833" t="n">
        <v>6</v>
      </c>
      <c r="AJ833" t="n">
        <v>7</v>
      </c>
      <c r="AK833" t="n">
        <v>9</v>
      </c>
      <c r="AL833" t="n">
        <v>3</v>
      </c>
      <c r="AM833" t="n">
        <v>7</v>
      </c>
      <c r="AN833" t="n">
        <v>0</v>
      </c>
      <c r="AO833" t="n">
        <v>0</v>
      </c>
      <c r="AP833" t="inlineStr">
        <is>
          <t>No</t>
        </is>
      </c>
      <c r="AQ833" t="inlineStr">
        <is>
          <t>Yes</t>
        </is>
      </c>
      <c r="AR833">
        <f>HYPERLINK("http://catalog.hathitrust.org/Record/001113222","HathiTrust Record")</f>
        <v/>
      </c>
      <c r="AS833">
        <f>HYPERLINK("https://creighton-primo.hosted.exlibrisgroup.com/primo-explore/search?tab=default_tab&amp;search_scope=EVERYTHING&amp;vid=01CRU&amp;lang=en_US&amp;offset=0&amp;query=any,contains,991001532279702656","Catalog Record")</f>
        <v/>
      </c>
      <c r="AT833">
        <f>HYPERLINK("http://www.worldcat.org/oclc/232342","WorldCat Record")</f>
        <v/>
      </c>
      <c r="AU833" t="inlineStr">
        <is>
          <t>114191455:eng</t>
        </is>
      </c>
      <c r="AV833" t="inlineStr">
        <is>
          <t>232342</t>
        </is>
      </c>
      <c r="AW833" t="inlineStr">
        <is>
          <t>991001532279702656</t>
        </is>
      </c>
      <c r="AX833" t="inlineStr">
        <is>
          <t>991001532279702656</t>
        </is>
      </c>
      <c r="AY833" t="inlineStr">
        <is>
          <t>2258561630002656</t>
        </is>
      </c>
      <c r="AZ833" t="inlineStr">
        <is>
          <t>BOOK</t>
        </is>
      </c>
      <c r="BC833" t="inlineStr">
        <is>
          <t>32285000063379</t>
        </is>
      </c>
      <c r="BD833" t="inlineStr">
        <is>
          <t>893420391</t>
        </is>
      </c>
    </row>
    <row r="834">
      <c r="A834" t="inlineStr">
        <is>
          <t>No</t>
        </is>
      </c>
      <c r="B834" t="inlineStr">
        <is>
          <t>PS3531.O7345 Z77</t>
        </is>
      </c>
      <c r="C834" t="inlineStr">
        <is>
          <t>0                      PS 3531000O  7345               Z  77</t>
        </is>
      </c>
      <c r="D834" t="inlineStr">
        <is>
          <t>Gene Stratton Porter / by Bertrand F. Richards.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Richards, Bertrand F.</t>
        </is>
      </c>
      <c r="L834" t="inlineStr">
        <is>
          <t>Boston : Twayne Publishers, [1980]</t>
        </is>
      </c>
      <c r="M834" t="inlineStr">
        <is>
          <t>1980</t>
        </is>
      </c>
      <c r="O834" t="inlineStr">
        <is>
          <t>eng</t>
        </is>
      </c>
      <c r="P834" t="inlineStr">
        <is>
          <t>mau</t>
        </is>
      </c>
      <c r="Q834" t="inlineStr">
        <is>
          <t>Twayne's United States authors series ; TUSAS 364</t>
        </is>
      </c>
      <c r="R834" t="inlineStr">
        <is>
          <t xml:space="preserve">PS </t>
        </is>
      </c>
      <c r="S834" t="n">
        <v>1</v>
      </c>
      <c r="T834" t="n">
        <v>1</v>
      </c>
      <c r="U834" t="inlineStr">
        <is>
          <t>2002-03-21</t>
        </is>
      </c>
      <c r="V834" t="inlineStr">
        <is>
          <t>2002-03-21</t>
        </is>
      </c>
      <c r="W834" t="inlineStr">
        <is>
          <t>1990-11-26</t>
        </is>
      </c>
      <c r="X834" t="inlineStr">
        <is>
          <t>1990-11-26</t>
        </is>
      </c>
      <c r="Y834" t="n">
        <v>569</v>
      </c>
      <c r="Z834" t="n">
        <v>512</v>
      </c>
      <c r="AA834" t="n">
        <v>519</v>
      </c>
      <c r="AB834" t="n">
        <v>6</v>
      </c>
      <c r="AC834" t="n">
        <v>6</v>
      </c>
      <c r="AD834" t="n">
        <v>23</v>
      </c>
      <c r="AE834" t="n">
        <v>23</v>
      </c>
      <c r="AF834" t="n">
        <v>7</v>
      </c>
      <c r="AG834" t="n">
        <v>7</v>
      </c>
      <c r="AH834" t="n">
        <v>4</v>
      </c>
      <c r="AI834" t="n">
        <v>4</v>
      </c>
      <c r="AJ834" t="n">
        <v>14</v>
      </c>
      <c r="AK834" t="n">
        <v>14</v>
      </c>
      <c r="AL834" t="n">
        <v>4</v>
      </c>
      <c r="AM834" t="n">
        <v>4</v>
      </c>
      <c r="AN834" t="n">
        <v>0</v>
      </c>
      <c r="AO834" t="n">
        <v>0</v>
      </c>
      <c r="AP834" t="inlineStr">
        <is>
          <t>No</t>
        </is>
      </c>
      <c r="AQ834" t="inlineStr">
        <is>
          <t>Yes</t>
        </is>
      </c>
      <c r="AR834">
        <f>HYPERLINK("http://catalog.hathitrust.org/Record/000703593","HathiTrust Record")</f>
        <v/>
      </c>
      <c r="AS834">
        <f>HYPERLINK("https://creighton-primo.hosted.exlibrisgroup.com/primo-explore/search?tab=default_tab&amp;search_scope=EVERYTHING&amp;vid=01CRU&amp;lang=en_US&amp;offset=0&amp;query=any,contains,991004864069702656","Catalog Record")</f>
        <v/>
      </c>
      <c r="AT834">
        <f>HYPERLINK("http://www.worldcat.org/oclc/5725978","WorldCat Record")</f>
        <v/>
      </c>
      <c r="AU834" t="inlineStr">
        <is>
          <t>19884107:eng</t>
        </is>
      </c>
      <c r="AV834" t="inlineStr">
        <is>
          <t>5725978</t>
        </is>
      </c>
      <c r="AW834" t="inlineStr">
        <is>
          <t>991004864069702656</t>
        </is>
      </c>
      <c r="AX834" t="inlineStr">
        <is>
          <t>991004864069702656</t>
        </is>
      </c>
      <c r="AY834" t="inlineStr">
        <is>
          <t>2262287760002656</t>
        </is>
      </c>
      <c r="AZ834" t="inlineStr">
        <is>
          <t>BOOK</t>
        </is>
      </c>
      <c r="BB834" t="inlineStr">
        <is>
          <t>9780805773040</t>
        </is>
      </c>
      <c r="BC834" t="inlineStr">
        <is>
          <t>32285000416510</t>
        </is>
      </c>
      <c r="BD834" t="inlineStr">
        <is>
          <t>893344350</t>
        </is>
      </c>
    </row>
    <row r="835">
      <c r="A835" t="inlineStr">
        <is>
          <t>No</t>
        </is>
      </c>
      <c r="B835" t="inlineStr">
        <is>
          <t>PS3531.O752 A6 1970</t>
        </is>
      </c>
      <c r="C835" t="inlineStr">
        <is>
          <t>0                      PS 3531000O  752                A  6           1970</t>
        </is>
      </c>
      <c r="D835" t="inlineStr">
        <is>
          <t>The collected essays and occasional writings of Katherine Anne Porter.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Porter, Katherine Anne, 1890-1980.</t>
        </is>
      </c>
      <c r="L835" t="inlineStr">
        <is>
          <t>New York : Delacorte Press, [1970]</t>
        </is>
      </c>
      <c r="M835" t="inlineStr">
        <is>
          <t>1970</t>
        </is>
      </c>
      <c r="O835" t="inlineStr">
        <is>
          <t>eng</t>
        </is>
      </c>
      <c r="P835" t="inlineStr">
        <is>
          <t>nyu</t>
        </is>
      </c>
      <c r="R835" t="inlineStr">
        <is>
          <t xml:space="preserve">PS </t>
        </is>
      </c>
      <c r="S835" t="n">
        <v>5</v>
      </c>
      <c r="T835" t="n">
        <v>5</v>
      </c>
      <c r="U835" t="inlineStr">
        <is>
          <t>1998-09-14</t>
        </is>
      </c>
      <c r="V835" t="inlineStr">
        <is>
          <t>1998-09-14</t>
        </is>
      </c>
      <c r="W835" t="inlineStr">
        <is>
          <t>1994-04-27</t>
        </is>
      </c>
      <c r="X835" t="inlineStr">
        <is>
          <t>1994-04-27</t>
        </is>
      </c>
      <c r="Y835" t="n">
        <v>1576</v>
      </c>
      <c r="Z835" t="n">
        <v>1454</v>
      </c>
      <c r="AA835" t="n">
        <v>1557</v>
      </c>
      <c r="AB835" t="n">
        <v>12</v>
      </c>
      <c r="AC835" t="n">
        <v>13</v>
      </c>
      <c r="AD835" t="n">
        <v>50</v>
      </c>
      <c r="AE835" t="n">
        <v>54</v>
      </c>
      <c r="AF835" t="n">
        <v>24</v>
      </c>
      <c r="AG835" t="n">
        <v>25</v>
      </c>
      <c r="AH835" t="n">
        <v>9</v>
      </c>
      <c r="AI835" t="n">
        <v>10</v>
      </c>
      <c r="AJ835" t="n">
        <v>20</v>
      </c>
      <c r="AK835" t="n">
        <v>21</v>
      </c>
      <c r="AL835" t="n">
        <v>10</v>
      </c>
      <c r="AM835" t="n">
        <v>11</v>
      </c>
      <c r="AN835" t="n">
        <v>0</v>
      </c>
      <c r="AO835" t="n">
        <v>0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HYPERLINK("http://catalog.hathitrust.org/Record/001029125","HathiTrust Record")</f>
        <v/>
      </c>
      <c r="AS835">
        <f>HYPERLINK("https://creighton-primo.hosted.exlibrisgroup.com/primo-explore/search?tab=default_tab&amp;search_scope=EVERYTHING&amp;vid=01CRU&amp;lang=en_US&amp;offset=0&amp;query=any,contains,991000209049702656","Catalog Record")</f>
        <v/>
      </c>
      <c r="AT835">
        <f>HYPERLINK("http://www.worldcat.org/oclc/66040","WorldCat Record")</f>
        <v/>
      </c>
      <c r="AU835" t="inlineStr">
        <is>
          <t>1231476:eng</t>
        </is>
      </c>
      <c r="AV835" t="inlineStr">
        <is>
          <t>66040</t>
        </is>
      </c>
      <c r="AW835" t="inlineStr">
        <is>
          <t>991000209049702656</t>
        </is>
      </c>
      <c r="AX835" t="inlineStr">
        <is>
          <t>991000209049702656</t>
        </is>
      </c>
      <c r="AY835" t="inlineStr">
        <is>
          <t>2258753410002656</t>
        </is>
      </c>
      <c r="AZ835" t="inlineStr">
        <is>
          <t>BOOK</t>
        </is>
      </c>
      <c r="BC835" t="inlineStr">
        <is>
          <t>32285001893329</t>
        </is>
      </c>
      <c r="BD835" t="inlineStr">
        <is>
          <t>893601580</t>
        </is>
      </c>
    </row>
    <row r="836">
      <c r="A836" t="inlineStr">
        <is>
          <t>No</t>
        </is>
      </c>
      <c r="B836" t="inlineStr">
        <is>
          <t>PS3531.O752 Z64 1982</t>
        </is>
      </c>
      <c r="C836" t="inlineStr">
        <is>
          <t>0                      PS 3531000O  752                Z  64          1982</t>
        </is>
      </c>
      <c r="D836" t="inlineStr">
        <is>
          <t>Katherine Anne Porter : a life / Joan Givner.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K836" t="inlineStr">
        <is>
          <t>Givner, Joan, 1936-</t>
        </is>
      </c>
      <c r="L836" t="inlineStr">
        <is>
          <t>New York : Simon and Schuster, c1982.</t>
        </is>
      </c>
      <c r="M836" t="inlineStr">
        <is>
          <t>1982</t>
        </is>
      </c>
      <c r="O836" t="inlineStr">
        <is>
          <t>eng</t>
        </is>
      </c>
      <c r="P836" t="inlineStr">
        <is>
          <t>nyu</t>
        </is>
      </c>
      <c r="R836" t="inlineStr">
        <is>
          <t xml:space="preserve">PS </t>
        </is>
      </c>
      <c r="S836" t="n">
        <v>9</v>
      </c>
      <c r="T836" t="n">
        <v>9</v>
      </c>
      <c r="U836" t="inlineStr">
        <is>
          <t>1996-02-21</t>
        </is>
      </c>
      <c r="V836" t="inlineStr">
        <is>
          <t>1996-02-21</t>
        </is>
      </c>
      <c r="W836" t="inlineStr">
        <is>
          <t>1990-11-26</t>
        </is>
      </c>
      <c r="X836" t="inlineStr">
        <is>
          <t>1990-11-26</t>
        </is>
      </c>
      <c r="Y836" t="n">
        <v>1619</v>
      </c>
      <c r="Z836" t="n">
        <v>1497</v>
      </c>
      <c r="AA836" t="n">
        <v>1663</v>
      </c>
      <c r="AB836" t="n">
        <v>15</v>
      </c>
      <c r="AC836" t="n">
        <v>16</v>
      </c>
      <c r="AD836" t="n">
        <v>46</v>
      </c>
      <c r="AE836" t="n">
        <v>49</v>
      </c>
      <c r="AF836" t="n">
        <v>21</v>
      </c>
      <c r="AG836" t="n">
        <v>22</v>
      </c>
      <c r="AH836" t="n">
        <v>8</v>
      </c>
      <c r="AI836" t="n">
        <v>9</v>
      </c>
      <c r="AJ836" t="n">
        <v>16</v>
      </c>
      <c r="AK836" t="n">
        <v>19</v>
      </c>
      <c r="AL836" t="n">
        <v>12</v>
      </c>
      <c r="AM836" t="n">
        <v>12</v>
      </c>
      <c r="AN836" t="n">
        <v>0</v>
      </c>
      <c r="AO836" t="n">
        <v>0</v>
      </c>
      <c r="AP836" t="inlineStr">
        <is>
          <t>No</t>
        </is>
      </c>
      <c r="AQ836" t="inlineStr">
        <is>
          <t>No</t>
        </is>
      </c>
      <c r="AS836">
        <f>HYPERLINK("https://creighton-primo.hosted.exlibrisgroup.com/primo-explore/search?tab=default_tab&amp;search_scope=EVERYTHING&amp;vid=01CRU&amp;lang=en_US&amp;offset=0&amp;query=any,contains,991000044729702656","Catalog Record")</f>
        <v/>
      </c>
      <c r="AT836">
        <f>HYPERLINK("http://www.worldcat.org/oclc/8667791","WorldCat Record")</f>
        <v/>
      </c>
      <c r="AU836" t="inlineStr">
        <is>
          <t>3855292020:eng</t>
        </is>
      </c>
      <c r="AV836" t="inlineStr">
        <is>
          <t>8667791</t>
        </is>
      </c>
      <c r="AW836" t="inlineStr">
        <is>
          <t>991000044729702656</t>
        </is>
      </c>
      <c r="AX836" t="inlineStr">
        <is>
          <t>991000044729702656</t>
        </is>
      </c>
      <c r="AY836" t="inlineStr">
        <is>
          <t>2270986500002656</t>
        </is>
      </c>
      <c r="AZ836" t="inlineStr">
        <is>
          <t>BOOK</t>
        </is>
      </c>
      <c r="BB836" t="inlineStr">
        <is>
          <t>9780671432072</t>
        </is>
      </c>
      <c r="BC836" t="inlineStr">
        <is>
          <t>32285000416544</t>
        </is>
      </c>
      <c r="BD836" t="inlineStr">
        <is>
          <t>893865027</t>
        </is>
      </c>
    </row>
    <row r="837">
      <c r="A837" t="inlineStr">
        <is>
          <t>No</t>
        </is>
      </c>
      <c r="B837" t="inlineStr">
        <is>
          <t>PS3531.O752 Z683 1988</t>
        </is>
      </c>
      <c r="C837" t="inlineStr">
        <is>
          <t>0                      PS 3531000O  752                Z  683         1988</t>
        </is>
      </c>
      <c r="D837" t="inlineStr">
        <is>
          <t>Katherine Anne Porter.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Yes</t>
        </is>
      </c>
      <c r="J837" t="inlineStr">
        <is>
          <t>0</t>
        </is>
      </c>
      <c r="K837" t="inlineStr">
        <is>
          <t>Hendrick, Willene, 1928-2010.</t>
        </is>
      </c>
      <c r="L837" t="inlineStr">
        <is>
          <t>Boston : Twayne Publishers, c1988.</t>
        </is>
      </c>
      <c r="M837" t="inlineStr">
        <is>
          <t>1988</t>
        </is>
      </c>
      <c r="N837" t="inlineStr">
        <is>
          <t>Rev. ed. / by Willene Hendrick and George Hendrick.</t>
        </is>
      </c>
      <c r="O837" t="inlineStr">
        <is>
          <t>eng</t>
        </is>
      </c>
      <c r="P837" t="inlineStr">
        <is>
          <t>mau</t>
        </is>
      </c>
      <c r="Q837" t="inlineStr">
        <is>
          <t>Twayne's United States authors series ; TUSAS 90</t>
        </is>
      </c>
      <c r="R837" t="inlineStr">
        <is>
          <t xml:space="preserve">PS </t>
        </is>
      </c>
      <c r="S837" t="n">
        <v>7</v>
      </c>
      <c r="T837" t="n">
        <v>7</v>
      </c>
      <c r="U837" t="inlineStr">
        <is>
          <t>1995-04-01</t>
        </is>
      </c>
      <c r="V837" t="inlineStr">
        <is>
          <t>1995-04-01</t>
        </is>
      </c>
      <c r="W837" t="inlineStr">
        <is>
          <t>1990-11-29</t>
        </is>
      </c>
      <c r="X837" t="inlineStr">
        <is>
          <t>1990-11-29</t>
        </is>
      </c>
      <c r="Y837" t="n">
        <v>947</v>
      </c>
      <c r="Z837" t="n">
        <v>861</v>
      </c>
      <c r="AA837" t="n">
        <v>2000</v>
      </c>
      <c r="AB837" t="n">
        <v>9</v>
      </c>
      <c r="AC837" t="n">
        <v>21</v>
      </c>
      <c r="AD837" t="n">
        <v>26</v>
      </c>
      <c r="AE837" t="n">
        <v>56</v>
      </c>
      <c r="AF837" t="n">
        <v>8</v>
      </c>
      <c r="AG837" t="n">
        <v>23</v>
      </c>
      <c r="AH837" t="n">
        <v>3</v>
      </c>
      <c r="AI837" t="n">
        <v>8</v>
      </c>
      <c r="AJ837" t="n">
        <v>15</v>
      </c>
      <c r="AK837" t="n">
        <v>23</v>
      </c>
      <c r="AL837" t="n">
        <v>6</v>
      </c>
      <c r="AM837" t="n">
        <v>14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HYPERLINK("http://catalog.hathitrust.org/Record/000877202","HathiTrust Record")</f>
        <v/>
      </c>
      <c r="AS837">
        <f>HYPERLINK("https://creighton-primo.hosted.exlibrisgroup.com/primo-explore/search?tab=default_tab&amp;search_scope=EVERYTHING&amp;vid=01CRU&amp;lang=en_US&amp;offset=0&amp;query=any,contains,991001111379702656","Catalog Record")</f>
        <v/>
      </c>
      <c r="AT837">
        <f>HYPERLINK("http://www.worldcat.org/oclc/16469038","WorldCat Record")</f>
        <v/>
      </c>
      <c r="AU837" t="inlineStr">
        <is>
          <t>3855459728:eng</t>
        </is>
      </c>
      <c r="AV837" t="inlineStr">
        <is>
          <t>16469038</t>
        </is>
      </c>
      <c r="AW837" t="inlineStr">
        <is>
          <t>991001111379702656</t>
        </is>
      </c>
      <c r="AX837" t="inlineStr">
        <is>
          <t>991001111379702656</t>
        </is>
      </c>
      <c r="AY837" t="inlineStr">
        <is>
          <t>2267493610002656</t>
        </is>
      </c>
      <c r="AZ837" t="inlineStr">
        <is>
          <t>BOOK</t>
        </is>
      </c>
      <c r="BB837" t="inlineStr">
        <is>
          <t>9780805775136</t>
        </is>
      </c>
      <c r="BC837" t="inlineStr">
        <is>
          <t>32285000417377</t>
        </is>
      </c>
      <c r="BD837" t="inlineStr">
        <is>
          <t>893891317</t>
        </is>
      </c>
    </row>
    <row r="838">
      <c r="A838" t="inlineStr">
        <is>
          <t>No</t>
        </is>
      </c>
      <c r="B838" t="inlineStr">
        <is>
          <t>PS3531.O82 C2838 1985</t>
        </is>
      </c>
      <c r="C838" t="inlineStr">
        <is>
          <t>0                      PS 3531000O  82                 C  2838        1985</t>
        </is>
      </c>
      <c r="D838" t="inlineStr">
        <is>
          <t>A guide to the Cantos of Ezra Pound / William Cookson.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Cookson, William, 1939-</t>
        </is>
      </c>
      <c r="L838" t="inlineStr">
        <is>
          <t>New York : Persea Books, c1985.</t>
        </is>
      </c>
      <c r="M838" t="inlineStr">
        <is>
          <t>1985</t>
        </is>
      </c>
      <c r="O838" t="inlineStr">
        <is>
          <t>eng</t>
        </is>
      </c>
      <c r="P838" t="inlineStr">
        <is>
          <t>nyu</t>
        </is>
      </c>
      <c r="Q838" t="inlineStr">
        <is>
          <t>Lamplighter titles</t>
        </is>
      </c>
      <c r="R838" t="inlineStr">
        <is>
          <t xml:space="preserve">PS </t>
        </is>
      </c>
      <c r="S838" t="n">
        <v>9</v>
      </c>
      <c r="T838" t="n">
        <v>9</v>
      </c>
      <c r="U838" t="inlineStr">
        <is>
          <t>2003-11-30</t>
        </is>
      </c>
      <c r="V838" t="inlineStr">
        <is>
          <t>2003-11-30</t>
        </is>
      </c>
      <c r="W838" t="inlineStr">
        <is>
          <t>1990-11-26</t>
        </is>
      </c>
      <c r="X838" t="inlineStr">
        <is>
          <t>1990-11-26</t>
        </is>
      </c>
      <c r="Y838" t="n">
        <v>569</v>
      </c>
      <c r="Z838" t="n">
        <v>517</v>
      </c>
      <c r="AA838" t="n">
        <v>640</v>
      </c>
      <c r="AB838" t="n">
        <v>2</v>
      </c>
      <c r="AC838" t="n">
        <v>4</v>
      </c>
      <c r="AD838" t="n">
        <v>23</v>
      </c>
      <c r="AE838" t="n">
        <v>32</v>
      </c>
      <c r="AF838" t="n">
        <v>10</v>
      </c>
      <c r="AG838" t="n">
        <v>14</v>
      </c>
      <c r="AH838" t="n">
        <v>6</v>
      </c>
      <c r="AI838" t="n">
        <v>7</v>
      </c>
      <c r="AJ838" t="n">
        <v>12</v>
      </c>
      <c r="AK838" t="n">
        <v>17</v>
      </c>
      <c r="AL838" t="n">
        <v>1</v>
      </c>
      <c r="AM838" t="n">
        <v>3</v>
      </c>
      <c r="AN838" t="n">
        <v>0</v>
      </c>
      <c r="AO838" t="n">
        <v>0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HYPERLINK("https://creighton-primo.hosted.exlibrisgroup.com/primo-explore/search?tab=default_tab&amp;search_scope=EVERYTHING&amp;vid=01CRU&amp;lang=en_US&amp;offset=0&amp;query=any,contains,991000635239702656","Catalog Record")</f>
        <v/>
      </c>
      <c r="AT838">
        <f>HYPERLINK("http://www.worldcat.org/oclc/12080336","WorldCat Record")</f>
        <v/>
      </c>
      <c r="AU838" t="inlineStr">
        <is>
          <t>4694835:eng</t>
        </is>
      </c>
      <c r="AV838" t="inlineStr">
        <is>
          <t>12080336</t>
        </is>
      </c>
      <c r="AW838" t="inlineStr">
        <is>
          <t>991000635239702656</t>
        </is>
      </c>
      <c r="AX838" t="inlineStr">
        <is>
          <t>991000635239702656</t>
        </is>
      </c>
      <c r="AY838" t="inlineStr">
        <is>
          <t>2267819080002656</t>
        </is>
      </c>
      <c r="AZ838" t="inlineStr">
        <is>
          <t>BOOK</t>
        </is>
      </c>
      <c r="BB838" t="inlineStr">
        <is>
          <t>9780892550821</t>
        </is>
      </c>
      <c r="BC838" t="inlineStr">
        <is>
          <t>32285000416577</t>
        </is>
      </c>
      <c r="BD838" t="inlineStr">
        <is>
          <t>893351598</t>
        </is>
      </c>
    </row>
    <row r="839">
      <c r="A839" t="inlineStr">
        <is>
          <t>No</t>
        </is>
      </c>
      <c r="B839" t="inlineStr">
        <is>
          <t>PS3531.O82 C2844 1971</t>
        </is>
      </c>
      <c r="C839" t="inlineStr">
        <is>
          <t>0                      PS 3531000O  82                 C  2844        1971</t>
        </is>
      </c>
      <c r="D839" t="inlineStr">
        <is>
          <t>Annotated index to the Cantos of Ezra Pound; cantos I-LXXXIV / by John Hamilton Edwards and William W. Vasse, with the assistance of John J. Espey and Frederic Peachy.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Edwards, John Hamilton, 1922-, compiler.</t>
        </is>
      </c>
      <c r="L839" t="inlineStr">
        <is>
          <t>Berkeley : University of California Press, 1971, c1957.</t>
        </is>
      </c>
      <c r="M839" t="inlineStr">
        <is>
          <t>1971</t>
        </is>
      </c>
      <c r="O839" t="inlineStr">
        <is>
          <t>eng</t>
        </is>
      </c>
      <c r="P839" t="inlineStr">
        <is>
          <t>___</t>
        </is>
      </c>
      <c r="Q839" t="inlineStr">
        <is>
          <t>California library reprint series ; edition 1971</t>
        </is>
      </c>
      <c r="R839" t="inlineStr">
        <is>
          <t xml:space="preserve">PS </t>
        </is>
      </c>
      <c r="S839" t="n">
        <v>3</v>
      </c>
      <c r="T839" t="n">
        <v>3</v>
      </c>
      <c r="U839" t="inlineStr">
        <is>
          <t>2000-11-13</t>
        </is>
      </c>
      <c r="V839" t="inlineStr">
        <is>
          <t>2000-11-13</t>
        </is>
      </c>
      <c r="W839" t="inlineStr">
        <is>
          <t>1990-11-26</t>
        </is>
      </c>
      <c r="X839" t="inlineStr">
        <is>
          <t>1990-11-26</t>
        </is>
      </c>
      <c r="Y839" t="n">
        <v>264</v>
      </c>
      <c r="Z839" t="n">
        <v>222</v>
      </c>
      <c r="AA839" t="n">
        <v>525</v>
      </c>
      <c r="AB839" t="n">
        <v>3</v>
      </c>
      <c r="AC839" t="n">
        <v>5</v>
      </c>
      <c r="AD839" t="n">
        <v>10</v>
      </c>
      <c r="AE839" t="n">
        <v>25</v>
      </c>
      <c r="AF839" t="n">
        <v>4</v>
      </c>
      <c r="AG839" t="n">
        <v>8</v>
      </c>
      <c r="AH839" t="n">
        <v>3</v>
      </c>
      <c r="AI839" t="n">
        <v>5</v>
      </c>
      <c r="AJ839" t="n">
        <v>5</v>
      </c>
      <c r="AK839" t="n">
        <v>15</v>
      </c>
      <c r="AL839" t="n">
        <v>2</v>
      </c>
      <c r="AM839" t="n">
        <v>4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HYPERLINK("https://creighton-primo.hosted.exlibrisgroup.com/primo-explore/search?tab=default_tab&amp;search_scope=EVERYTHING&amp;vid=01CRU&amp;lang=en_US&amp;offset=0&amp;query=any,contains,991002371139702656","Catalog Record")</f>
        <v/>
      </c>
      <c r="AT839">
        <f>HYPERLINK("http://www.worldcat.org/oclc/1961441","WorldCat Record")</f>
        <v/>
      </c>
      <c r="AU839" t="inlineStr">
        <is>
          <t>1417973:eng</t>
        </is>
      </c>
      <c r="AV839" t="inlineStr">
        <is>
          <t>1961441</t>
        </is>
      </c>
      <c r="AW839" t="inlineStr">
        <is>
          <t>991002371139702656</t>
        </is>
      </c>
      <c r="AX839" t="inlineStr">
        <is>
          <t>991002371139702656</t>
        </is>
      </c>
      <c r="AY839" t="inlineStr">
        <is>
          <t>2271993620002656</t>
        </is>
      </c>
      <c r="AZ839" t="inlineStr">
        <is>
          <t>BOOK</t>
        </is>
      </c>
      <c r="BC839" t="inlineStr">
        <is>
          <t>32285000416585</t>
        </is>
      </c>
      <c r="BD839" t="inlineStr">
        <is>
          <t>893792379</t>
        </is>
      </c>
    </row>
    <row r="840">
      <c r="A840" t="inlineStr">
        <is>
          <t>No</t>
        </is>
      </c>
      <c r="B840" t="inlineStr">
        <is>
          <t>PS3531.O82 C2846 1983</t>
        </is>
      </c>
      <c r="C840" t="inlineStr">
        <is>
          <t>0                      PS 3531000O  82                 C  2846        1983</t>
        </is>
      </c>
      <c r="D840" t="inlineStr">
        <is>
          <t>Paradise &amp; Ezra Pound : the poet as shaman / Scott Eastham.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Eastham, Scott, 1949-2013.</t>
        </is>
      </c>
      <c r="L840" t="inlineStr">
        <is>
          <t>Lanham, MD : University Press of America, c1983.</t>
        </is>
      </c>
      <c r="M840" t="inlineStr">
        <is>
          <t>1983</t>
        </is>
      </c>
      <c r="O840" t="inlineStr">
        <is>
          <t>eng</t>
        </is>
      </c>
      <c r="P840" t="inlineStr">
        <is>
          <t>mdu</t>
        </is>
      </c>
      <c r="R840" t="inlineStr">
        <is>
          <t xml:space="preserve">PS </t>
        </is>
      </c>
      <c r="S840" t="n">
        <v>3</v>
      </c>
      <c r="T840" t="n">
        <v>3</v>
      </c>
      <c r="U840" t="inlineStr">
        <is>
          <t>2000-11-13</t>
        </is>
      </c>
      <c r="V840" t="inlineStr">
        <is>
          <t>2000-11-13</t>
        </is>
      </c>
      <c r="W840" t="inlineStr">
        <is>
          <t>1990-11-26</t>
        </is>
      </c>
      <c r="X840" t="inlineStr">
        <is>
          <t>1990-11-26</t>
        </is>
      </c>
      <c r="Y840" t="n">
        <v>231</v>
      </c>
      <c r="Z840" t="n">
        <v>176</v>
      </c>
      <c r="AA840" t="n">
        <v>176</v>
      </c>
      <c r="AB840" t="n">
        <v>2</v>
      </c>
      <c r="AC840" t="n">
        <v>2</v>
      </c>
      <c r="AD840" t="n">
        <v>9</v>
      </c>
      <c r="AE840" t="n">
        <v>9</v>
      </c>
      <c r="AF840" t="n">
        <v>2</v>
      </c>
      <c r="AG840" t="n">
        <v>2</v>
      </c>
      <c r="AH840" t="n">
        <v>3</v>
      </c>
      <c r="AI840" t="n">
        <v>3</v>
      </c>
      <c r="AJ840" t="n">
        <v>6</v>
      </c>
      <c r="AK840" t="n">
        <v>6</v>
      </c>
      <c r="AL840" t="n">
        <v>1</v>
      </c>
      <c r="AM840" t="n">
        <v>1</v>
      </c>
      <c r="AN840" t="n">
        <v>0</v>
      </c>
      <c r="AO840" t="n">
        <v>0</v>
      </c>
      <c r="AP840" t="inlineStr">
        <is>
          <t>No</t>
        </is>
      </c>
      <c r="AQ840" t="inlineStr">
        <is>
          <t>No</t>
        </is>
      </c>
      <c r="AS840">
        <f>HYPERLINK("https://creighton-primo.hosted.exlibrisgroup.com/primo-explore/search?tab=default_tab&amp;search_scope=EVERYTHING&amp;vid=01CRU&amp;lang=en_US&amp;offset=0&amp;query=any,contains,991000231619702656","Catalog Record")</f>
        <v/>
      </c>
      <c r="AT840">
        <f>HYPERLINK("http://www.worldcat.org/oclc/9644155","WorldCat Record")</f>
        <v/>
      </c>
      <c r="AU840" t="inlineStr">
        <is>
          <t>479054312:eng</t>
        </is>
      </c>
      <c r="AV840" t="inlineStr">
        <is>
          <t>9644155</t>
        </is>
      </c>
      <c r="AW840" t="inlineStr">
        <is>
          <t>991000231619702656</t>
        </is>
      </c>
      <c r="AX840" t="inlineStr">
        <is>
          <t>991000231619702656</t>
        </is>
      </c>
      <c r="AY840" t="inlineStr">
        <is>
          <t>2267558320002656</t>
        </is>
      </c>
      <c r="AZ840" t="inlineStr">
        <is>
          <t>BOOK</t>
        </is>
      </c>
      <c r="BB840" t="inlineStr">
        <is>
          <t>9780819133717</t>
        </is>
      </c>
      <c r="BC840" t="inlineStr">
        <is>
          <t>32285000416601</t>
        </is>
      </c>
      <c r="BD840" t="inlineStr">
        <is>
          <t>893407039</t>
        </is>
      </c>
    </row>
    <row r="841">
      <c r="A841" t="inlineStr">
        <is>
          <t>No</t>
        </is>
      </c>
      <c r="B841" t="inlineStr">
        <is>
          <t>PS3531.O82 C2865</t>
        </is>
      </c>
      <c r="C841" t="inlineStr">
        <is>
          <t>0                      PS 3531000O  82                 C  2865</t>
        </is>
      </c>
      <c r="D841" t="inlineStr">
        <is>
          <t>The Cantos of Ezra Pound : the lyric mode / Eugene Paul Nassar.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No</t>
        </is>
      </c>
      <c r="J841" t="inlineStr">
        <is>
          <t>0</t>
        </is>
      </c>
      <c r="K841" t="inlineStr">
        <is>
          <t>Nassar, Eugene Paul.</t>
        </is>
      </c>
      <c r="L841" t="inlineStr">
        <is>
          <t>Baltimore : Johns Hopkins University Press, [1975]</t>
        </is>
      </c>
      <c r="M841" t="inlineStr">
        <is>
          <t>1975</t>
        </is>
      </c>
      <c r="O841" t="inlineStr">
        <is>
          <t>eng</t>
        </is>
      </c>
      <c r="P841" t="inlineStr">
        <is>
          <t>mdu</t>
        </is>
      </c>
      <c r="R841" t="inlineStr">
        <is>
          <t xml:space="preserve">PS </t>
        </is>
      </c>
      <c r="S841" t="n">
        <v>4</v>
      </c>
      <c r="T841" t="n">
        <v>4</v>
      </c>
      <c r="U841" t="inlineStr">
        <is>
          <t>1999-03-28</t>
        </is>
      </c>
      <c r="V841" t="inlineStr">
        <is>
          <t>1999-03-28</t>
        </is>
      </c>
      <c r="W841" t="inlineStr">
        <is>
          <t>1997-06-16</t>
        </is>
      </c>
      <c r="X841" t="inlineStr">
        <is>
          <t>1997-06-16</t>
        </is>
      </c>
      <c r="Y841" t="n">
        <v>803</v>
      </c>
      <c r="Z841" t="n">
        <v>677</v>
      </c>
      <c r="AA841" t="n">
        <v>685</v>
      </c>
      <c r="AB841" t="n">
        <v>6</v>
      </c>
      <c r="AC841" t="n">
        <v>6</v>
      </c>
      <c r="AD841" t="n">
        <v>35</v>
      </c>
      <c r="AE841" t="n">
        <v>35</v>
      </c>
      <c r="AF841" t="n">
        <v>14</v>
      </c>
      <c r="AG841" t="n">
        <v>14</v>
      </c>
      <c r="AH841" t="n">
        <v>7</v>
      </c>
      <c r="AI841" t="n">
        <v>7</v>
      </c>
      <c r="AJ841" t="n">
        <v>17</v>
      </c>
      <c r="AK841" t="n">
        <v>17</v>
      </c>
      <c r="AL841" t="n">
        <v>4</v>
      </c>
      <c r="AM841" t="n">
        <v>4</v>
      </c>
      <c r="AN841" t="n">
        <v>0</v>
      </c>
      <c r="AO841" t="n">
        <v>0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HYPERLINK("http://catalog.hathitrust.org/Record/000034248","HathiTrust Record")</f>
        <v/>
      </c>
      <c r="AS841">
        <f>HYPERLINK("https://creighton-primo.hosted.exlibrisgroup.com/primo-explore/search?tab=default_tab&amp;search_scope=EVERYTHING&amp;vid=01CRU&amp;lang=en_US&amp;offset=0&amp;query=any,contains,991003784569702656","Catalog Record")</f>
        <v/>
      </c>
      <c r="AT841">
        <f>HYPERLINK("http://www.worldcat.org/oclc/1500105","WorldCat Record")</f>
        <v/>
      </c>
      <c r="AU841" t="inlineStr">
        <is>
          <t>4918892753:eng</t>
        </is>
      </c>
      <c r="AV841" t="inlineStr">
        <is>
          <t>1500105</t>
        </is>
      </c>
      <c r="AW841" t="inlineStr">
        <is>
          <t>991003784569702656</t>
        </is>
      </c>
      <c r="AX841" t="inlineStr">
        <is>
          <t>991003784569702656</t>
        </is>
      </c>
      <c r="AY841" t="inlineStr">
        <is>
          <t>2260379720002656</t>
        </is>
      </c>
      <c r="AZ841" t="inlineStr">
        <is>
          <t>BOOK</t>
        </is>
      </c>
      <c r="BB841" t="inlineStr">
        <is>
          <t>9780801817038</t>
        </is>
      </c>
      <c r="BC841" t="inlineStr">
        <is>
          <t>32285002816139</t>
        </is>
      </c>
      <c r="BD841" t="inlineStr">
        <is>
          <t>893806211</t>
        </is>
      </c>
    </row>
    <row r="842">
      <c r="A842" t="inlineStr">
        <is>
          <t>No</t>
        </is>
      </c>
      <c r="B842" t="inlineStr">
        <is>
          <t>PS3531.O82 C288 1967a</t>
        </is>
      </c>
      <c r="C842" t="inlineStr">
        <is>
          <t>0                      PS 3531000O  82                 C  288         1967a</t>
        </is>
      </c>
      <c r="D842" t="inlineStr">
        <is>
          <t>Reading the cantos : the study of meaning in Ezra Pound / by Noel Stock.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No</t>
        </is>
      </c>
      <c r="J842" t="inlineStr">
        <is>
          <t>0</t>
        </is>
      </c>
      <c r="K842" t="inlineStr">
        <is>
          <t>Stock, Noel.</t>
        </is>
      </c>
      <c r="L842" t="inlineStr">
        <is>
          <t>New York : Pantheon Books, [1967, c1966]</t>
        </is>
      </c>
      <c r="M842" t="inlineStr">
        <is>
          <t>1967</t>
        </is>
      </c>
      <c r="N842" t="inlineStr">
        <is>
          <t>[1st American ed.]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PS </t>
        </is>
      </c>
      <c r="S842" t="n">
        <v>8</v>
      </c>
      <c r="T842" t="n">
        <v>8</v>
      </c>
      <c r="U842" t="inlineStr">
        <is>
          <t>2001-04-11</t>
        </is>
      </c>
      <c r="V842" t="inlineStr">
        <is>
          <t>2001-04-11</t>
        </is>
      </c>
      <c r="W842" t="inlineStr">
        <is>
          <t>1990-11-27</t>
        </is>
      </c>
      <c r="X842" t="inlineStr">
        <is>
          <t>1990-11-27</t>
        </is>
      </c>
      <c r="Y842" t="n">
        <v>391</v>
      </c>
      <c r="Z842" t="n">
        <v>379</v>
      </c>
      <c r="AA842" t="n">
        <v>499</v>
      </c>
      <c r="AB842" t="n">
        <v>3</v>
      </c>
      <c r="AC842" t="n">
        <v>4</v>
      </c>
      <c r="AD842" t="n">
        <v>19</v>
      </c>
      <c r="AE842" t="n">
        <v>23</v>
      </c>
      <c r="AF842" t="n">
        <v>8</v>
      </c>
      <c r="AG842" t="n">
        <v>10</v>
      </c>
      <c r="AH842" t="n">
        <v>4</v>
      </c>
      <c r="AI842" t="n">
        <v>5</v>
      </c>
      <c r="AJ842" t="n">
        <v>11</v>
      </c>
      <c r="AK842" t="n">
        <v>12</v>
      </c>
      <c r="AL842" t="n">
        <v>2</v>
      </c>
      <c r="AM842" t="n">
        <v>3</v>
      </c>
      <c r="AN842" t="n">
        <v>0</v>
      </c>
      <c r="AO842" t="n">
        <v>0</v>
      </c>
      <c r="AP842" t="inlineStr">
        <is>
          <t>No</t>
        </is>
      </c>
      <c r="AQ842" t="inlineStr">
        <is>
          <t>Yes</t>
        </is>
      </c>
      <c r="AR842">
        <f>HYPERLINK("http://catalog.hathitrust.org/Record/009914279","HathiTrust Record")</f>
        <v/>
      </c>
      <c r="AS842">
        <f>HYPERLINK("https://creighton-primo.hosted.exlibrisgroup.com/primo-explore/search?tab=default_tab&amp;search_scope=EVERYTHING&amp;vid=01CRU&amp;lang=en_US&amp;offset=0&amp;query=any,contains,991005357909702656","Catalog Record")</f>
        <v/>
      </c>
      <c r="AT842">
        <f>HYPERLINK("http://www.worldcat.org/oclc/1167804","WorldCat Record")</f>
        <v/>
      </c>
      <c r="AU842" t="inlineStr">
        <is>
          <t>4820484746:eng</t>
        </is>
      </c>
      <c r="AV842" t="inlineStr">
        <is>
          <t>1167804</t>
        </is>
      </c>
      <c r="AW842" t="inlineStr">
        <is>
          <t>991005357909702656</t>
        </is>
      </c>
      <c r="AX842" t="inlineStr">
        <is>
          <t>991005357909702656</t>
        </is>
      </c>
      <c r="AY842" t="inlineStr">
        <is>
          <t>2267924170002656</t>
        </is>
      </c>
      <c r="AZ842" t="inlineStr">
        <is>
          <t>BOOK</t>
        </is>
      </c>
      <c r="BC842" t="inlineStr">
        <is>
          <t>32285000416650</t>
        </is>
      </c>
      <c r="BD842" t="inlineStr">
        <is>
          <t>893320493</t>
        </is>
      </c>
    </row>
    <row r="843">
      <c r="A843" t="inlineStr">
        <is>
          <t>No</t>
        </is>
      </c>
      <c r="B843" t="inlineStr">
        <is>
          <t>PS3531.O82 C297 1979</t>
        </is>
      </c>
      <c r="C843" t="inlineStr">
        <is>
          <t>0                      PS 3531000O  82                 C  297         1979</t>
        </is>
      </c>
      <c r="D843" t="inlineStr">
        <is>
          <t>A light from Eleusis : a study of Ezra Pound's Cantos / Leon Surette.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Surette, Leon.</t>
        </is>
      </c>
      <c r="L843" t="inlineStr">
        <is>
          <t>Oxford : Clarendon Press ; New York : Oxford University Press, 1979.</t>
        </is>
      </c>
      <c r="M843" t="inlineStr">
        <is>
          <t>1979</t>
        </is>
      </c>
      <c r="O843" t="inlineStr">
        <is>
          <t>eng</t>
        </is>
      </c>
      <c r="P843" t="inlineStr">
        <is>
          <t>enk</t>
        </is>
      </c>
      <c r="R843" t="inlineStr">
        <is>
          <t xml:space="preserve">PS </t>
        </is>
      </c>
      <c r="S843" t="n">
        <v>3</v>
      </c>
      <c r="T843" t="n">
        <v>3</v>
      </c>
      <c r="U843" t="inlineStr">
        <is>
          <t>2000-11-13</t>
        </is>
      </c>
      <c r="V843" t="inlineStr">
        <is>
          <t>2000-11-13</t>
        </is>
      </c>
      <c r="W843" t="inlineStr">
        <is>
          <t>1990-11-27</t>
        </is>
      </c>
      <c r="X843" t="inlineStr">
        <is>
          <t>1990-11-27</t>
        </is>
      </c>
      <c r="Y843" t="n">
        <v>488</v>
      </c>
      <c r="Z843" t="n">
        <v>351</v>
      </c>
      <c r="AA843" t="n">
        <v>360</v>
      </c>
      <c r="AB843" t="n">
        <v>3</v>
      </c>
      <c r="AC843" t="n">
        <v>3</v>
      </c>
      <c r="AD843" t="n">
        <v>20</v>
      </c>
      <c r="AE843" t="n">
        <v>20</v>
      </c>
      <c r="AF843" t="n">
        <v>8</v>
      </c>
      <c r="AG843" t="n">
        <v>8</v>
      </c>
      <c r="AH843" t="n">
        <v>5</v>
      </c>
      <c r="AI843" t="n">
        <v>5</v>
      </c>
      <c r="AJ843" t="n">
        <v>11</v>
      </c>
      <c r="AK843" t="n">
        <v>11</v>
      </c>
      <c r="AL843" t="n">
        <v>2</v>
      </c>
      <c r="AM843" t="n">
        <v>2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HYPERLINK("http://catalog.hathitrust.org/Record/000302365","HathiTrust Record")</f>
        <v/>
      </c>
      <c r="AS843">
        <f>HYPERLINK("https://creighton-primo.hosted.exlibrisgroup.com/primo-explore/search?tab=default_tab&amp;search_scope=EVERYTHING&amp;vid=01CRU&amp;lang=en_US&amp;offset=0&amp;query=any,contains,991004767369702656","Catalog Record")</f>
        <v/>
      </c>
      <c r="AT843">
        <f>HYPERLINK("http://www.worldcat.org/oclc/5031536","WorldCat Record")</f>
        <v/>
      </c>
      <c r="AU843" t="inlineStr">
        <is>
          <t>415740:eng</t>
        </is>
      </c>
      <c r="AV843" t="inlineStr">
        <is>
          <t>5031536</t>
        </is>
      </c>
      <c r="AW843" t="inlineStr">
        <is>
          <t>991004767369702656</t>
        </is>
      </c>
      <c r="AX843" t="inlineStr">
        <is>
          <t>991004767369702656</t>
        </is>
      </c>
      <c r="AY843" t="inlineStr">
        <is>
          <t>2255253270002656</t>
        </is>
      </c>
      <c r="AZ843" t="inlineStr">
        <is>
          <t>BOOK</t>
        </is>
      </c>
      <c r="BB843" t="inlineStr">
        <is>
          <t>9780198120896</t>
        </is>
      </c>
      <c r="BC843" t="inlineStr">
        <is>
          <t>32285000416676</t>
        </is>
      </c>
      <c r="BD843" t="inlineStr">
        <is>
          <t>893694329</t>
        </is>
      </c>
    </row>
    <row r="844">
      <c r="A844" t="inlineStr">
        <is>
          <t>No</t>
        </is>
      </c>
      <c r="B844" t="inlineStr">
        <is>
          <t>PS3531.O82 E33 1984</t>
        </is>
      </c>
      <c r="C844" t="inlineStr">
        <is>
          <t>0                      PS 3531000O  82                 E  33          1984</t>
        </is>
      </c>
      <c r="D844" t="inlineStr">
        <is>
          <t>Three writers in exile : Pound, Eliot &amp; Joyce / by Doris L. Eder.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Eder, Doris L.</t>
        </is>
      </c>
      <c r="L844" t="inlineStr">
        <is>
          <t>Troy, N.Y. : Whitston, 1984.</t>
        </is>
      </c>
      <c r="M844" t="inlineStr">
        <is>
          <t>1984</t>
        </is>
      </c>
      <c r="O844" t="inlineStr">
        <is>
          <t>eng</t>
        </is>
      </c>
      <c r="P844" t="inlineStr">
        <is>
          <t>nyu</t>
        </is>
      </c>
      <c r="R844" t="inlineStr">
        <is>
          <t xml:space="preserve">PS </t>
        </is>
      </c>
      <c r="S844" t="n">
        <v>7</v>
      </c>
      <c r="T844" t="n">
        <v>7</v>
      </c>
      <c r="U844" t="inlineStr">
        <is>
          <t>2001-02-07</t>
        </is>
      </c>
      <c r="V844" t="inlineStr">
        <is>
          <t>2001-02-07</t>
        </is>
      </c>
      <c r="W844" t="inlineStr">
        <is>
          <t>1990-11-27</t>
        </is>
      </c>
      <c r="X844" t="inlineStr">
        <is>
          <t>1990-11-27</t>
        </is>
      </c>
      <c r="Y844" t="n">
        <v>607</v>
      </c>
      <c r="Z844" t="n">
        <v>535</v>
      </c>
      <c r="AA844" t="n">
        <v>608</v>
      </c>
      <c r="AB844" t="n">
        <v>7</v>
      </c>
      <c r="AC844" t="n">
        <v>7</v>
      </c>
      <c r="AD844" t="n">
        <v>27</v>
      </c>
      <c r="AE844" t="n">
        <v>31</v>
      </c>
      <c r="AF844" t="n">
        <v>12</v>
      </c>
      <c r="AG844" t="n">
        <v>15</v>
      </c>
      <c r="AH844" t="n">
        <v>6</v>
      </c>
      <c r="AI844" t="n">
        <v>7</v>
      </c>
      <c r="AJ844" t="n">
        <v>11</v>
      </c>
      <c r="AK844" t="n">
        <v>12</v>
      </c>
      <c r="AL844" t="n">
        <v>6</v>
      </c>
      <c r="AM844" t="n">
        <v>6</v>
      </c>
      <c r="AN844" t="n">
        <v>0</v>
      </c>
      <c r="AO844" t="n">
        <v>0</v>
      </c>
      <c r="AP844" t="inlineStr">
        <is>
          <t>No</t>
        </is>
      </c>
      <c r="AQ844" t="inlineStr">
        <is>
          <t>Yes</t>
        </is>
      </c>
      <c r="AR844">
        <f>HYPERLINK("http://catalog.hathitrust.org/Record/000650553","HathiTrust Record")</f>
        <v/>
      </c>
      <c r="AS844">
        <f>HYPERLINK("https://creighton-primo.hosted.exlibrisgroup.com/primo-explore/search?tab=default_tab&amp;search_scope=EVERYTHING&amp;vid=01CRU&amp;lang=en_US&amp;offset=0&amp;query=any,contains,991000586819702656","Catalog Record")</f>
        <v/>
      </c>
      <c r="AT844">
        <f>HYPERLINK("http://www.worldcat.org/oclc/11758626","WorldCat Record")</f>
        <v/>
      </c>
      <c r="AU844" t="inlineStr">
        <is>
          <t>292055455:eng</t>
        </is>
      </c>
      <c r="AV844" t="inlineStr">
        <is>
          <t>11758626</t>
        </is>
      </c>
      <c r="AW844" t="inlineStr">
        <is>
          <t>991000586819702656</t>
        </is>
      </c>
      <c r="AX844" t="inlineStr">
        <is>
          <t>991000586819702656</t>
        </is>
      </c>
      <c r="AY844" t="inlineStr">
        <is>
          <t>2272090370002656</t>
        </is>
      </c>
      <c r="AZ844" t="inlineStr">
        <is>
          <t>BOOK</t>
        </is>
      </c>
      <c r="BB844" t="inlineStr">
        <is>
          <t>9780878752928</t>
        </is>
      </c>
      <c r="BC844" t="inlineStr">
        <is>
          <t>32285000416692</t>
        </is>
      </c>
      <c r="BD844" t="inlineStr">
        <is>
          <t>893897028</t>
        </is>
      </c>
    </row>
    <row r="845">
      <c r="A845" t="inlineStr">
        <is>
          <t>No</t>
        </is>
      </c>
      <c r="B845" t="inlineStr">
        <is>
          <t>PS3531.O82 Z541</t>
        </is>
      </c>
      <c r="C845" t="inlineStr">
        <is>
          <t>0                      PS 3531000O  82                 Z  541</t>
        </is>
      </c>
      <c r="D845" t="inlineStr">
        <is>
          <t>Ezra Pound and his world / Peter Ackroyd.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K845" t="inlineStr">
        <is>
          <t>Ackroyd, Peter.</t>
        </is>
      </c>
      <c r="L845" t="inlineStr">
        <is>
          <t>New York : Charles Scribner's Sons, 1980.</t>
        </is>
      </c>
      <c r="M845" t="inlineStr">
        <is>
          <t>1980</t>
        </is>
      </c>
      <c r="N845" t="inlineStr">
        <is>
          <t>1st U.S. ed.</t>
        </is>
      </c>
      <c r="O845" t="inlineStr">
        <is>
          <t>eng</t>
        </is>
      </c>
      <c r="P845" t="inlineStr">
        <is>
          <t>nyu</t>
        </is>
      </c>
      <c r="R845" t="inlineStr">
        <is>
          <t xml:space="preserve">PS </t>
        </is>
      </c>
      <c r="S845" t="n">
        <v>2</v>
      </c>
      <c r="T845" t="n">
        <v>2</v>
      </c>
      <c r="U845" t="inlineStr">
        <is>
          <t>1993-11-23</t>
        </is>
      </c>
      <c r="V845" t="inlineStr">
        <is>
          <t>1993-11-23</t>
        </is>
      </c>
      <c r="W845" t="inlineStr">
        <is>
          <t>1990-11-27</t>
        </is>
      </c>
      <c r="X845" t="inlineStr">
        <is>
          <t>1990-11-27</t>
        </is>
      </c>
      <c r="Y845" t="n">
        <v>590</v>
      </c>
      <c r="Z845" t="n">
        <v>544</v>
      </c>
      <c r="AA845" t="n">
        <v>597</v>
      </c>
      <c r="AB845" t="n">
        <v>4</v>
      </c>
      <c r="AC845" t="n">
        <v>5</v>
      </c>
      <c r="AD845" t="n">
        <v>21</v>
      </c>
      <c r="AE845" t="n">
        <v>23</v>
      </c>
      <c r="AF845" t="n">
        <v>7</v>
      </c>
      <c r="AG845" t="n">
        <v>8</v>
      </c>
      <c r="AH845" t="n">
        <v>7</v>
      </c>
      <c r="AI845" t="n">
        <v>7</v>
      </c>
      <c r="AJ845" t="n">
        <v>11</v>
      </c>
      <c r="AK845" t="n">
        <v>11</v>
      </c>
      <c r="AL845" t="n">
        <v>3</v>
      </c>
      <c r="AM845" t="n">
        <v>4</v>
      </c>
      <c r="AN845" t="n">
        <v>0</v>
      </c>
      <c r="AO845" t="n">
        <v>0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HYPERLINK("https://creighton-primo.hosted.exlibrisgroup.com/primo-explore/search?tab=default_tab&amp;search_scope=EVERYTHING&amp;vid=01CRU&amp;lang=en_US&amp;offset=0&amp;query=any,contains,991005091559702656","Catalog Record")</f>
        <v/>
      </c>
      <c r="AT845">
        <f>HYPERLINK("http://www.worldcat.org/oclc/7225424","WorldCat Record")</f>
        <v/>
      </c>
      <c r="AU845" t="inlineStr">
        <is>
          <t>353225079:eng</t>
        </is>
      </c>
      <c r="AV845" t="inlineStr">
        <is>
          <t>7225424</t>
        </is>
      </c>
      <c r="AW845" t="inlineStr">
        <is>
          <t>991005091559702656</t>
        </is>
      </c>
      <c r="AX845" t="inlineStr">
        <is>
          <t>991005091559702656</t>
        </is>
      </c>
      <c r="AY845" t="inlineStr">
        <is>
          <t>2266592700002656</t>
        </is>
      </c>
      <c r="AZ845" t="inlineStr">
        <is>
          <t>BOOK</t>
        </is>
      </c>
      <c r="BB845" t="inlineStr">
        <is>
          <t>9780684167985</t>
        </is>
      </c>
      <c r="BC845" t="inlineStr">
        <is>
          <t>32285000416759</t>
        </is>
      </c>
      <c r="BD845" t="inlineStr">
        <is>
          <t>893326139</t>
        </is>
      </c>
    </row>
    <row r="846">
      <c r="A846" t="inlineStr">
        <is>
          <t>No</t>
        </is>
      </c>
      <c r="B846" t="inlineStr">
        <is>
          <t>PS3531.O82 Z55 1971b</t>
        </is>
      </c>
      <c r="C846" t="inlineStr">
        <is>
          <t>0                      PS 3531000O  82                 Z  55          1971b</t>
        </is>
      </c>
      <c r="D846" t="inlineStr">
        <is>
          <t>A ZBC of Ezra Pound.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Brooke-Rose, Christine, 1923-2012.</t>
        </is>
      </c>
      <c r="L846" t="inlineStr">
        <is>
          <t>Berkeley : University of California Press, 1971.</t>
        </is>
      </c>
      <c r="M846" t="inlineStr">
        <is>
          <t>1971</t>
        </is>
      </c>
      <c r="O846" t="inlineStr">
        <is>
          <t>eng</t>
        </is>
      </c>
      <c r="P846" t="inlineStr">
        <is>
          <t>cau</t>
        </is>
      </c>
      <c r="R846" t="inlineStr">
        <is>
          <t xml:space="preserve">PS </t>
        </is>
      </c>
      <c r="S846" t="n">
        <v>1</v>
      </c>
      <c r="T846" t="n">
        <v>1</v>
      </c>
      <c r="U846" t="inlineStr">
        <is>
          <t>1993-02-03</t>
        </is>
      </c>
      <c r="V846" t="inlineStr">
        <is>
          <t>1993-02-03</t>
        </is>
      </c>
      <c r="W846" t="inlineStr">
        <is>
          <t>1990-07-31</t>
        </is>
      </c>
      <c r="X846" t="inlineStr">
        <is>
          <t>1990-07-31</t>
        </is>
      </c>
      <c r="Y846" t="n">
        <v>643</v>
      </c>
      <c r="Z846" t="n">
        <v>595</v>
      </c>
      <c r="AA846" t="n">
        <v>665</v>
      </c>
      <c r="AB846" t="n">
        <v>5</v>
      </c>
      <c r="AC846" t="n">
        <v>5</v>
      </c>
      <c r="AD846" t="n">
        <v>35</v>
      </c>
      <c r="AE846" t="n">
        <v>38</v>
      </c>
      <c r="AF846" t="n">
        <v>13</v>
      </c>
      <c r="AG846" t="n">
        <v>14</v>
      </c>
      <c r="AH846" t="n">
        <v>8</v>
      </c>
      <c r="AI846" t="n">
        <v>8</v>
      </c>
      <c r="AJ846" t="n">
        <v>19</v>
      </c>
      <c r="AK846" t="n">
        <v>22</v>
      </c>
      <c r="AL846" t="n">
        <v>4</v>
      </c>
      <c r="AM846" t="n">
        <v>4</v>
      </c>
      <c r="AN846" t="n">
        <v>0</v>
      </c>
      <c r="AO846" t="n">
        <v>0</v>
      </c>
      <c r="AP846" t="inlineStr">
        <is>
          <t>No</t>
        </is>
      </c>
      <c r="AQ846" t="inlineStr">
        <is>
          <t>No</t>
        </is>
      </c>
      <c r="AS846">
        <f>HYPERLINK("https://creighton-primo.hosted.exlibrisgroup.com/primo-explore/search?tab=default_tab&amp;search_scope=EVERYTHING&amp;vid=01CRU&amp;lang=en_US&amp;offset=0&amp;query=any,contains,991001930619702656","Catalog Record")</f>
        <v/>
      </c>
      <c r="AT846">
        <f>HYPERLINK("http://www.worldcat.org/oclc/248675","WorldCat Record")</f>
        <v/>
      </c>
      <c r="AU846" t="inlineStr">
        <is>
          <t>1409398:eng</t>
        </is>
      </c>
      <c r="AV846" t="inlineStr">
        <is>
          <t>248675</t>
        </is>
      </c>
      <c r="AW846" t="inlineStr">
        <is>
          <t>991001930619702656</t>
        </is>
      </c>
      <c r="AX846" t="inlineStr">
        <is>
          <t>991001930619702656</t>
        </is>
      </c>
      <c r="AY846" t="inlineStr">
        <is>
          <t>2258573240002656</t>
        </is>
      </c>
      <c r="AZ846" t="inlineStr">
        <is>
          <t>BOOK</t>
        </is>
      </c>
      <c r="BB846" t="inlineStr">
        <is>
          <t>9780520018488</t>
        </is>
      </c>
      <c r="BC846" t="inlineStr">
        <is>
          <t>32285000252592</t>
        </is>
      </c>
      <c r="BD846" t="inlineStr">
        <is>
          <t>893408487</t>
        </is>
      </c>
    </row>
    <row r="847">
      <c r="A847" t="inlineStr">
        <is>
          <t>No</t>
        </is>
      </c>
      <c r="B847" t="inlineStr">
        <is>
          <t>PS3531.O82 Z582 1976b</t>
        </is>
      </c>
      <c r="C847" t="inlineStr">
        <is>
          <t>0                      PS 3531000O  82                 Z  582         1976b</t>
        </is>
      </c>
      <c r="D847" t="inlineStr">
        <is>
          <t>Ezra Pound / Donald Davie ; edited by Frank Kermode. --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Davie, Donald.</t>
        </is>
      </c>
      <c r="L847" t="inlineStr">
        <is>
          <t>Harmondsworth ; New York : Penguin Books, 1976, c1975.</t>
        </is>
      </c>
      <c r="M847" t="inlineStr">
        <is>
          <t>1976</t>
        </is>
      </c>
      <c r="O847" t="inlineStr">
        <is>
          <t>eng</t>
        </is>
      </c>
      <c r="P847" t="inlineStr">
        <is>
          <t>enk</t>
        </is>
      </c>
      <c r="Q847" t="inlineStr">
        <is>
          <t>Penguin modern masters</t>
        </is>
      </c>
      <c r="R847" t="inlineStr">
        <is>
          <t xml:space="preserve">PS </t>
        </is>
      </c>
      <c r="S847" t="n">
        <v>4</v>
      </c>
      <c r="T847" t="n">
        <v>4</v>
      </c>
      <c r="U847" t="inlineStr">
        <is>
          <t>2002-09-11</t>
        </is>
      </c>
      <c r="V847" t="inlineStr">
        <is>
          <t>2002-09-11</t>
        </is>
      </c>
      <c r="W847" t="inlineStr">
        <is>
          <t>1990-11-27</t>
        </is>
      </c>
      <c r="X847" t="inlineStr">
        <is>
          <t>1990-11-27</t>
        </is>
      </c>
      <c r="Y847" t="n">
        <v>78</v>
      </c>
      <c r="Z847" t="n">
        <v>75</v>
      </c>
      <c r="AA847" t="n">
        <v>834</v>
      </c>
      <c r="AB847" t="n">
        <v>2</v>
      </c>
      <c r="AC847" t="n">
        <v>5</v>
      </c>
      <c r="AD847" t="n">
        <v>6</v>
      </c>
      <c r="AE847" t="n">
        <v>46</v>
      </c>
      <c r="AF847" t="n">
        <v>1</v>
      </c>
      <c r="AG847" t="n">
        <v>22</v>
      </c>
      <c r="AH847" t="n">
        <v>1</v>
      </c>
      <c r="AI847" t="n">
        <v>10</v>
      </c>
      <c r="AJ847" t="n">
        <v>3</v>
      </c>
      <c r="AK847" t="n">
        <v>22</v>
      </c>
      <c r="AL847" t="n">
        <v>1</v>
      </c>
      <c r="AM847" t="n">
        <v>4</v>
      </c>
      <c r="AN847" t="n">
        <v>0</v>
      </c>
      <c r="AO847" t="n">
        <v>0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HYPERLINK("http://catalog.hathitrust.org/Record/007040239","HathiTrust Record")</f>
        <v/>
      </c>
      <c r="AS847">
        <f>HYPERLINK("https://creighton-primo.hosted.exlibrisgroup.com/primo-explore/search?tab=default_tab&amp;search_scope=EVERYTHING&amp;vid=01CRU&amp;lang=en_US&amp;offset=0&amp;query=any,contains,991004462589702656","Catalog Record")</f>
        <v/>
      </c>
      <c r="AT847">
        <f>HYPERLINK("http://www.worldcat.org/oclc/2388158","WorldCat Record")</f>
        <v/>
      </c>
      <c r="AU847" t="inlineStr">
        <is>
          <t>2260859583:eng</t>
        </is>
      </c>
      <c r="AV847" t="inlineStr">
        <is>
          <t>2388158</t>
        </is>
      </c>
      <c r="AW847" t="inlineStr">
        <is>
          <t>991004462589702656</t>
        </is>
      </c>
      <c r="AX847" t="inlineStr">
        <is>
          <t>991004462589702656</t>
        </is>
      </c>
      <c r="AY847" t="inlineStr">
        <is>
          <t>2265326950002656</t>
        </is>
      </c>
      <c r="AZ847" t="inlineStr">
        <is>
          <t>BOOK</t>
        </is>
      </c>
      <c r="BC847" t="inlineStr">
        <is>
          <t>32285000416791</t>
        </is>
      </c>
      <c r="BD847" t="inlineStr">
        <is>
          <t>893794868</t>
        </is>
      </c>
    </row>
    <row r="848">
      <c r="A848" t="inlineStr">
        <is>
          <t>No</t>
        </is>
      </c>
      <c r="B848" t="inlineStr">
        <is>
          <t>PS3531.O82 Z597</t>
        </is>
      </c>
      <c r="C848" t="inlineStr">
        <is>
          <t>0                      PS 3531000O  82                 Z  597</t>
        </is>
      </c>
      <c r="D848" t="inlineStr">
        <is>
          <t>Ezra Pound, identity in crisis : a fundamental reassessment of the poet and his work / Alan Durant.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Durant, Alan, 1954-</t>
        </is>
      </c>
      <c r="L848" t="inlineStr">
        <is>
          <t>Brighton, Sussex : Harvester Press ; Totowa, N.J. : Barnes &amp; Noble, 1981.</t>
        </is>
      </c>
      <c r="M848" t="inlineStr">
        <is>
          <t>1981</t>
        </is>
      </c>
      <c r="O848" t="inlineStr">
        <is>
          <t>eng</t>
        </is>
      </c>
      <c r="P848" t="inlineStr">
        <is>
          <t>enk</t>
        </is>
      </c>
      <c r="R848" t="inlineStr">
        <is>
          <t xml:space="preserve">PS </t>
        </is>
      </c>
      <c r="S848" t="n">
        <v>3</v>
      </c>
      <c r="T848" t="n">
        <v>3</v>
      </c>
      <c r="U848" t="inlineStr">
        <is>
          <t>1995-09-15</t>
        </is>
      </c>
      <c r="V848" t="inlineStr">
        <is>
          <t>1995-09-15</t>
        </is>
      </c>
      <c r="W848" t="inlineStr">
        <is>
          <t>1990-08-17</t>
        </is>
      </c>
      <c r="X848" t="inlineStr">
        <is>
          <t>1990-08-17</t>
        </is>
      </c>
      <c r="Y848" t="n">
        <v>463</v>
      </c>
      <c r="Z848" t="n">
        <v>315</v>
      </c>
      <c r="AA848" t="n">
        <v>321</v>
      </c>
      <c r="AB848" t="n">
        <v>3</v>
      </c>
      <c r="AC848" t="n">
        <v>3</v>
      </c>
      <c r="AD848" t="n">
        <v>15</v>
      </c>
      <c r="AE848" t="n">
        <v>15</v>
      </c>
      <c r="AF848" t="n">
        <v>5</v>
      </c>
      <c r="AG848" t="n">
        <v>5</v>
      </c>
      <c r="AH848" t="n">
        <v>6</v>
      </c>
      <c r="AI848" t="n">
        <v>6</v>
      </c>
      <c r="AJ848" t="n">
        <v>8</v>
      </c>
      <c r="AK848" t="n">
        <v>8</v>
      </c>
      <c r="AL848" t="n">
        <v>2</v>
      </c>
      <c r="AM848" t="n">
        <v>2</v>
      </c>
      <c r="AN848" t="n">
        <v>0</v>
      </c>
      <c r="AO848" t="n">
        <v>0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HYPERLINK("http://catalog.hathitrust.org/Record/000097967","HathiTrust Record")</f>
        <v/>
      </c>
      <c r="AS848">
        <f>HYPERLINK("https://creighton-primo.hosted.exlibrisgroup.com/primo-explore/search?tab=default_tab&amp;search_scope=EVERYTHING&amp;vid=01CRU&amp;lang=en_US&amp;offset=0&amp;query=any,contains,991005145339702656","Catalog Record")</f>
        <v/>
      </c>
      <c r="AT848">
        <f>HYPERLINK("http://www.worldcat.org/oclc/7657715","WorldCat Record")</f>
        <v/>
      </c>
      <c r="AU848" t="inlineStr">
        <is>
          <t>198449403:eng</t>
        </is>
      </c>
      <c r="AV848" t="inlineStr">
        <is>
          <t>7657715</t>
        </is>
      </c>
      <c r="AW848" t="inlineStr">
        <is>
          <t>991005145339702656</t>
        </is>
      </c>
      <c r="AX848" t="inlineStr">
        <is>
          <t>991005145339702656</t>
        </is>
      </c>
      <c r="AY848" t="inlineStr">
        <is>
          <t>2261131530002656</t>
        </is>
      </c>
      <c r="AZ848" t="inlineStr">
        <is>
          <t>BOOK</t>
        </is>
      </c>
      <c r="BB848" t="inlineStr">
        <is>
          <t>9780389201977</t>
        </is>
      </c>
      <c r="BC848" t="inlineStr">
        <is>
          <t>32285000290550</t>
        </is>
      </c>
      <c r="BD848" t="inlineStr">
        <is>
          <t>893619530</t>
        </is>
      </c>
    </row>
    <row r="849">
      <c r="A849" t="inlineStr">
        <is>
          <t>No</t>
        </is>
      </c>
      <c r="B849" t="inlineStr">
        <is>
          <t>PS3531.O82 Z623 1985</t>
        </is>
      </c>
      <c r="C849" t="inlineStr">
        <is>
          <t>0                      PS 3531000O  82                 Z  623         1985</t>
        </is>
      </c>
      <c r="D849" t="inlineStr">
        <is>
          <t>Ezra Pound among the poets : Homer, Ovid, Li Po, Dante, Whitman, Browning, Yeats, Williams, Eliot / edited by George Bornstein.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L849" t="inlineStr">
        <is>
          <t>Chicago : University of Chicago Press, 1985.</t>
        </is>
      </c>
      <c r="M849" t="inlineStr">
        <is>
          <t>1985</t>
        </is>
      </c>
      <c r="O849" t="inlineStr">
        <is>
          <t>eng</t>
        </is>
      </c>
      <c r="P849" t="inlineStr">
        <is>
          <t>ilu</t>
        </is>
      </c>
      <c r="R849" t="inlineStr">
        <is>
          <t xml:space="preserve">PS </t>
        </is>
      </c>
      <c r="S849" t="n">
        <v>4</v>
      </c>
      <c r="T849" t="n">
        <v>4</v>
      </c>
      <c r="U849" t="inlineStr">
        <is>
          <t>1993-11-23</t>
        </is>
      </c>
      <c r="V849" t="inlineStr">
        <is>
          <t>1993-11-23</t>
        </is>
      </c>
      <c r="W849" t="inlineStr">
        <is>
          <t>1989-11-27</t>
        </is>
      </c>
      <c r="X849" t="inlineStr">
        <is>
          <t>1989-11-27</t>
        </is>
      </c>
      <c r="Y849" t="n">
        <v>771</v>
      </c>
      <c r="Z849" t="n">
        <v>678</v>
      </c>
      <c r="AA849" t="n">
        <v>696</v>
      </c>
      <c r="AB849" t="n">
        <v>5</v>
      </c>
      <c r="AC849" t="n">
        <v>5</v>
      </c>
      <c r="AD849" t="n">
        <v>35</v>
      </c>
      <c r="AE849" t="n">
        <v>37</v>
      </c>
      <c r="AF849" t="n">
        <v>19</v>
      </c>
      <c r="AG849" t="n">
        <v>20</v>
      </c>
      <c r="AH849" t="n">
        <v>6</v>
      </c>
      <c r="AI849" t="n">
        <v>7</v>
      </c>
      <c r="AJ849" t="n">
        <v>15</v>
      </c>
      <c r="AK849" t="n">
        <v>17</v>
      </c>
      <c r="AL849" t="n">
        <v>4</v>
      </c>
      <c r="AM849" t="n">
        <v>4</v>
      </c>
      <c r="AN849" t="n">
        <v>0</v>
      </c>
      <c r="AO849" t="n">
        <v>0</v>
      </c>
      <c r="AP849" t="inlineStr">
        <is>
          <t>No</t>
        </is>
      </c>
      <c r="AQ849" t="inlineStr">
        <is>
          <t>No</t>
        </is>
      </c>
      <c r="AS849">
        <f>HYPERLINK("https://creighton-primo.hosted.exlibrisgroup.com/primo-explore/search?tab=default_tab&amp;search_scope=EVERYTHING&amp;vid=01CRU&amp;lang=en_US&amp;offset=0&amp;query=any,contains,991000588779702656","Catalog Record")</f>
        <v/>
      </c>
      <c r="AT849">
        <f>HYPERLINK("http://www.worldcat.org/oclc/11783411","WorldCat Record")</f>
        <v/>
      </c>
      <c r="AU849" t="inlineStr">
        <is>
          <t>15397728:eng</t>
        </is>
      </c>
      <c r="AV849" t="inlineStr">
        <is>
          <t>11783411</t>
        </is>
      </c>
      <c r="AW849" t="inlineStr">
        <is>
          <t>991000588779702656</t>
        </is>
      </c>
      <c r="AX849" t="inlineStr">
        <is>
          <t>991000588779702656</t>
        </is>
      </c>
      <c r="AY849" t="inlineStr">
        <is>
          <t>2255418640002656</t>
        </is>
      </c>
      <c r="AZ849" t="inlineStr">
        <is>
          <t>BOOK</t>
        </is>
      </c>
      <c r="BB849" t="inlineStr">
        <is>
          <t>9780226066400</t>
        </is>
      </c>
      <c r="BC849" t="inlineStr">
        <is>
          <t>32285000014711</t>
        </is>
      </c>
      <c r="BD849" t="inlineStr">
        <is>
          <t>893231238</t>
        </is>
      </c>
    </row>
    <row r="850">
      <c r="A850" t="inlineStr">
        <is>
          <t>No</t>
        </is>
      </c>
      <c r="B850" t="inlineStr">
        <is>
          <t>PS3531.O82 Z714</t>
        </is>
      </c>
      <c r="C850" t="inlineStr">
        <is>
          <t>0                      PS 3531000O  82                 Z  714</t>
        </is>
      </c>
      <c r="D850" t="inlineStr">
        <is>
          <t>Ezra Pound / by James F. Knapp.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Knapp, James F.</t>
        </is>
      </c>
      <c r="L850" t="inlineStr">
        <is>
          <t>Boston : Twayne Publishers, 1979.</t>
        </is>
      </c>
      <c r="M850" t="inlineStr">
        <is>
          <t>1979</t>
        </is>
      </c>
      <c r="O850" t="inlineStr">
        <is>
          <t>eng</t>
        </is>
      </c>
      <c r="P850" t="inlineStr">
        <is>
          <t>mau</t>
        </is>
      </c>
      <c r="Q850" t="inlineStr">
        <is>
          <t>Twayne's United States authors series ; TUSAS 348</t>
        </is>
      </c>
      <c r="R850" t="inlineStr">
        <is>
          <t xml:space="preserve">PS </t>
        </is>
      </c>
      <c r="S850" t="n">
        <v>1</v>
      </c>
      <c r="T850" t="n">
        <v>1</v>
      </c>
      <c r="U850" t="inlineStr">
        <is>
          <t>1993-02-03</t>
        </is>
      </c>
      <c r="V850" t="inlineStr">
        <is>
          <t>1993-02-03</t>
        </is>
      </c>
      <c r="W850" t="inlineStr">
        <is>
          <t>1990-11-27</t>
        </is>
      </c>
      <c r="X850" t="inlineStr">
        <is>
          <t>1990-11-27</t>
        </is>
      </c>
      <c r="Y850" t="n">
        <v>1181</v>
      </c>
      <c r="Z850" t="n">
        <v>1075</v>
      </c>
      <c r="AA850" t="n">
        <v>1205</v>
      </c>
      <c r="AB850" t="n">
        <v>5</v>
      </c>
      <c r="AC850" t="n">
        <v>7</v>
      </c>
      <c r="AD850" t="n">
        <v>37</v>
      </c>
      <c r="AE850" t="n">
        <v>41</v>
      </c>
      <c r="AF850" t="n">
        <v>17</v>
      </c>
      <c r="AG850" t="n">
        <v>18</v>
      </c>
      <c r="AH850" t="n">
        <v>5</v>
      </c>
      <c r="AI850" t="n">
        <v>6</v>
      </c>
      <c r="AJ850" t="n">
        <v>21</v>
      </c>
      <c r="AK850" t="n">
        <v>21</v>
      </c>
      <c r="AL850" t="n">
        <v>4</v>
      </c>
      <c r="AM850" t="n">
        <v>6</v>
      </c>
      <c r="AN850" t="n">
        <v>0</v>
      </c>
      <c r="AO850" t="n">
        <v>0</v>
      </c>
      <c r="AP850" t="inlineStr">
        <is>
          <t>No</t>
        </is>
      </c>
      <c r="AQ850" t="inlineStr">
        <is>
          <t>Yes</t>
        </is>
      </c>
      <c r="AR850">
        <f>HYPERLINK("http://catalog.hathitrust.org/Record/000302349","HathiTrust Record")</f>
        <v/>
      </c>
      <c r="AS850">
        <f>HYPERLINK("https://creighton-primo.hosted.exlibrisgroup.com/primo-explore/search?tab=default_tab&amp;search_scope=EVERYTHING&amp;vid=01CRU&amp;lang=en_US&amp;offset=0&amp;query=any,contains,991004766979702656","Catalog Record")</f>
        <v/>
      </c>
      <c r="AT850">
        <f>HYPERLINK("http://www.worldcat.org/oclc/5029823","WorldCat Record")</f>
        <v/>
      </c>
      <c r="AU850" t="inlineStr">
        <is>
          <t>1937567137:eng</t>
        </is>
      </c>
      <c r="AV850" t="inlineStr">
        <is>
          <t>5029823</t>
        </is>
      </c>
      <c r="AW850" t="inlineStr">
        <is>
          <t>991004766979702656</t>
        </is>
      </c>
      <c r="AX850" t="inlineStr">
        <is>
          <t>991004766979702656</t>
        </is>
      </c>
      <c r="AY850" t="inlineStr">
        <is>
          <t>2271134060002656</t>
        </is>
      </c>
      <c r="AZ850" t="inlineStr">
        <is>
          <t>BOOK</t>
        </is>
      </c>
      <c r="BB850" t="inlineStr">
        <is>
          <t>9780805772869</t>
        </is>
      </c>
      <c r="BC850" t="inlineStr">
        <is>
          <t>32285000416825</t>
        </is>
      </c>
      <c r="BD850" t="inlineStr">
        <is>
          <t>893870085</t>
        </is>
      </c>
    </row>
    <row r="851">
      <c r="A851" t="inlineStr">
        <is>
          <t>No</t>
        </is>
      </c>
      <c r="B851" t="inlineStr">
        <is>
          <t>PS3531.O82 Z784 1986</t>
        </is>
      </c>
      <c r="C851" t="inlineStr">
        <is>
          <t>0                      PS 3531000O  82                 Z  784         1986</t>
        </is>
      </c>
      <c r="D851" t="inlineStr">
        <is>
          <t>Ezra Pound and the erotic medium / Kevin Oderman.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No</t>
        </is>
      </c>
      <c r="J851" t="inlineStr">
        <is>
          <t>0</t>
        </is>
      </c>
      <c r="K851" t="inlineStr">
        <is>
          <t>Oderman, Kevin, 1950-</t>
        </is>
      </c>
      <c r="L851" t="inlineStr">
        <is>
          <t>Durham : Duke University Press, 1986.</t>
        </is>
      </c>
      <c r="M851" t="inlineStr">
        <is>
          <t>1986</t>
        </is>
      </c>
      <c r="O851" t="inlineStr">
        <is>
          <t>eng</t>
        </is>
      </c>
      <c r="P851" t="inlineStr">
        <is>
          <t>ncu</t>
        </is>
      </c>
      <c r="R851" t="inlineStr">
        <is>
          <t xml:space="preserve">PS </t>
        </is>
      </c>
      <c r="S851" t="n">
        <v>2</v>
      </c>
      <c r="T851" t="n">
        <v>2</v>
      </c>
      <c r="U851" t="inlineStr">
        <is>
          <t>2000-11-13</t>
        </is>
      </c>
      <c r="V851" t="inlineStr">
        <is>
          <t>2000-11-13</t>
        </is>
      </c>
      <c r="W851" t="inlineStr">
        <is>
          <t>1990-11-27</t>
        </is>
      </c>
      <c r="X851" t="inlineStr">
        <is>
          <t>1990-11-27</t>
        </is>
      </c>
      <c r="Y851" t="n">
        <v>352</v>
      </c>
      <c r="Z851" t="n">
        <v>277</v>
      </c>
      <c r="AA851" t="n">
        <v>279</v>
      </c>
      <c r="AB851" t="n">
        <v>2</v>
      </c>
      <c r="AC851" t="n">
        <v>2</v>
      </c>
      <c r="AD851" t="n">
        <v>16</v>
      </c>
      <c r="AE851" t="n">
        <v>16</v>
      </c>
      <c r="AF851" t="n">
        <v>4</v>
      </c>
      <c r="AG851" t="n">
        <v>4</v>
      </c>
      <c r="AH851" t="n">
        <v>5</v>
      </c>
      <c r="AI851" t="n">
        <v>5</v>
      </c>
      <c r="AJ851" t="n">
        <v>12</v>
      </c>
      <c r="AK851" t="n">
        <v>12</v>
      </c>
      <c r="AL851" t="n">
        <v>1</v>
      </c>
      <c r="AM851" t="n">
        <v>1</v>
      </c>
      <c r="AN851" t="n">
        <v>0</v>
      </c>
      <c r="AO851" t="n">
        <v>0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HYPERLINK("http://catalog.hathitrust.org/Record/000396653","HathiTrust Record")</f>
        <v/>
      </c>
      <c r="AS851">
        <f>HYPERLINK("https://creighton-primo.hosted.exlibrisgroup.com/primo-explore/search?tab=default_tab&amp;search_scope=EVERYTHING&amp;vid=01CRU&amp;lang=en_US&amp;offset=0&amp;query=any,contains,991000844859702656","Catalog Record")</f>
        <v/>
      </c>
      <c r="AT851">
        <f>HYPERLINK("http://www.worldcat.org/oclc/13559000","WorldCat Record")</f>
        <v/>
      </c>
      <c r="AU851" t="inlineStr">
        <is>
          <t>6911433:eng</t>
        </is>
      </c>
      <c r="AV851" t="inlineStr">
        <is>
          <t>13559000</t>
        </is>
      </c>
      <c r="AW851" t="inlineStr">
        <is>
          <t>991000844859702656</t>
        </is>
      </c>
      <c r="AX851" t="inlineStr">
        <is>
          <t>991000844859702656</t>
        </is>
      </c>
      <c r="AY851" t="inlineStr">
        <is>
          <t>2270962220002656</t>
        </is>
      </c>
      <c r="AZ851" t="inlineStr">
        <is>
          <t>BOOK</t>
        </is>
      </c>
      <c r="BB851" t="inlineStr">
        <is>
          <t>9780822306726</t>
        </is>
      </c>
      <c r="BC851" t="inlineStr">
        <is>
          <t>32285000416874</t>
        </is>
      </c>
      <c r="BD851" t="inlineStr">
        <is>
          <t>893872058</t>
        </is>
      </c>
    </row>
    <row r="852">
      <c r="A852" t="inlineStr">
        <is>
          <t>No</t>
        </is>
      </c>
      <c r="B852" t="inlineStr">
        <is>
          <t>PS3531.O82 Z785</t>
        </is>
      </c>
      <c r="C852" t="inlineStr">
        <is>
          <t>0                      PS 3531000O  82                 Z  785</t>
        </is>
      </c>
      <c r="D852" t="inlineStr">
        <is>
          <t>Ezra Pound.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Norman, Charles, 1904-1996.</t>
        </is>
      </c>
      <c r="L852" t="inlineStr">
        <is>
          <t>New York, Macmillan, 1960.</t>
        </is>
      </c>
      <c r="M852" t="inlineStr">
        <is>
          <t>1960</t>
        </is>
      </c>
      <c r="O852" t="inlineStr">
        <is>
          <t>eng</t>
        </is>
      </c>
      <c r="P852" t="inlineStr">
        <is>
          <t>nyu</t>
        </is>
      </c>
      <c r="R852" t="inlineStr">
        <is>
          <t xml:space="preserve">PS </t>
        </is>
      </c>
      <c r="S852" t="n">
        <v>4</v>
      </c>
      <c r="T852" t="n">
        <v>4</v>
      </c>
      <c r="U852" t="inlineStr">
        <is>
          <t>2002-09-11</t>
        </is>
      </c>
      <c r="V852" t="inlineStr">
        <is>
          <t>2002-09-11</t>
        </is>
      </c>
      <c r="W852" t="inlineStr">
        <is>
          <t>1997-06-16</t>
        </is>
      </c>
      <c r="X852" t="inlineStr">
        <is>
          <t>1997-06-16</t>
        </is>
      </c>
      <c r="Y852" t="n">
        <v>1015</v>
      </c>
      <c r="Z852" t="n">
        <v>902</v>
      </c>
      <c r="AA852" t="n">
        <v>1180</v>
      </c>
      <c r="AB852" t="n">
        <v>7</v>
      </c>
      <c r="AC852" t="n">
        <v>8</v>
      </c>
      <c r="AD852" t="n">
        <v>31</v>
      </c>
      <c r="AE852" t="n">
        <v>48</v>
      </c>
      <c r="AF852" t="n">
        <v>9</v>
      </c>
      <c r="AG852" t="n">
        <v>21</v>
      </c>
      <c r="AH852" t="n">
        <v>7</v>
      </c>
      <c r="AI852" t="n">
        <v>8</v>
      </c>
      <c r="AJ852" t="n">
        <v>16</v>
      </c>
      <c r="AK852" t="n">
        <v>22</v>
      </c>
      <c r="AL852" t="n">
        <v>6</v>
      </c>
      <c r="AM852" t="n">
        <v>7</v>
      </c>
      <c r="AN852" t="n">
        <v>1</v>
      </c>
      <c r="AO852" t="n">
        <v>1</v>
      </c>
      <c r="AP852" t="inlineStr">
        <is>
          <t>No</t>
        </is>
      </c>
      <c r="AQ852" t="inlineStr">
        <is>
          <t>Yes</t>
        </is>
      </c>
      <c r="AR852">
        <f>HYPERLINK("http://catalog.hathitrust.org/Record/001029180","HathiTrust Record")</f>
        <v/>
      </c>
      <c r="AS852">
        <f>HYPERLINK("https://creighton-primo.hosted.exlibrisgroup.com/primo-explore/search?tab=default_tab&amp;search_scope=EVERYTHING&amp;vid=01CRU&amp;lang=en_US&amp;offset=0&amp;query=any,contains,991002214909702656","Catalog Record")</f>
        <v/>
      </c>
      <c r="AT852">
        <f>HYPERLINK("http://www.worldcat.org/oclc/288404","WorldCat Record")</f>
        <v/>
      </c>
      <c r="AU852" t="inlineStr">
        <is>
          <t>118129782:eng</t>
        </is>
      </c>
      <c r="AV852" t="inlineStr">
        <is>
          <t>288404</t>
        </is>
      </c>
      <c r="AW852" t="inlineStr">
        <is>
          <t>991002214909702656</t>
        </is>
      </c>
      <c r="AX852" t="inlineStr">
        <is>
          <t>991002214909702656</t>
        </is>
      </c>
      <c r="AY852" t="inlineStr">
        <is>
          <t>2263981320002656</t>
        </is>
      </c>
      <c r="AZ852" t="inlineStr">
        <is>
          <t>BOOK</t>
        </is>
      </c>
      <c r="BC852" t="inlineStr">
        <is>
          <t>32285002816295</t>
        </is>
      </c>
      <c r="BD852" t="inlineStr">
        <is>
          <t>893798321</t>
        </is>
      </c>
    </row>
    <row r="853">
      <c r="A853" t="inlineStr">
        <is>
          <t>No</t>
        </is>
      </c>
      <c r="B853" t="inlineStr">
        <is>
          <t>PS3531.O82 Z788</t>
        </is>
      </c>
      <c r="C853" t="inlineStr">
        <is>
          <t>0                      PS 3531000O  82                 Z  788</t>
        </is>
      </c>
      <c r="D853" t="inlineStr">
        <is>
          <t>Ezra Pound; an introduction to the poetry.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K853" t="inlineStr">
        <is>
          <t>Quinn, Mary Bernetta.</t>
        </is>
      </c>
      <c r="L853" t="inlineStr">
        <is>
          <t>New York, Columbia University Press, 1972.</t>
        </is>
      </c>
      <c r="M853" t="inlineStr">
        <is>
          <t>1972</t>
        </is>
      </c>
      <c r="O853" t="inlineStr">
        <is>
          <t>eng</t>
        </is>
      </c>
      <c r="P853" t="inlineStr">
        <is>
          <t>nyu</t>
        </is>
      </c>
      <c r="Q853" t="inlineStr">
        <is>
          <t>Columbia introductions to twentieth-century American poetry</t>
        </is>
      </c>
      <c r="R853" t="inlineStr">
        <is>
          <t xml:space="preserve">PS </t>
        </is>
      </c>
      <c r="S853" t="n">
        <v>1</v>
      </c>
      <c r="T853" t="n">
        <v>1</v>
      </c>
      <c r="U853" t="inlineStr">
        <is>
          <t>2001-04-17</t>
        </is>
      </c>
      <c r="V853" t="inlineStr">
        <is>
          <t>2001-04-17</t>
        </is>
      </c>
      <c r="W853" t="inlineStr">
        <is>
          <t>1997-06-16</t>
        </is>
      </c>
      <c r="X853" t="inlineStr">
        <is>
          <t>1997-06-16</t>
        </is>
      </c>
      <c r="Y853" t="n">
        <v>1152</v>
      </c>
      <c r="Z853" t="n">
        <v>995</v>
      </c>
      <c r="AA853" t="n">
        <v>1002</v>
      </c>
      <c r="AB853" t="n">
        <v>8</v>
      </c>
      <c r="AC853" t="n">
        <v>8</v>
      </c>
      <c r="AD853" t="n">
        <v>45</v>
      </c>
      <c r="AE853" t="n">
        <v>45</v>
      </c>
      <c r="AF853" t="n">
        <v>18</v>
      </c>
      <c r="AG853" t="n">
        <v>18</v>
      </c>
      <c r="AH853" t="n">
        <v>9</v>
      </c>
      <c r="AI853" t="n">
        <v>9</v>
      </c>
      <c r="AJ853" t="n">
        <v>23</v>
      </c>
      <c r="AK853" t="n">
        <v>23</v>
      </c>
      <c r="AL853" t="n">
        <v>6</v>
      </c>
      <c r="AM853" t="n">
        <v>6</v>
      </c>
      <c r="AN853" t="n">
        <v>0</v>
      </c>
      <c r="AO853" t="n">
        <v>0</v>
      </c>
      <c r="AP853" t="inlineStr">
        <is>
          <t>No</t>
        </is>
      </c>
      <c r="AQ853" t="inlineStr">
        <is>
          <t>No</t>
        </is>
      </c>
      <c r="AS853">
        <f>HYPERLINK("https://creighton-primo.hosted.exlibrisgroup.com/primo-explore/search?tab=default_tab&amp;search_scope=EVERYTHING&amp;vid=01CRU&amp;lang=en_US&amp;offset=0&amp;query=any,contains,991002655899702656","Catalog Record")</f>
        <v/>
      </c>
      <c r="AT853">
        <f>HYPERLINK("http://www.worldcat.org/oclc/388725","WorldCat Record")</f>
        <v/>
      </c>
      <c r="AU853" t="inlineStr">
        <is>
          <t>4535780867:eng</t>
        </is>
      </c>
      <c r="AV853" t="inlineStr">
        <is>
          <t>388725</t>
        </is>
      </c>
      <c r="AW853" t="inlineStr">
        <is>
          <t>991002655899702656</t>
        </is>
      </c>
      <c r="AX853" t="inlineStr">
        <is>
          <t>991002655899702656</t>
        </is>
      </c>
      <c r="AY853" t="inlineStr">
        <is>
          <t>2254913680002656</t>
        </is>
      </c>
      <c r="AZ853" t="inlineStr">
        <is>
          <t>BOOK</t>
        </is>
      </c>
      <c r="BB853" t="inlineStr">
        <is>
          <t>9780231032827</t>
        </is>
      </c>
      <c r="BC853" t="inlineStr">
        <is>
          <t>32285002816303</t>
        </is>
      </c>
      <c r="BD853" t="inlineStr">
        <is>
          <t>893780050</t>
        </is>
      </c>
    </row>
    <row r="854">
      <c r="A854" t="inlineStr">
        <is>
          <t>No</t>
        </is>
      </c>
      <c r="B854" t="inlineStr">
        <is>
          <t>PS3531.O82 Z792 1973</t>
        </is>
      </c>
      <c r="C854" t="inlineStr">
        <is>
          <t>0                      PS 3531000O  82                 Z  792         1973</t>
        </is>
      </c>
      <c r="D854" t="inlineStr">
        <is>
          <t>Ezra Pound; a close-up.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Reck, Michael.</t>
        </is>
      </c>
      <c r="L854" t="inlineStr">
        <is>
          <t>New York, McGraw-Hill [1973]</t>
        </is>
      </c>
      <c r="M854" t="inlineStr">
        <is>
          <t>1973</t>
        </is>
      </c>
      <c r="O854" t="inlineStr">
        <is>
          <t>eng</t>
        </is>
      </c>
      <c r="P854" t="inlineStr">
        <is>
          <t>nyu</t>
        </is>
      </c>
      <c r="Q854" t="inlineStr">
        <is>
          <t>McGraw-Hill paperbacks</t>
        </is>
      </c>
      <c r="R854" t="inlineStr">
        <is>
          <t xml:space="preserve">PS </t>
        </is>
      </c>
      <c r="S854" t="n">
        <v>1</v>
      </c>
      <c r="T854" t="n">
        <v>1</v>
      </c>
      <c r="U854" t="inlineStr">
        <is>
          <t>2002-09-11</t>
        </is>
      </c>
      <c r="V854" t="inlineStr">
        <is>
          <t>2002-09-11</t>
        </is>
      </c>
      <c r="W854" t="inlineStr">
        <is>
          <t>1997-06-16</t>
        </is>
      </c>
      <c r="X854" t="inlineStr">
        <is>
          <t>1997-06-16</t>
        </is>
      </c>
      <c r="Y854" t="n">
        <v>133</v>
      </c>
      <c r="Z854" t="n">
        <v>112</v>
      </c>
      <c r="AA854" t="n">
        <v>1057</v>
      </c>
      <c r="AB854" t="n">
        <v>2</v>
      </c>
      <c r="AC854" t="n">
        <v>6</v>
      </c>
      <c r="AD854" t="n">
        <v>4</v>
      </c>
      <c r="AE854" t="n">
        <v>44</v>
      </c>
      <c r="AF854" t="n">
        <v>1</v>
      </c>
      <c r="AG854" t="n">
        <v>17</v>
      </c>
      <c r="AH854" t="n">
        <v>2</v>
      </c>
      <c r="AI854" t="n">
        <v>9</v>
      </c>
      <c r="AJ854" t="n">
        <v>1</v>
      </c>
      <c r="AK854" t="n">
        <v>24</v>
      </c>
      <c r="AL854" t="n">
        <v>1</v>
      </c>
      <c r="AM854" t="n">
        <v>5</v>
      </c>
      <c r="AN854" t="n">
        <v>0</v>
      </c>
      <c r="AO854" t="n">
        <v>0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HYPERLINK("https://creighton-primo.hosted.exlibrisgroup.com/primo-explore/search?tab=default_tab&amp;search_scope=EVERYTHING&amp;vid=01CRU&amp;lang=en_US&amp;offset=0&amp;query=any,contains,991003075739702656","Catalog Record")</f>
        <v/>
      </c>
      <c r="AT854">
        <f>HYPERLINK("http://www.worldcat.org/oclc/628427","WorldCat Record")</f>
        <v/>
      </c>
      <c r="AU854" t="inlineStr">
        <is>
          <t>1345630:eng</t>
        </is>
      </c>
      <c r="AV854" t="inlineStr">
        <is>
          <t>628427</t>
        </is>
      </c>
      <c r="AW854" t="inlineStr">
        <is>
          <t>991003075739702656</t>
        </is>
      </c>
      <c r="AX854" t="inlineStr">
        <is>
          <t>991003075739702656</t>
        </is>
      </c>
      <c r="AY854" t="inlineStr">
        <is>
          <t>2269390680002656</t>
        </is>
      </c>
      <c r="AZ854" t="inlineStr">
        <is>
          <t>BOOK</t>
        </is>
      </c>
      <c r="BB854" t="inlineStr">
        <is>
          <t>9780070513518</t>
        </is>
      </c>
      <c r="BC854" t="inlineStr">
        <is>
          <t>32285002816329</t>
        </is>
      </c>
      <c r="BD854" t="inlineStr">
        <is>
          <t>893535338</t>
        </is>
      </c>
    </row>
    <row r="855">
      <c r="A855" t="inlineStr">
        <is>
          <t>No</t>
        </is>
      </c>
      <c r="B855" t="inlineStr">
        <is>
          <t>PS3531.O82 Z833</t>
        </is>
      </c>
      <c r="C855" t="inlineStr">
        <is>
          <t>0                      PS 3531000O  82                 Z  833</t>
        </is>
      </c>
      <c r="D855" t="inlineStr">
        <is>
          <t>Ezra Pound : the image and the real / [by] Herbert N. Schneidau.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Schneidau, Herbert N.</t>
        </is>
      </c>
      <c r="L855" t="inlineStr">
        <is>
          <t>Baton Rouge : Louisiana State University Press, 1969.</t>
        </is>
      </c>
      <c r="M855" t="inlineStr">
        <is>
          <t>1969</t>
        </is>
      </c>
      <c r="O855" t="inlineStr">
        <is>
          <t>eng</t>
        </is>
      </c>
      <c r="P855" t="inlineStr">
        <is>
          <t>lau</t>
        </is>
      </c>
      <c r="R855" t="inlineStr">
        <is>
          <t xml:space="preserve">PS </t>
        </is>
      </c>
      <c r="S855" t="n">
        <v>1</v>
      </c>
      <c r="T855" t="n">
        <v>1</v>
      </c>
      <c r="U855" t="inlineStr">
        <is>
          <t>2001-04-17</t>
        </is>
      </c>
      <c r="V855" t="inlineStr">
        <is>
          <t>2001-04-17</t>
        </is>
      </c>
      <c r="W855" t="inlineStr">
        <is>
          <t>1990-11-27</t>
        </is>
      </c>
      <c r="X855" t="inlineStr">
        <is>
          <t>1990-11-27</t>
        </is>
      </c>
      <c r="Y855" t="n">
        <v>840</v>
      </c>
      <c r="Z855" t="n">
        <v>722</v>
      </c>
      <c r="AA855" t="n">
        <v>726</v>
      </c>
      <c r="AB855" t="n">
        <v>5</v>
      </c>
      <c r="AC855" t="n">
        <v>5</v>
      </c>
      <c r="AD855" t="n">
        <v>32</v>
      </c>
      <c r="AE855" t="n">
        <v>32</v>
      </c>
      <c r="AF855" t="n">
        <v>13</v>
      </c>
      <c r="AG855" t="n">
        <v>13</v>
      </c>
      <c r="AH855" t="n">
        <v>6</v>
      </c>
      <c r="AI855" t="n">
        <v>6</v>
      </c>
      <c r="AJ855" t="n">
        <v>18</v>
      </c>
      <c r="AK855" t="n">
        <v>18</v>
      </c>
      <c r="AL855" t="n">
        <v>4</v>
      </c>
      <c r="AM855" t="n">
        <v>4</v>
      </c>
      <c r="AN855" t="n">
        <v>0</v>
      </c>
      <c r="AO855" t="n">
        <v>0</v>
      </c>
      <c r="AP855" t="inlineStr">
        <is>
          <t>No</t>
        </is>
      </c>
      <c r="AQ855" t="inlineStr">
        <is>
          <t>Yes</t>
        </is>
      </c>
      <c r="AR855">
        <f>HYPERLINK("http://catalog.hathitrust.org/Record/001029185","HathiTrust Record")</f>
        <v/>
      </c>
      <c r="AS855">
        <f>HYPERLINK("https://creighton-primo.hosted.exlibrisgroup.com/primo-explore/search?tab=default_tab&amp;search_scope=EVERYTHING&amp;vid=01CRU&amp;lang=en_US&amp;offset=0&amp;query=any,contains,991000078039702656","Catalog Record")</f>
        <v/>
      </c>
      <c r="AT855">
        <f>HYPERLINK("http://www.worldcat.org/oclc/30439","WorldCat Record")</f>
        <v/>
      </c>
      <c r="AU855" t="inlineStr">
        <is>
          <t>1179041:eng</t>
        </is>
      </c>
      <c r="AV855" t="inlineStr">
        <is>
          <t>30439</t>
        </is>
      </c>
      <c r="AW855" t="inlineStr">
        <is>
          <t>991000078039702656</t>
        </is>
      </c>
      <c r="AX855" t="inlineStr">
        <is>
          <t>991000078039702656</t>
        </is>
      </c>
      <c r="AY855" t="inlineStr">
        <is>
          <t>2262329730002656</t>
        </is>
      </c>
      <c r="AZ855" t="inlineStr">
        <is>
          <t>BOOK</t>
        </is>
      </c>
      <c r="BB855" t="inlineStr">
        <is>
          <t>9780807109113</t>
        </is>
      </c>
      <c r="BC855" t="inlineStr">
        <is>
          <t>32285000416908</t>
        </is>
      </c>
      <c r="BD855" t="inlineStr">
        <is>
          <t>893431660</t>
        </is>
      </c>
    </row>
    <row r="856">
      <c r="A856" t="inlineStr">
        <is>
          <t>No</t>
        </is>
      </c>
      <c r="B856" t="inlineStr">
        <is>
          <t>PS3531.O82 Z836</t>
        </is>
      </c>
      <c r="C856" t="inlineStr">
        <is>
          <t>0                      PS 3531000O  82                 Z  836</t>
        </is>
      </c>
      <c r="D856" t="inlineStr">
        <is>
          <t>Three on the tower : the lives and works of Ezra Pound, T. S. Eliot, and William Carlos Williams / by Louis Simpson.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Simpson, Louis, 1923-2012.</t>
        </is>
      </c>
      <c r="L856" t="inlineStr">
        <is>
          <t>New York : Morrow, 1975.</t>
        </is>
      </c>
      <c r="M856" t="inlineStr">
        <is>
          <t>1975</t>
        </is>
      </c>
      <c r="O856" t="inlineStr">
        <is>
          <t>eng</t>
        </is>
      </c>
      <c r="P856" t="inlineStr">
        <is>
          <t>nyu</t>
        </is>
      </c>
      <c r="R856" t="inlineStr">
        <is>
          <t xml:space="preserve">PS </t>
        </is>
      </c>
      <c r="S856" t="n">
        <v>2</v>
      </c>
      <c r="T856" t="n">
        <v>2</v>
      </c>
      <c r="U856" t="inlineStr">
        <is>
          <t>2002-09-11</t>
        </is>
      </c>
      <c r="V856" t="inlineStr">
        <is>
          <t>2002-09-11</t>
        </is>
      </c>
      <c r="W856" t="inlineStr">
        <is>
          <t>1997-06-16</t>
        </is>
      </c>
      <c r="X856" t="inlineStr">
        <is>
          <t>1997-06-16</t>
        </is>
      </c>
      <c r="Y856" t="n">
        <v>1164</v>
      </c>
      <c r="Z856" t="n">
        <v>1036</v>
      </c>
      <c r="AA856" t="n">
        <v>1044</v>
      </c>
      <c r="AB856" t="n">
        <v>10</v>
      </c>
      <c r="AC856" t="n">
        <v>10</v>
      </c>
      <c r="AD856" t="n">
        <v>40</v>
      </c>
      <c r="AE856" t="n">
        <v>40</v>
      </c>
      <c r="AF856" t="n">
        <v>17</v>
      </c>
      <c r="AG856" t="n">
        <v>17</v>
      </c>
      <c r="AH856" t="n">
        <v>8</v>
      </c>
      <c r="AI856" t="n">
        <v>8</v>
      </c>
      <c r="AJ856" t="n">
        <v>21</v>
      </c>
      <c r="AK856" t="n">
        <v>21</v>
      </c>
      <c r="AL856" t="n">
        <v>6</v>
      </c>
      <c r="AM856" t="n">
        <v>6</v>
      </c>
      <c r="AN856" t="n">
        <v>0</v>
      </c>
      <c r="AO856" t="n">
        <v>0</v>
      </c>
      <c r="AP856" t="inlineStr">
        <is>
          <t>No</t>
        </is>
      </c>
      <c r="AQ856" t="inlineStr">
        <is>
          <t>Yes</t>
        </is>
      </c>
      <c r="AR856">
        <f>HYPERLINK("http://catalog.hathitrust.org/Record/001376803","HathiTrust Record")</f>
        <v/>
      </c>
      <c r="AS856">
        <f>HYPERLINK("https://creighton-primo.hosted.exlibrisgroup.com/primo-explore/search?tab=default_tab&amp;search_scope=EVERYTHING&amp;vid=01CRU&amp;lang=en_US&amp;offset=0&amp;query=any,contains,991003538249702656","Catalog Record")</f>
        <v/>
      </c>
      <c r="AT856">
        <f>HYPERLINK("http://www.worldcat.org/oclc/1103264","WorldCat Record")</f>
        <v/>
      </c>
      <c r="AU856" t="inlineStr">
        <is>
          <t>308586317:eng</t>
        </is>
      </c>
      <c r="AV856" t="inlineStr">
        <is>
          <t>1103264</t>
        </is>
      </c>
      <c r="AW856" t="inlineStr">
        <is>
          <t>991003538249702656</t>
        </is>
      </c>
      <c r="AX856" t="inlineStr">
        <is>
          <t>991003538249702656</t>
        </is>
      </c>
      <c r="AY856" t="inlineStr">
        <is>
          <t>2267291760002656</t>
        </is>
      </c>
      <c r="AZ856" t="inlineStr">
        <is>
          <t>BOOK</t>
        </is>
      </c>
      <c r="BB856" t="inlineStr">
        <is>
          <t>9780688028992</t>
        </is>
      </c>
      <c r="BC856" t="inlineStr">
        <is>
          <t>32285002816352</t>
        </is>
      </c>
      <c r="BD856" t="inlineStr">
        <is>
          <t>893342671</t>
        </is>
      </c>
    </row>
    <row r="857">
      <c r="A857" t="inlineStr">
        <is>
          <t>No</t>
        </is>
      </c>
      <c r="B857" t="inlineStr">
        <is>
          <t>PS3531.O82 Z839</t>
        </is>
      </c>
      <c r="C857" t="inlineStr">
        <is>
          <t>0                      PS 3531000O  82                 Z  839</t>
        </is>
      </c>
      <c r="D857" t="inlineStr">
        <is>
          <t>The life of Ezra Pound.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K857" t="inlineStr">
        <is>
          <t>Stock, Noel.</t>
        </is>
      </c>
      <c r="L857" t="inlineStr">
        <is>
          <t>New York, Pantheon Books [1970]</t>
        </is>
      </c>
      <c r="M857" t="inlineStr">
        <is>
          <t>1970</t>
        </is>
      </c>
      <c r="N857" t="inlineStr">
        <is>
          <t>[1st American ed.]</t>
        </is>
      </c>
      <c r="O857" t="inlineStr">
        <is>
          <t>eng</t>
        </is>
      </c>
      <c r="P857" t="inlineStr">
        <is>
          <t>nyu</t>
        </is>
      </c>
      <c r="R857" t="inlineStr">
        <is>
          <t xml:space="preserve">PS </t>
        </is>
      </c>
      <c r="S857" t="n">
        <v>2</v>
      </c>
      <c r="T857" t="n">
        <v>2</v>
      </c>
      <c r="U857" t="inlineStr">
        <is>
          <t>2002-09-11</t>
        </is>
      </c>
      <c r="V857" t="inlineStr">
        <is>
          <t>2002-09-11</t>
        </is>
      </c>
      <c r="W857" t="inlineStr">
        <is>
          <t>1997-06-16</t>
        </is>
      </c>
      <c r="X857" t="inlineStr">
        <is>
          <t>1997-06-16</t>
        </is>
      </c>
      <c r="Y857" t="n">
        <v>1207</v>
      </c>
      <c r="Z857" t="n">
        <v>1131</v>
      </c>
      <c r="AA857" t="n">
        <v>1509</v>
      </c>
      <c r="AB857" t="n">
        <v>9</v>
      </c>
      <c r="AC857" t="n">
        <v>11</v>
      </c>
      <c r="AD857" t="n">
        <v>40</v>
      </c>
      <c r="AE857" t="n">
        <v>52</v>
      </c>
      <c r="AF857" t="n">
        <v>16</v>
      </c>
      <c r="AG857" t="n">
        <v>22</v>
      </c>
      <c r="AH857" t="n">
        <v>8</v>
      </c>
      <c r="AI857" t="n">
        <v>10</v>
      </c>
      <c r="AJ857" t="n">
        <v>20</v>
      </c>
      <c r="AK857" t="n">
        <v>22</v>
      </c>
      <c r="AL857" t="n">
        <v>7</v>
      </c>
      <c r="AM857" t="n">
        <v>9</v>
      </c>
      <c r="AN857" t="n">
        <v>0</v>
      </c>
      <c r="AO857" t="n">
        <v>1</v>
      </c>
      <c r="AP857" t="inlineStr">
        <is>
          <t>No</t>
        </is>
      </c>
      <c r="AQ857" t="inlineStr">
        <is>
          <t>Yes</t>
        </is>
      </c>
      <c r="AR857">
        <f>HYPERLINK("http://catalog.hathitrust.org/Record/001029187","HathiTrust Record")</f>
        <v/>
      </c>
      <c r="AS857">
        <f>HYPERLINK("https://creighton-primo.hosted.exlibrisgroup.com/primo-explore/search?tab=default_tab&amp;search_scope=EVERYTHING&amp;vid=01CRU&amp;lang=en_US&amp;offset=0&amp;query=any,contains,991000523539702656","Catalog Record")</f>
        <v/>
      </c>
      <c r="AT857">
        <f>HYPERLINK("http://www.worldcat.org/oclc/88717","WorldCat Record")</f>
        <v/>
      </c>
      <c r="AU857" t="inlineStr">
        <is>
          <t>512189:eng</t>
        </is>
      </c>
      <c r="AV857" t="inlineStr">
        <is>
          <t>88717</t>
        </is>
      </c>
      <c r="AW857" t="inlineStr">
        <is>
          <t>991000523539702656</t>
        </is>
      </c>
      <c r="AX857" t="inlineStr">
        <is>
          <t>991000523539702656</t>
        </is>
      </c>
      <c r="AY857" t="inlineStr">
        <is>
          <t>2269393280002656</t>
        </is>
      </c>
      <c r="AZ857" t="inlineStr">
        <is>
          <t>BOOK</t>
        </is>
      </c>
      <c r="BC857" t="inlineStr">
        <is>
          <t>32285002816360</t>
        </is>
      </c>
      <c r="BD857" t="inlineStr">
        <is>
          <t>893351558</t>
        </is>
      </c>
    </row>
    <row r="858">
      <c r="A858" t="inlineStr">
        <is>
          <t>No</t>
        </is>
      </c>
      <c r="B858" t="inlineStr">
        <is>
          <t>PS3531.O82 Z867 1984b</t>
        </is>
      </c>
      <c r="C858" t="inlineStr">
        <is>
          <t>0                      PS 3531000O  82                 Z  867         1984b</t>
        </is>
      </c>
      <c r="D858" t="inlineStr">
        <is>
          <t>The roots of treason : Ezra Pound and the secret of St. Elizabeths / E. Fuller Torrey.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Torrey, E. Fuller (Edwin Fuller), 1937-</t>
        </is>
      </c>
      <c r="L858" t="inlineStr">
        <is>
          <t>San Diego : Harcourt Brace Jovanovich, c1984.</t>
        </is>
      </c>
      <c r="M858" t="inlineStr">
        <is>
          <t>1984</t>
        </is>
      </c>
      <c r="N858" t="inlineStr">
        <is>
          <t>1st Harvest/HBJ ed.</t>
        </is>
      </c>
      <c r="O858" t="inlineStr">
        <is>
          <t>eng</t>
        </is>
      </c>
      <c r="P858" t="inlineStr">
        <is>
          <t>cau</t>
        </is>
      </c>
      <c r="R858" t="inlineStr">
        <is>
          <t xml:space="preserve">PS </t>
        </is>
      </c>
      <c r="S858" t="n">
        <v>1</v>
      </c>
      <c r="T858" t="n">
        <v>1</v>
      </c>
      <c r="U858" t="inlineStr">
        <is>
          <t>2002-09-11</t>
        </is>
      </c>
      <c r="V858" t="inlineStr">
        <is>
          <t>2002-09-11</t>
        </is>
      </c>
      <c r="W858" t="inlineStr">
        <is>
          <t>1990-11-27</t>
        </is>
      </c>
      <c r="X858" t="inlineStr">
        <is>
          <t>1990-11-27</t>
        </is>
      </c>
      <c r="Y858" t="n">
        <v>80</v>
      </c>
      <c r="Z858" t="n">
        <v>66</v>
      </c>
      <c r="AA858" t="n">
        <v>736</v>
      </c>
      <c r="AB858" t="n">
        <v>3</v>
      </c>
      <c r="AC858" t="n">
        <v>6</v>
      </c>
      <c r="AD858" t="n">
        <v>5</v>
      </c>
      <c r="AE858" t="n">
        <v>34</v>
      </c>
      <c r="AF858" t="n">
        <v>1</v>
      </c>
      <c r="AG858" t="n">
        <v>16</v>
      </c>
      <c r="AH858" t="n">
        <v>2</v>
      </c>
      <c r="AI858" t="n">
        <v>7</v>
      </c>
      <c r="AJ858" t="n">
        <v>0</v>
      </c>
      <c r="AK858" t="n">
        <v>15</v>
      </c>
      <c r="AL858" t="n">
        <v>2</v>
      </c>
      <c r="AM858" t="n">
        <v>4</v>
      </c>
      <c r="AN858" t="n">
        <v>0</v>
      </c>
      <c r="AO858" t="n">
        <v>1</v>
      </c>
      <c r="AP858" t="inlineStr">
        <is>
          <t>No</t>
        </is>
      </c>
      <c r="AQ858" t="inlineStr">
        <is>
          <t>No</t>
        </is>
      </c>
      <c r="AS858">
        <f>HYPERLINK("https://creighton-primo.hosted.exlibrisgroup.com/primo-explore/search?tab=default_tab&amp;search_scope=EVERYTHING&amp;vid=01CRU&amp;lang=en_US&amp;offset=0&amp;query=any,contains,991000433249702656","Catalog Record")</f>
        <v/>
      </c>
      <c r="AT858">
        <f>HYPERLINK("http://www.worldcat.org/oclc/10780285","WorldCat Record")</f>
        <v/>
      </c>
      <c r="AU858" t="inlineStr">
        <is>
          <t>3551841:eng</t>
        </is>
      </c>
      <c r="AV858" t="inlineStr">
        <is>
          <t>10780285</t>
        </is>
      </c>
      <c r="AW858" t="inlineStr">
        <is>
          <t>991000433249702656</t>
        </is>
      </c>
      <c r="AX858" t="inlineStr">
        <is>
          <t>991000433249702656</t>
        </is>
      </c>
      <c r="AY858" t="inlineStr">
        <is>
          <t>2255307100002656</t>
        </is>
      </c>
      <c r="AZ858" t="inlineStr">
        <is>
          <t>BOOK</t>
        </is>
      </c>
      <c r="BB858" t="inlineStr">
        <is>
          <t>9780156790154</t>
        </is>
      </c>
      <c r="BC858" t="inlineStr">
        <is>
          <t>32285000416916</t>
        </is>
      </c>
      <c r="BD858" t="inlineStr">
        <is>
          <t>893333466</t>
        </is>
      </c>
    </row>
    <row r="859">
      <c r="A859" t="inlineStr">
        <is>
          <t>No</t>
        </is>
      </c>
      <c r="B859" t="inlineStr">
        <is>
          <t>PS3531.O82 Z8687 1987</t>
        </is>
      </c>
      <c r="C859" t="inlineStr">
        <is>
          <t>0                      PS 3531000O  82                 Z  8687        1987</t>
        </is>
      </c>
      <c r="D859" t="inlineStr">
        <is>
          <t>Ezra Pound : the solitary volcano / John Tytell.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K859" t="inlineStr">
        <is>
          <t>Tytell, John.</t>
        </is>
      </c>
      <c r="L859" t="inlineStr">
        <is>
          <t>New York : Anchor Press, 1987.</t>
        </is>
      </c>
      <c r="M859" t="inlineStr">
        <is>
          <t>1987</t>
        </is>
      </c>
      <c r="N859" t="inlineStr">
        <is>
          <t>1st ed.</t>
        </is>
      </c>
      <c r="O859" t="inlineStr">
        <is>
          <t>eng</t>
        </is>
      </c>
      <c r="P859" t="inlineStr">
        <is>
          <t>nyu</t>
        </is>
      </c>
      <c r="R859" t="inlineStr">
        <is>
          <t xml:space="preserve">PS </t>
        </is>
      </c>
      <c r="S859" t="n">
        <v>2</v>
      </c>
      <c r="T859" t="n">
        <v>2</v>
      </c>
      <c r="U859" t="inlineStr">
        <is>
          <t>2000-01-14</t>
        </is>
      </c>
      <c r="V859" t="inlineStr">
        <is>
          <t>2000-01-14</t>
        </is>
      </c>
      <c r="W859" t="inlineStr">
        <is>
          <t>1990-11-27</t>
        </is>
      </c>
      <c r="X859" t="inlineStr">
        <is>
          <t>1990-11-27</t>
        </is>
      </c>
      <c r="Y859" t="n">
        <v>898</v>
      </c>
      <c r="Z859" t="n">
        <v>817</v>
      </c>
      <c r="AA859" t="n">
        <v>929</v>
      </c>
      <c r="AB859" t="n">
        <v>5</v>
      </c>
      <c r="AC859" t="n">
        <v>6</v>
      </c>
      <c r="AD859" t="n">
        <v>26</v>
      </c>
      <c r="AE859" t="n">
        <v>28</v>
      </c>
      <c r="AF859" t="n">
        <v>9</v>
      </c>
      <c r="AG859" t="n">
        <v>9</v>
      </c>
      <c r="AH859" t="n">
        <v>7</v>
      </c>
      <c r="AI859" t="n">
        <v>8</v>
      </c>
      <c r="AJ859" t="n">
        <v>16</v>
      </c>
      <c r="AK859" t="n">
        <v>16</v>
      </c>
      <c r="AL859" t="n">
        <v>2</v>
      </c>
      <c r="AM859" t="n">
        <v>3</v>
      </c>
      <c r="AN859" t="n">
        <v>0</v>
      </c>
      <c r="AO859" t="n">
        <v>0</v>
      </c>
      <c r="AP859" t="inlineStr">
        <is>
          <t>No</t>
        </is>
      </c>
      <c r="AQ859" t="inlineStr">
        <is>
          <t>Yes</t>
        </is>
      </c>
      <c r="AR859">
        <f>HYPERLINK("http://catalog.hathitrust.org/Record/000881495","HathiTrust Record")</f>
        <v/>
      </c>
      <c r="AS859">
        <f>HYPERLINK("https://creighton-primo.hosted.exlibrisgroup.com/primo-explore/search?tab=default_tab&amp;search_scope=EVERYTHING&amp;vid=01CRU&amp;lang=en_US&amp;offset=0&amp;query=any,contains,991000936379702656","Catalog Record")</f>
        <v/>
      </c>
      <c r="AT859">
        <f>HYPERLINK("http://www.worldcat.org/oclc/14359908","WorldCat Record")</f>
        <v/>
      </c>
      <c r="AU859" t="inlineStr">
        <is>
          <t>779125:eng</t>
        </is>
      </c>
      <c r="AV859" t="inlineStr">
        <is>
          <t>14359908</t>
        </is>
      </c>
      <c r="AW859" t="inlineStr">
        <is>
          <t>991000936379702656</t>
        </is>
      </c>
      <c r="AX859" t="inlineStr">
        <is>
          <t>991000936379702656</t>
        </is>
      </c>
      <c r="AY859" t="inlineStr">
        <is>
          <t>2259256200002656</t>
        </is>
      </c>
      <c r="AZ859" t="inlineStr">
        <is>
          <t>BOOK</t>
        </is>
      </c>
      <c r="BB859" t="inlineStr">
        <is>
          <t>9780385196949</t>
        </is>
      </c>
      <c r="BC859" t="inlineStr">
        <is>
          <t>32285000416924</t>
        </is>
      </c>
      <c r="BD859" t="inlineStr">
        <is>
          <t>893626514</t>
        </is>
      </c>
    </row>
    <row r="860">
      <c r="A860" t="inlineStr">
        <is>
          <t>No</t>
        </is>
      </c>
      <c r="B860" t="inlineStr">
        <is>
          <t>PS3531.O82 Z887 1985</t>
        </is>
      </c>
      <c r="C860" t="inlineStr">
        <is>
          <t>0                      PS 3531000O  82                 Z  887         1985</t>
        </is>
      </c>
      <c r="D860" t="inlineStr">
        <is>
          <t>The American roots of Ezra Pound / J.J. Wilhelm.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K860" t="inlineStr">
        <is>
          <t>Wilhelm, James J.</t>
        </is>
      </c>
      <c r="L860" t="inlineStr">
        <is>
          <t>New York : Garland Pub., 1985.</t>
        </is>
      </c>
      <c r="M860" t="inlineStr">
        <is>
          <t>1985</t>
        </is>
      </c>
      <c r="O860" t="inlineStr">
        <is>
          <t>eng</t>
        </is>
      </c>
      <c r="P860" t="inlineStr">
        <is>
          <t>nyu</t>
        </is>
      </c>
      <c r="R860" t="inlineStr">
        <is>
          <t xml:space="preserve">PS </t>
        </is>
      </c>
      <c r="S860" t="n">
        <v>1</v>
      </c>
      <c r="T860" t="n">
        <v>1</v>
      </c>
      <c r="U860" t="inlineStr">
        <is>
          <t>2002-09-11</t>
        </is>
      </c>
      <c r="V860" t="inlineStr">
        <is>
          <t>2002-09-11</t>
        </is>
      </c>
      <c r="W860" t="inlineStr">
        <is>
          <t>1990-11-27</t>
        </is>
      </c>
      <c r="X860" t="inlineStr">
        <is>
          <t>1990-11-27</t>
        </is>
      </c>
      <c r="Y860" t="n">
        <v>731</v>
      </c>
      <c r="Z860" t="n">
        <v>638</v>
      </c>
      <c r="AA860" t="n">
        <v>645</v>
      </c>
      <c r="AB860" t="n">
        <v>4</v>
      </c>
      <c r="AC860" t="n">
        <v>4</v>
      </c>
      <c r="AD860" t="n">
        <v>27</v>
      </c>
      <c r="AE860" t="n">
        <v>27</v>
      </c>
      <c r="AF860" t="n">
        <v>11</v>
      </c>
      <c r="AG860" t="n">
        <v>11</v>
      </c>
      <c r="AH860" t="n">
        <v>8</v>
      </c>
      <c r="AI860" t="n">
        <v>8</v>
      </c>
      <c r="AJ860" t="n">
        <v>13</v>
      </c>
      <c r="AK860" t="n">
        <v>13</v>
      </c>
      <c r="AL860" t="n">
        <v>3</v>
      </c>
      <c r="AM860" t="n">
        <v>3</v>
      </c>
      <c r="AN860" t="n">
        <v>0</v>
      </c>
      <c r="AO860" t="n">
        <v>0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HYPERLINK("http://catalog.hathitrust.org/Record/000653440","HathiTrust Record")</f>
        <v/>
      </c>
      <c r="AS860">
        <f>HYPERLINK("https://creighton-primo.hosted.exlibrisgroup.com/primo-explore/search?tab=default_tab&amp;search_scope=EVERYTHING&amp;vid=01CRU&amp;lang=en_US&amp;offset=0&amp;query=any,contains,991000545669702656","Catalog Record")</f>
        <v/>
      </c>
      <c r="AT860">
        <f>HYPERLINK("http://www.worldcat.org/oclc/11518048","WorldCat Record")</f>
        <v/>
      </c>
      <c r="AU860" t="inlineStr">
        <is>
          <t>3917144:eng</t>
        </is>
      </c>
      <c r="AV860" t="inlineStr">
        <is>
          <t>11518048</t>
        </is>
      </c>
      <c r="AW860" t="inlineStr">
        <is>
          <t>991000545669702656</t>
        </is>
      </c>
      <c r="AX860" t="inlineStr">
        <is>
          <t>991000545669702656</t>
        </is>
      </c>
      <c r="AY860" t="inlineStr">
        <is>
          <t>2269335210002656</t>
        </is>
      </c>
      <c r="AZ860" t="inlineStr">
        <is>
          <t>BOOK</t>
        </is>
      </c>
      <c r="BB860" t="inlineStr">
        <is>
          <t>9780824075002</t>
        </is>
      </c>
      <c r="BC860" t="inlineStr">
        <is>
          <t>32285000416932</t>
        </is>
      </c>
      <c r="BD860" t="inlineStr">
        <is>
          <t>893802870</t>
        </is>
      </c>
    </row>
    <row r="861">
      <c r="A861" t="inlineStr">
        <is>
          <t>No</t>
        </is>
      </c>
      <c r="B861" t="inlineStr">
        <is>
          <t>PS3531.O936 A6 1994</t>
        </is>
      </c>
      <c r="C861" t="inlineStr">
        <is>
          <t>0                      PS 3531000O  936                A  6           1994</t>
        </is>
      </c>
      <c r="D861" t="inlineStr">
        <is>
          <t>Dawn Powell at her best / edited with an introduction by Tim Page.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K861" t="inlineStr">
        <is>
          <t>Powell, Dawn.</t>
        </is>
      </c>
      <c r="L861" t="inlineStr">
        <is>
          <t>South Royalton, Vt. : Steerforth Press, c1994.</t>
        </is>
      </c>
      <c r="M861" t="inlineStr">
        <is>
          <t>1994</t>
        </is>
      </c>
      <c r="N861" t="inlineStr">
        <is>
          <t>1st ed.</t>
        </is>
      </c>
      <c r="O861" t="inlineStr">
        <is>
          <t>eng</t>
        </is>
      </c>
      <c r="P861" t="inlineStr">
        <is>
          <t>vtu</t>
        </is>
      </c>
      <c r="R861" t="inlineStr">
        <is>
          <t xml:space="preserve">PS </t>
        </is>
      </c>
      <c r="S861" t="n">
        <v>2</v>
      </c>
      <c r="T861" t="n">
        <v>2</v>
      </c>
      <c r="U861" t="inlineStr">
        <is>
          <t>2003-05-15</t>
        </is>
      </c>
      <c r="V861" t="inlineStr">
        <is>
          <t>2003-05-15</t>
        </is>
      </c>
      <c r="W861" t="inlineStr">
        <is>
          <t>1995-03-10</t>
        </is>
      </c>
      <c r="X861" t="inlineStr">
        <is>
          <t>1995-03-10</t>
        </is>
      </c>
      <c r="Y861" t="n">
        <v>440</v>
      </c>
      <c r="Z861" t="n">
        <v>426</v>
      </c>
      <c r="AA861" t="n">
        <v>433</v>
      </c>
      <c r="AB861" t="n">
        <v>2</v>
      </c>
      <c r="AC861" t="n">
        <v>2</v>
      </c>
      <c r="AD861" t="n">
        <v>18</v>
      </c>
      <c r="AE861" t="n">
        <v>18</v>
      </c>
      <c r="AF861" t="n">
        <v>6</v>
      </c>
      <c r="AG861" t="n">
        <v>6</v>
      </c>
      <c r="AH861" t="n">
        <v>6</v>
      </c>
      <c r="AI861" t="n">
        <v>6</v>
      </c>
      <c r="AJ861" t="n">
        <v>12</v>
      </c>
      <c r="AK861" t="n">
        <v>12</v>
      </c>
      <c r="AL861" t="n">
        <v>1</v>
      </c>
      <c r="AM861" t="n">
        <v>1</v>
      </c>
      <c r="AN861" t="n">
        <v>0</v>
      </c>
      <c r="AO861" t="n">
        <v>0</v>
      </c>
      <c r="AP861" t="inlineStr">
        <is>
          <t>No</t>
        </is>
      </c>
      <c r="AQ861" t="inlineStr">
        <is>
          <t>Yes</t>
        </is>
      </c>
      <c r="AR861">
        <f>HYPERLINK("http://catalog.hathitrust.org/Record/002907146","HathiTrust Record")</f>
        <v/>
      </c>
      <c r="AS861">
        <f>HYPERLINK("https://creighton-primo.hosted.exlibrisgroup.com/primo-explore/search?tab=default_tab&amp;search_scope=EVERYTHING&amp;vid=01CRU&amp;lang=en_US&amp;offset=0&amp;query=any,contains,991002375729702656","Catalog Record")</f>
        <v/>
      </c>
      <c r="AT861">
        <f>HYPERLINK("http://www.worldcat.org/oclc/30894311","WorldCat Record")</f>
        <v/>
      </c>
      <c r="AU861" t="inlineStr">
        <is>
          <t>1059194828:eng</t>
        </is>
      </c>
      <c r="AV861" t="inlineStr">
        <is>
          <t>30894311</t>
        </is>
      </c>
      <c r="AW861" t="inlineStr">
        <is>
          <t>991002375729702656</t>
        </is>
      </c>
      <c r="AX861" t="inlineStr">
        <is>
          <t>991002375729702656</t>
        </is>
      </c>
      <c r="AY861" t="inlineStr">
        <is>
          <t>2271587880002656</t>
        </is>
      </c>
      <c r="AZ861" t="inlineStr">
        <is>
          <t>BOOK</t>
        </is>
      </c>
      <c r="BB861" t="inlineStr">
        <is>
          <t>9781883642167</t>
        </is>
      </c>
      <c r="BC861" t="inlineStr">
        <is>
          <t>32285002001914</t>
        </is>
      </c>
      <c r="BD861" t="inlineStr">
        <is>
          <t>893352292</t>
        </is>
      </c>
    </row>
    <row r="862">
      <c r="A862" t="inlineStr">
        <is>
          <t>No</t>
        </is>
      </c>
      <c r="B862" t="inlineStr">
        <is>
          <t>PS3531.R23 W4</t>
        </is>
      </c>
      <c r="C862" t="inlineStr">
        <is>
          <t>0                      PS 3531000R  23                 W  4</t>
        </is>
      </c>
      <c r="D862" t="inlineStr">
        <is>
          <t>The well of the unicorn / George U. Fletcher [i.e. F. Pratt].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Pratt, Fletcher, 1897-1956.</t>
        </is>
      </c>
      <c r="L862" t="inlineStr">
        <is>
          <t>New York : Garland Pub., 1975, c1948.</t>
        </is>
      </c>
      <c r="M862" t="inlineStr">
        <is>
          <t>1975</t>
        </is>
      </c>
      <c r="O862" t="inlineStr">
        <is>
          <t>eng</t>
        </is>
      </c>
      <c r="P862" t="inlineStr">
        <is>
          <t>nyu</t>
        </is>
      </c>
      <c r="Q862" t="inlineStr">
        <is>
          <t>The Garland Library of science fiction</t>
        </is>
      </c>
      <c r="R862" t="inlineStr">
        <is>
          <t xml:space="preserve">PS </t>
        </is>
      </c>
      <c r="S862" t="n">
        <v>0</v>
      </c>
      <c r="T862" t="n">
        <v>0</v>
      </c>
      <c r="U862" t="inlineStr">
        <is>
          <t>2004-01-14</t>
        </is>
      </c>
      <c r="V862" t="inlineStr">
        <is>
          <t>2004-01-14</t>
        </is>
      </c>
      <c r="W862" t="inlineStr">
        <is>
          <t>1997-06-16</t>
        </is>
      </c>
      <c r="X862" t="inlineStr">
        <is>
          <t>1997-06-16</t>
        </is>
      </c>
      <c r="Y862" t="n">
        <v>190</v>
      </c>
      <c r="Z862" t="n">
        <v>168</v>
      </c>
      <c r="AA862" t="n">
        <v>251</v>
      </c>
      <c r="AB862" t="n">
        <v>2</v>
      </c>
      <c r="AC862" t="n">
        <v>2</v>
      </c>
      <c r="AD862" t="n">
        <v>3</v>
      </c>
      <c r="AE862" t="n">
        <v>5</v>
      </c>
      <c r="AF862" t="n">
        <v>1</v>
      </c>
      <c r="AG862" t="n">
        <v>2</v>
      </c>
      <c r="AH862" t="n">
        <v>1</v>
      </c>
      <c r="AI862" t="n">
        <v>2</v>
      </c>
      <c r="AJ862" t="n">
        <v>2</v>
      </c>
      <c r="AK862" t="n">
        <v>4</v>
      </c>
      <c r="AL862" t="n">
        <v>0</v>
      </c>
      <c r="AM862" t="n">
        <v>0</v>
      </c>
      <c r="AN862" t="n">
        <v>0</v>
      </c>
      <c r="AO862" t="n">
        <v>0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HYPERLINK("http://catalog.hathitrust.org/Record/000020379","HathiTrust Record")</f>
        <v/>
      </c>
      <c r="AS862">
        <f>HYPERLINK("https://creighton-primo.hosted.exlibrisgroup.com/primo-explore/search?tab=default_tab&amp;search_scope=EVERYTHING&amp;vid=01CRU&amp;lang=en_US&amp;offset=0&amp;query=any,contains,991003627539702656","Catalog Record")</f>
        <v/>
      </c>
      <c r="AT862">
        <f>HYPERLINK("http://www.worldcat.org/oclc/1218330","WorldCat Record")</f>
        <v/>
      </c>
      <c r="AU862" t="inlineStr">
        <is>
          <t>909244:eng</t>
        </is>
      </c>
      <c r="AV862" t="inlineStr">
        <is>
          <t>1218330</t>
        </is>
      </c>
      <c r="AW862" t="inlineStr">
        <is>
          <t>991003627539702656</t>
        </is>
      </c>
      <c r="AX862" t="inlineStr">
        <is>
          <t>991003627539702656</t>
        </is>
      </c>
      <c r="AY862" t="inlineStr">
        <is>
          <t>2271828990002656</t>
        </is>
      </c>
      <c r="AZ862" t="inlineStr">
        <is>
          <t>BOOK</t>
        </is>
      </c>
      <c r="BB862" t="inlineStr">
        <is>
          <t>9780824014100</t>
        </is>
      </c>
      <c r="BC862" t="inlineStr">
        <is>
          <t>32285002816436</t>
        </is>
      </c>
      <c r="BD862" t="inlineStr">
        <is>
          <t>893435214</t>
        </is>
      </c>
    </row>
    <row r="863">
      <c r="A863" t="inlineStr">
        <is>
          <t>No</t>
        </is>
      </c>
      <c r="B863" t="inlineStr">
        <is>
          <t>PS3531.R78 Z477 1983</t>
        </is>
      </c>
      <c r="C863" t="inlineStr">
        <is>
          <t>0                      PS 3531000R  78                 Z  477         1983</t>
        </is>
      </c>
      <c r="D863" t="inlineStr">
        <is>
          <t>Voices : a memoir / Frederic Prokosch.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Prokosch, Frederic, 1908-1989.</t>
        </is>
      </c>
      <c r="L863" t="inlineStr">
        <is>
          <t>New York : Farrar, Strauss, Giroux, c1983.</t>
        </is>
      </c>
      <c r="M863" t="inlineStr">
        <is>
          <t>1983</t>
        </is>
      </c>
      <c r="O863" t="inlineStr">
        <is>
          <t>eng</t>
        </is>
      </c>
      <c r="P863" t="inlineStr">
        <is>
          <t>nyu</t>
        </is>
      </c>
      <c r="R863" t="inlineStr">
        <is>
          <t xml:space="preserve">PS </t>
        </is>
      </c>
      <c r="S863" t="n">
        <v>2</v>
      </c>
      <c r="T863" t="n">
        <v>2</v>
      </c>
      <c r="U863" t="inlineStr">
        <is>
          <t>1994-06-30</t>
        </is>
      </c>
      <c r="V863" t="inlineStr">
        <is>
          <t>1994-06-30</t>
        </is>
      </c>
      <c r="W863" t="inlineStr">
        <is>
          <t>1990-02-05</t>
        </is>
      </c>
      <c r="X863" t="inlineStr">
        <is>
          <t>1990-02-05</t>
        </is>
      </c>
      <c r="Y863" t="n">
        <v>398</v>
      </c>
      <c r="Z863" t="n">
        <v>352</v>
      </c>
      <c r="AA863" t="n">
        <v>407</v>
      </c>
      <c r="AB863" t="n">
        <v>2</v>
      </c>
      <c r="AC863" t="n">
        <v>2</v>
      </c>
      <c r="AD863" t="n">
        <v>6</v>
      </c>
      <c r="AE863" t="n">
        <v>8</v>
      </c>
      <c r="AF863" t="n">
        <v>0</v>
      </c>
      <c r="AG863" t="n">
        <v>1</v>
      </c>
      <c r="AH863" t="n">
        <v>3</v>
      </c>
      <c r="AI863" t="n">
        <v>4</v>
      </c>
      <c r="AJ863" t="n">
        <v>3</v>
      </c>
      <c r="AK863" t="n">
        <v>4</v>
      </c>
      <c r="AL863" t="n">
        <v>1</v>
      </c>
      <c r="AM863" t="n">
        <v>1</v>
      </c>
      <c r="AN863" t="n">
        <v>0</v>
      </c>
      <c r="AO863" t="n">
        <v>0</v>
      </c>
      <c r="AP863" t="inlineStr">
        <is>
          <t>No</t>
        </is>
      </c>
      <c r="AQ863" t="inlineStr">
        <is>
          <t>No</t>
        </is>
      </c>
      <c r="AS863">
        <f>HYPERLINK("https://creighton-primo.hosted.exlibrisgroup.com/primo-explore/search?tab=default_tab&amp;search_scope=EVERYTHING&amp;vid=01CRU&amp;lang=en_US&amp;offset=0&amp;query=any,contains,991000131069702656","Catalog Record")</f>
        <v/>
      </c>
      <c r="AT863">
        <f>HYPERLINK("http://www.worldcat.org/oclc/9111472","WorldCat Record")</f>
        <v/>
      </c>
      <c r="AU863" t="inlineStr">
        <is>
          <t>197456396:eng</t>
        </is>
      </c>
      <c r="AV863" t="inlineStr">
        <is>
          <t>9111472</t>
        </is>
      </c>
      <c r="AW863" t="inlineStr">
        <is>
          <t>991000131069702656</t>
        </is>
      </c>
      <c r="AX863" t="inlineStr">
        <is>
          <t>991000131069702656</t>
        </is>
      </c>
      <c r="AY863" t="inlineStr">
        <is>
          <t>2266763170002656</t>
        </is>
      </c>
      <c r="AZ863" t="inlineStr">
        <is>
          <t>BOOK</t>
        </is>
      </c>
      <c r="BB863" t="inlineStr">
        <is>
          <t>9780374285098</t>
        </is>
      </c>
      <c r="BC863" t="inlineStr">
        <is>
          <t>32285000006162</t>
        </is>
      </c>
      <c r="BD863" t="inlineStr">
        <is>
          <t>893871439</t>
        </is>
      </c>
    </row>
    <row r="864">
      <c r="A864" t="inlineStr">
        <is>
          <t>No</t>
        </is>
      </c>
      <c r="B864" t="inlineStr">
        <is>
          <t>PS3531.U426 G37 1989</t>
        </is>
      </c>
      <c r="C864" t="inlineStr">
        <is>
          <t>0                      PS 3531000U  426                G  37          1989</t>
        </is>
      </c>
      <c r="D864" t="inlineStr">
        <is>
          <t>Garments the living wear / James Purdy.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Purdy, James, 1914-2009.</t>
        </is>
      </c>
      <c r="L864" t="inlineStr">
        <is>
          <t>San Francisco : City Lights Books, 1989.</t>
        </is>
      </c>
      <c r="M864" t="inlineStr">
        <is>
          <t>1989</t>
        </is>
      </c>
      <c r="O864" t="inlineStr">
        <is>
          <t>eng</t>
        </is>
      </c>
      <c r="P864" t="inlineStr">
        <is>
          <t>cau</t>
        </is>
      </c>
      <c r="R864" t="inlineStr">
        <is>
          <t xml:space="preserve">PS </t>
        </is>
      </c>
      <c r="S864" t="n">
        <v>2</v>
      </c>
      <c r="T864" t="n">
        <v>2</v>
      </c>
      <c r="U864" t="inlineStr">
        <is>
          <t>1998-09-05</t>
        </is>
      </c>
      <c r="V864" t="inlineStr">
        <is>
          <t>1998-09-05</t>
        </is>
      </c>
      <c r="W864" t="inlineStr">
        <is>
          <t>1997-01-27</t>
        </is>
      </c>
      <c r="X864" t="inlineStr">
        <is>
          <t>1997-01-27</t>
        </is>
      </c>
      <c r="Y864" t="n">
        <v>238</v>
      </c>
      <c r="Z864" t="n">
        <v>201</v>
      </c>
      <c r="AA864" t="n">
        <v>212</v>
      </c>
      <c r="AB864" t="n">
        <v>3</v>
      </c>
      <c r="AC864" t="n">
        <v>3</v>
      </c>
      <c r="AD864" t="n">
        <v>7</v>
      </c>
      <c r="AE864" t="n">
        <v>7</v>
      </c>
      <c r="AF864" t="n">
        <v>2</v>
      </c>
      <c r="AG864" t="n">
        <v>2</v>
      </c>
      <c r="AH864" t="n">
        <v>3</v>
      </c>
      <c r="AI864" t="n">
        <v>3</v>
      </c>
      <c r="AJ864" t="n">
        <v>3</v>
      </c>
      <c r="AK864" t="n">
        <v>3</v>
      </c>
      <c r="AL864" t="n">
        <v>2</v>
      </c>
      <c r="AM864" t="n">
        <v>2</v>
      </c>
      <c r="AN864" t="n">
        <v>0</v>
      </c>
      <c r="AO864" t="n">
        <v>0</v>
      </c>
      <c r="AP864" t="inlineStr">
        <is>
          <t>No</t>
        </is>
      </c>
      <c r="AQ864" t="inlineStr">
        <is>
          <t>No</t>
        </is>
      </c>
      <c r="AS864">
        <f>HYPERLINK("https://creighton-primo.hosted.exlibrisgroup.com/primo-explore/search?tab=default_tab&amp;search_scope=EVERYTHING&amp;vid=01CRU&amp;lang=en_US&amp;offset=0&amp;query=any,contains,991001516359702656","Catalog Record")</f>
        <v/>
      </c>
      <c r="AT864">
        <f>HYPERLINK("http://www.worldcat.org/oclc/19922747","WorldCat Record")</f>
        <v/>
      </c>
      <c r="AU864" t="inlineStr">
        <is>
          <t>21485303:eng</t>
        </is>
      </c>
      <c r="AV864" t="inlineStr">
        <is>
          <t>19922747</t>
        </is>
      </c>
      <c r="AW864" t="inlineStr">
        <is>
          <t>991001516359702656</t>
        </is>
      </c>
      <c r="AX864" t="inlineStr">
        <is>
          <t>991001516359702656</t>
        </is>
      </c>
      <c r="AY864" t="inlineStr">
        <is>
          <t>2269993150002656</t>
        </is>
      </c>
      <c r="AZ864" t="inlineStr">
        <is>
          <t>BOOK</t>
        </is>
      </c>
      <c r="BB864" t="inlineStr">
        <is>
          <t>9780872862401</t>
        </is>
      </c>
      <c r="BC864" t="inlineStr">
        <is>
          <t>32285002411733</t>
        </is>
      </c>
      <c r="BD864" t="inlineStr">
        <is>
          <t>893778843</t>
        </is>
      </c>
    </row>
    <row r="865">
      <c r="A865" t="inlineStr">
        <is>
          <t>No</t>
        </is>
      </c>
      <c r="B865" t="inlineStr">
        <is>
          <t>PS3533.U4 F5</t>
        </is>
      </c>
      <c r="C865" t="inlineStr">
        <is>
          <t>0                      PS 3533000U  4                  F  5</t>
        </is>
      </c>
      <c r="D865" t="inlineStr">
        <is>
          <t>The finishing stroke.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Queen, Ellery.</t>
        </is>
      </c>
      <c r="L865" t="inlineStr">
        <is>
          <t>New York, Simon and Schuster, 1958.</t>
        </is>
      </c>
      <c r="M865" t="inlineStr">
        <is>
          <t>1958</t>
        </is>
      </c>
      <c r="O865" t="inlineStr">
        <is>
          <t>eng</t>
        </is>
      </c>
      <c r="P865" t="inlineStr">
        <is>
          <t>nyu</t>
        </is>
      </c>
      <c r="Q865" t="inlineStr">
        <is>
          <t>An Inner sanctum mystery</t>
        </is>
      </c>
      <c r="R865" t="inlineStr">
        <is>
          <t xml:space="preserve">PS </t>
        </is>
      </c>
      <c r="S865" t="n">
        <v>4</v>
      </c>
      <c r="T865" t="n">
        <v>4</v>
      </c>
      <c r="U865" t="inlineStr">
        <is>
          <t>1999-10-27</t>
        </is>
      </c>
      <c r="V865" t="inlineStr">
        <is>
          <t>1999-10-27</t>
        </is>
      </c>
      <c r="W865" t="inlineStr">
        <is>
          <t>1997-06-16</t>
        </is>
      </c>
      <c r="X865" t="inlineStr">
        <is>
          <t>1997-06-16</t>
        </is>
      </c>
      <c r="Y865" t="n">
        <v>372</v>
      </c>
      <c r="Z865" t="n">
        <v>364</v>
      </c>
      <c r="AA865" t="n">
        <v>526</v>
      </c>
      <c r="AB865" t="n">
        <v>4</v>
      </c>
      <c r="AC865" t="n">
        <v>5</v>
      </c>
      <c r="AD865" t="n">
        <v>5</v>
      </c>
      <c r="AE865" t="n">
        <v>9</v>
      </c>
      <c r="AF865" t="n">
        <v>2</v>
      </c>
      <c r="AG865" t="n">
        <v>4</v>
      </c>
      <c r="AH865" t="n">
        <v>2</v>
      </c>
      <c r="AI865" t="n">
        <v>3</v>
      </c>
      <c r="AJ865" t="n">
        <v>2</v>
      </c>
      <c r="AK865" t="n">
        <v>3</v>
      </c>
      <c r="AL865" t="n">
        <v>0</v>
      </c>
      <c r="AM865" t="n">
        <v>1</v>
      </c>
      <c r="AN865" t="n">
        <v>0</v>
      </c>
      <c r="AO865" t="n">
        <v>0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HYPERLINK("http://catalog.hathitrust.org/Record/101865977","HathiTrust Record")</f>
        <v/>
      </c>
      <c r="AS865">
        <f>HYPERLINK("https://creighton-primo.hosted.exlibrisgroup.com/primo-explore/search?tab=default_tab&amp;search_scope=EVERYTHING&amp;vid=01CRU&amp;lang=en_US&amp;offset=0&amp;query=any,contains,991003895169702656","Catalog Record")</f>
        <v/>
      </c>
      <c r="AT865">
        <f>HYPERLINK("http://www.worldcat.org/oclc/1807214","WorldCat Record")</f>
        <v/>
      </c>
      <c r="AU865" t="inlineStr">
        <is>
          <t>2551606:eng</t>
        </is>
      </c>
      <c r="AV865" t="inlineStr">
        <is>
          <t>1807214</t>
        </is>
      </c>
      <c r="AW865" t="inlineStr">
        <is>
          <t>991003895169702656</t>
        </is>
      </c>
      <c r="AX865" t="inlineStr">
        <is>
          <t>991003895169702656</t>
        </is>
      </c>
      <c r="AY865" t="inlineStr">
        <is>
          <t>2271634820002656</t>
        </is>
      </c>
      <c r="AZ865" t="inlineStr">
        <is>
          <t>BOOK</t>
        </is>
      </c>
      <c r="BC865" t="inlineStr">
        <is>
          <t>32285002816568</t>
        </is>
      </c>
      <c r="BD865" t="inlineStr">
        <is>
          <t>893624105</t>
        </is>
      </c>
    </row>
    <row r="866">
      <c r="A866" t="inlineStr">
        <is>
          <t>No</t>
        </is>
      </c>
      <c r="B866" t="inlineStr">
        <is>
          <t>PS3533.U4 F6</t>
        </is>
      </c>
      <c r="C866" t="inlineStr">
        <is>
          <t>0                      PS 3533000U  4                  F  6</t>
        </is>
      </c>
      <c r="D866" t="inlineStr">
        <is>
          <t>The four of hearts / Ellery Queen.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K866" t="inlineStr">
        <is>
          <t>Queen, Ellery.</t>
        </is>
      </c>
      <c r="L866" t="inlineStr">
        <is>
          <t>New York : Triangle Books, 1941, c1938.</t>
        </is>
      </c>
      <c r="M866" t="inlineStr">
        <is>
          <t>1941</t>
        </is>
      </c>
      <c r="O866" t="inlineStr">
        <is>
          <t>eng</t>
        </is>
      </c>
      <c r="P866" t="inlineStr">
        <is>
          <t>nyu</t>
        </is>
      </c>
      <c r="R866" t="inlineStr">
        <is>
          <t xml:space="preserve">PS </t>
        </is>
      </c>
      <c r="S866" t="n">
        <v>3</v>
      </c>
      <c r="T866" t="n">
        <v>3</v>
      </c>
      <c r="U866" t="inlineStr">
        <is>
          <t>1999-09-22</t>
        </is>
      </c>
      <c r="V866" t="inlineStr">
        <is>
          <t>1999-09-22</t>
        </is>
      </c>
      <c r="W866" t="inlineStr">
        <is>
          <t>1997-06-16</t>
        </is>
      </c>
      <c r="X866" t="inlineStr">
        <is>
          <t>1997-06-16</t>
        </is>
      </c>
      <c r="Y866" t="n">
        <v>21</v>
      </c>
      <c r="Z866" t="n">
        <v>18</v>
      </c>
      <c r="AA866" t="n">
        <v>203</v>
      </c>
      <c r="AB866" t="n">
        <v>1</v>
      </c>
      <c r="AC866" t="n">
        <v>1</v>
      </c>
      <c r="AD866" t="n">
        <v>1</v>
      </c>
      <c r="AE866" t="n">
        <v>2</v>
      </c>
      <c r="AF866" t="n">
        <v>0</v>
      </c>
      <c r="AG866" t="n">
        <v>0</v>
      </c>
      <c r="AH866" t="n">
        <v>0</v>
      </c>
      <c r="AI866" t="n">
        <v>0</v>
      </c>
      <c r="AJ866" t="n">
        <v>1</v>
      </c>
      <c r="AK866" t="n">
        <v>2</v>
      </c>
      <c r="AL866" t="n">
        <v>0</v>
      </c>
      <c r="AM866" t="n">
        <v>0</v>
      </c>
      <c r="AN866" t="n">
        <v>0</v>
      </c>
      <c r="AO866" t="n">
        <v>0</v>
      </c>
      <c r="AP866" t="inlineStr">
        <is>
          <t>No</t>
        </is>
      </c>
      <c r="AQ866" t="inlineStr">
        <is>
          <t>No</t>
        </is>
      </c>
      <c r="AS866">
        <f>HYPERLINK("https://creighton-primo.hosted.exlibrisgroup.com/primo-explore/search?tab=default_tab&amp;search_scope=EVERYTHING&amp;vid=01CRU&amp;lang=en_US&amp;offset=0&amp;query=any,contains,991003936979702656","Catalog Record")</f>
        <v/>
      </c>
      <c r="AT866">
        <f>HYPERLINK("http://www.worldcat.org/oclc/1916645","WorldCat Record")</f>
        <v/>
      </c>
      <c r="AU866" t="inlineStr">
        <is>
          <t>3943438931:eng</t>
        </is>
      </c>
      <c r="AV866" t="inlineStr">
        <is>
          <t>1916645</t>
        </is>
      </c>
      <c r="AW866" t="inlineStr">
        <is>
          <t>991003936979702656</t>
        </is>
      </c>
      <c r="AX866" t="inlineStr">
        <is>
          <t>991003936979702656</t>
        </is>
      </c>
      <c r="AY866" t="inlineStr">
        <is>
          <t>2255518130002656</t>
        </is>
      </c>
      <c r="AZ866" t="inlineStr">
        <is>
          <t>BOOK</t>
        </is>
      </c>
      <c r="BC866" t="inlineStr">
        <is>
          <t>32285002816576</t>
        </is>
      </c>
      <c r="BD866" t="inlineStr">
        <is>
          <t>893781662</t>
        </is>
      </c>
    </row>
    <row r="867">
      <c r="A867" t="inlineStr">
        <is>
          <t>No</t>
        </is>
      </c>
      <c r="B867" t="inlineStr">
        <is>
          <t>PS3533.U4 H3</t>
        </is>
      </c>
      <c r="C867" t="inlineStr">
        <is>
          <t>0                      PS 3533000U  4                  H  3</t>
        </is>
      </c>
      <c r="D867" t="inlineStr">
        <is>
          <t>Halfway house : a problem in deduction / by Ellery Queen.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K867" t="inlineStr">
        <is>
          <t>Queen, Ellery.</t>
        </is>
      </c>
      <c r="L867" t="inlineStr">
        <is>
          <t>New York : Grosset &amp; Dunlap, c1936.</t>
        </is>
      </c>
      <c r="M867" t="inlineStr">
        <is>
          <t>1936</t>
        </is>
      </c>
      <c r="O867" t="inlineStr">
        <is>
          <t>eng</t>
        </is>
      </c>
      <c r="P867" t="inlineStr">
        <is>
          <t>nyu</t>
        </is>
      </c>
      <c r="R867" t="inlineStr">
        <is>
          <t xml:space="preserve">PS </t>
        </is>
      </c>
      <c r="S867" t="n">
        <v>2</v>
      </c>
      <c r="T867" t="n">
        <v>2</v>
      </c>
      <c r="U867" t="inlineStr">
        <is>
          <t>1999-10-27</t>
        </is>
      </c>
      <c r="V867" t="inlineStr">
        <is>
          <t>1999-10-27</t>
        </is>
      </c>
      <c r="W867" t="inlineStr">
        <is>
          <t>1997-06-16</t>
        </is>
      </c>
      <c r="X867" t="inlineStr">
        <is>
          <t>1997-06-16</t>
        </is>
      </c>
      <c r="Y867" t="n">
        <v>22</v>
      </c>
      <c r="Z867" t="n">
        <v>20</v>
      </c>
      <c r="AA867" t="n">
        <v>90</v>
      </c>
      <c r="AB867" t="n">
        <v>1</v>
      </c>
      <c r="AC867" t="n">
        <v>1</v>
      </c>
      <c r="AD867" t="n">
        <v>1</v>
      </c>
      <c r="AE867" t="n">
        <v>2</v>
      </c>
      <c r="AF867" t="n">
        <v>0</v>
      </c>
      <c r="AG867" t="n">
        <v>0</v>
      </c>
      <c r="AH867" t="n">
        <v>0</v>
      </c>
      <c r="AI867" t="n">
        <v>0</v>
      </c>
      <c r="AJ867" t="n">
        <v>1</v>
      </c>
      <c r="AK867" t="n">
        <v>2</v>
      </c>
      <c r="AL867" t="n">
        <v>0</v>
      </c>
      <c r="AM867" t="n">
        <v>0</v>
      </c>
      <c r="AN867" t="n">
        <v>0</v>
      </c>
      <c r="AO867" t="n">
        <v>0</v>
      </c>
      <c r="AP867" t="inlineStr">
        <is>
          <t>No</t>
        </is>
      </c>
      <c r="AQ867" t="inlineStr">
        <is>
          <t>No</t>
        </is>
      </c>
      <c r="AS867">
        <f>HYPERLINK("https://creighton-primo.hosted.exlibrisgroup.com/primo-explore/search?tab=default_tab&amp;search_scope=EVERYTHING&amp;vid=01CRU&amp;lang=en_US&amp;offset=0&amp;query=any,contains,991005240929702656","Catalog Record")</f>
        <v/>
      </c>
      <c r="AT867">
        <f>HYPERLINK("http://www.worldcat.org/oclc/8412081","WorldCat Record")</f>
        <v/>
      </c>
      <c r="AU867" t="inlineStr">
        <is>
          <t>3943513009:eng</t>
        </is>
      </c>
      <c r="AV867" t="inlineStr">
        <is>
          <t>8412081</t>
        </is>
      </c>
      <c r="AW867" t="inlineStr">
        <is>
          <t>991005240929702656</t>
        </is>
      </c>
      <c r="AX867" t="inlineStr">
        <is>
          <t>991005240929702656</t>
        </is>
      </c>
      <c r="AY867" t="inlineStr">
        <is>
          <t>2257334860002656</t>
        </is>
      </c>
      <c r="AZ867" t="inlineStr">
        <is>
          <t>BOOK</t>
        </is>
      </c>
      <c r="BC867" t="inlineStr">
        <is>
          <t>32285002816584</t>
        </is>
      </c>
      <c r="BD867" t="inlineStr">
        <is>
          <t>893326445</t>
        </is>
      </c>
    </row>
    <row r="868">
      <c r="A868" t="inlineStr">
        <is>
          <t>No</t>
        </is>
      </c>
      <c r="B868" t="inlineStr">
        <is>
          <t>PS3535 .I654 1969</t>
        </is>
      </c>
      <c r="C868" t="inlineStr">
        <is>
          <t>0                      PS 3535000I  654         1969</t>
        </is>
      </c>
      <c r="D868" t="inlineStr">
        <is>
          <t>Nibsy's Christmas.</t>
        </is>
      </c>
      <c r="F868" t="inlineStr">
        <is>
          <t>No</t>
        </is>
      </c>
      <c r="G868" t="inlineStr">
        <is>
          <t>1</t>
        </is>
      </c>
      <c r="H868" t="inlineStr">
        <is>
          <t>No</t>
        </is>
      </c>
      <c r="I868" t="inlineStr">
        <is>
          <t>No</t>
        </is>
      </c>
      <c r="J868" t="inlineStr">
        <is>
          <t>0</t>
        </is>
      </c>
      <c r="K868" t="inlineStr">
        <is>
          <t>Riis, Jacob A. (Jacob August), 1849-1914.</t>
        </is>
      </c>
      <c r="L868" t="inlineStr">
        <is>
          <t>Freeport, N.Y., Books for Libraries Press [1969]</t>
        </is>
      </c>
      <c r="M868" t="inlineStr">
        <is>
          <t>1969</t>
        </is>
      </c>
      <c r="O868" t="inlineStr">
        <is>
          <t>eng</t>
        </is>
      </c>
      <c r="P868" t="inlineStr">
        <is>
          <t>nyu</t>
        </is>
      </c>
      <c r="Q868" t="inlineStr">
        <is>
          <t>Short story index reprint series</t>
        </is>
      </c>
      <c r="R868" t="inlineStr">
        <is>
          <t xml:space="preserve">PS </t>
        </is>
      </c>
      <c r="S868" t="n">
        <v>2</v>
      </c>
      <c r="T868" t="n">
        <v>2</v>
      </c>
      <c r="U868" t="inlineStr">
        <is>
          <t>2003-04-23</t>
        </is>
      </c>
      <c r="V868" t="inlineStr">
        <is>
          <t>2003-04-23</t>
        </is>
      </c>
      <c r="W868" t="inlineStr">
        <is>
          <t>1997-06-17</t>
        </is>
      </c>
      <c r="X868" t="inlineStr">
        <is>
          <t>1997-06-17</t>
        </is>
      </c>
      <c r="Y868" t="n">
        <v>183</v>
      </c>
      <c r="Z868" t="n">
        <v>177</v>
      </c>
      <c r="AA868" t="n">
        <v>251</v>
      </c>
      <c r="AB868" t="n">
        <v>3</v>
      </c>
      <c r="AC868" t="n">
        <v>3</v>
      </c>
      <c r="AD868" t="n">
        <v>7</v>
      </c>
      <c r="AE868" t="n">
        <v>7</v>
      </c>
      <c r="AF868" t="n">
        <v>1</v>
      </c>
      <c r="AG868" t="n">
        <v>1</v>
      </c>
      <c r="AH868" t="n">
        <v>2</v>
      </c>
      <c r="AI868" t="n">
        <v>2</v>
      </c>
      <c r="AJ868" t="n">
        <v>3</v>
      </c>
      <c r="AK868" t="n">
        <v>3</v>
      </c>
      <c r="AL868" t="n">
        <v>2</v>
      </c>
      <c r="AM868" t="n">
        <v>2</v>
      </c>
      <c r="AN868" t="n">
        <v>0</v>
      </c>
      <c r="AO868" t="n">
        <v>0</v>
      </c>
      <c r="AP868" t="inlineStr">
        <is>
          <t>No</t>
        </is>
      </c>
      <c r="AQ868" t="inlineStr">
        <is>
          <t>No</t>
        </is>
      </c>
      <c r="AS868">
        <f>HYPERLINK("https://creighton-primo.hosted.exlibrisgroup.com/primo-explore/search?tab=default_tab&amp;search_scope=EVERYTHING&amp;vid=01CRU&amp;lang=en_US&amp;offset=0&amp;query=any,contains,991000011719702656","Catalog Record")</f>
        <v/>
      </c>
      <c r="AT868">
        <f>HYPERLINK("http://www.worldcat.org/oclc/14949","WorldCat Record")</f>
        <v/>
      </c>
      <c r="AU868" t="inlineStr">
        <is>
          <t>1137655:eng</t>
        </is>
      </c>
      <c r="AV868" t="inlineStr">
        <is>
          <t>14949</t>
        </is>
      </c>
      <c r="AW868" t="inlineStr">
        <is>
          <t>991000011719702656</t>
        </is>
      </c>
      <c r="AX868" t="inlineStr">
        <is>
          <t>991000011719702656</t>
        </is>
      </c>
      <c r="AY868" t="inlineStr">
        <is>
          <t>2265928430002656</t>
        </is>
      </c>
      <c r="AZ868" t="inlineStr">
        <is>
          <t>BOOK</t>
        </is>
      </c>
      <c r="BB868" t="inlineStr">
        <is>
          <t>9780836930733</t>
        </is>
      </c>
      <c r="BC868" t="inlineStr">
        <is>
          <t>32285002816915</t>
        </is>
      </c>
      <c r="BD868" t="inlineStr">
        <is>
          <t>893796326</t>
        </is>
      </c>
    </row>
    <row r="869">
      <c r="A869" t="inlineStr">
        <is>
          <t>No</t>
        </is>
      </c>
      <c r="B869" t="inlineStr">
        <is>
          <t>PS3535.A945 F3</t>
        </is>
      </c>
      <c r="C869" t="inlineStr">
        <is>
          <t>0                      PS 3535000A  945                F  3</t>
        </is>
      </c>
      <c r="D869" t="inlineStr">
        <is>
          <t>The family that overtook Christ [by] M. Raymond, O. C. S. O.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M. Raymond, Father, O.C.S.O., 1903-1990.</t>
        </is>
      </c>
      <c r="L869" t="inlineStr">
        <is>
          <t>New York, P. J. Kenedy &amp; sons [1942]</t>
        </is>
      </c>
      <c r="M869" t="inlineStr">
        <is>
          <t>1942</t>
        </is>
      </c>
      <c r="O869" t="inlineStr">
        <is>
          <t>eng</t>
        </is>
      </c>
      <c r="P869" t="inlineStr">
        <is>
          <t xml:space="preserve">xx </t>
        </is>
      </c>
      <c r="R869" t="inlineStr">
        <is>
          <t xml:space="preserve">PS </t>
        </is>
      </c>
      <c r="S869" t="n">
        <v>0</v>
      </c>
      <c r="T869" t="n">
        <v>0</v>
      </c>
      <c r="U869" t="inlineStr">
        <is>
          <t>2001-09-19</t>
        </is>
      </c>
      <c r="V869" t="inlineStr">
        <is>
          <t>2001-09-19</t>
        </is>
      </c>
      <c r="W869" t="inlineStr">
        <is>
          <t>1997-06-17</t>
        </is>
      </c>
      <c r="X869" t="inlineStr">
        <is>
          <t>1997-06-17</t>
        </is>
      </c>
      <c r="Y869" t="n">
        <v>148</v>
      </c>
      <c r="Z869" t="n">
        <v>128</v>
      </c>
      <c r="AA869" t="n">
        <v>154</v>
      </c>
      <c r="AB869" t="n">
        <v>1</v>
      </c>
      <c r="AC869" t="n">
        <v>1</v>
      </c>
      <c r="AD869" t="n">
        <v>18</v>
      </c>
      <c r="AE869" t="n">
        <v>19</v>
      </c>
      <c r="AF869" t="n">
        <v>6</v>
      </c>
      <c r="AG869" t="n">
        <v>6</v>
      </c>
      <c r="AH869" t="n">
        <v>4</v>
      </c>
      <c r="AI869" t="n">
        <v>4</v>
      </c>
      <c r="AJ869" t="n">
        <v>12</v>
      </c>
      <c r="AK869" t="n">
        <v>13</v>
      </c>
      <c r="AL869" t="n">
        <v>0</v>
      </c>
      <c r="AM869" t="n">
        <v>0</v>
      </c>
      <c r="AN869" t="n">
        <v>0</v>
      </c>
      <c r="AO869" t="n">
        <v>0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HYPERLINK("https://creighton-primo.hosted.exlibrisgroup.com/primo-explore/search?tab=default_tab&amp;search_scope=EVERYTHING&amp;vid=01CRU&amp;lang=en_US&amp;offset=0&amp;query=any,contains,991003064239702656","Catalog Record")</f>
        <v/>
      </c>
      <c r="AT869">
        <f>HYPERLINK("http://www.worldcat.org/oclc/620910","WorldCat Record")</f>
        <v/>
      </c>
      <c r="AU869" t="inlineStr">
        <is>
          <t>8910125038:eng</t>
        </is>
      </c>
      <c r="AV869" t="inlineStr">
        <is>
          <t>620910</t>
        </is>
      </c>
      <c r="AW869" t="inlineStr">
        <is>
          <t>991003064239702656</t>
        </is>
      </c>
      <c r="AX869" t="inlineStr">
        <is>
          <t>991003064239702656</t>
        </is>
      </c>
      <c r="AY869" t="inlineStr">
        <is>
          <t>2255429890002656</t>
        </is>
      </c>
      <c r="AZ869" t="inlineStr">
        <is>
          <t>BOOK</t>
        </is>
      </c>
      <c r="BC869" t="inlineStr">
        <is>
          <t>32285002816675</t>
        </is>
      </c>
      <c r="BD869" t="inlineStr">
        <is>
          <t>893518102</t>
        </is>
      </c>
    </row>
    <row r="870">
      <c r="A870" t="inlineStr">
        <is>
          <t>No</t>
        </is>
      </c>
      <c r="B870" t="inlineStr">
        <is>
          <t>PS3535.E923 Z5 1978</t>
        </is>
      </c>
      <c r="C870" t="inlineStr">
        <is>
          <t>0                      PS 3535000E  923                Z  5           1978</t>
        </is>
      </c>
      <c r="D870" t="inlineStr">
        <is>
          <t>An autobiographical novel / Kenneth Rexroth.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No</t>
        </is>
      </c>
      <c r="J870" t="inlineStr">
        <is>
          <t>0</t>
        </is>
      </c>
      <c r="K870" t="inlineStr">
        <is>
          <t>Rexroth, Kenneth, 1905-1982.</t>
        </is>
      </c>
      <c r="L870" t="inlineStr">
        <is>
          <t>Santa Barbara : Ross-Erikson, 1978.</t>
        </is>
      </c>
      <c r="M870" t="inlineStr">
        <is>
          <t>1978</t>
        </is>
      </c>
      <c r="O870" t="inlineStr">
        <is>
          <t>eng</t>
        </is>
      </c>
      <c r="P870" t="inlineStr">
        <is>
          <t>cau</t>
        </is>
      </c>
      <c r="R870" t="inlineStr">
        <is>
          <t xml:space="preserve">PS </t>
        </is>
      </c>
      <c r="S870" t="n">
        <v>1</v>
      </c>
      <c r="T870" t="n">
        <v>1</v>
      </c>
      <c r="U870" t="inlineStr">
        <is>
          <t>2002-11-21</t>
        </is>
      </c>
      <c r="V870" t="inlineStr">
        <is>
          <t>2002-11-21</t>
        </is>
      </c>
      <c r="W870" t="inlineStr">
        <is>
          <t>2002-11-21</t>
        </is>
      </c>
      <c r="X870" t="inlineStr">
        <is>
          <t>2002-11-21</t>
        </is>
      </c>
      <c r="Y870" t="n">
        <v>81</v>
      </c>
      <c r="Z870" t="n">
        <v>70</v>
      </c>
      <c r="AA870" t="n">
        <v>829</v>
      </c>
      <c r="AB870" t="n">
        <v>1</v>
      </c>
      <c r="AC870" t="n">
        <v>6</v>
      </c>
      <c r="AD870" t="n">
        <v>4</v>
      </c>
      <c r="AE870" t="n">
        <v>39</v>
      </c>
      <c r="AF870" t="n">
        <v>2</v>
      </c>
      <c r="AG870" t="n">
        <v>18</v>
      </c>
      <c r="AH870" t="n">
        <v>1</v>
      </c>
      <c r="AI870" t="n">
        <v>7</v>
      </c>
      <c r="AJ870" t="n">
        <v>1</v>
      </c>
      <c r="AK870" t="n">
        <v>21</v>
      </c>
      <c r="AL870" t="n">
        <v>0</v>
      </c>
      <c r="AM870" t="n">
        <v>5</v>
      </c>
      <c r="AN870" t="n">
        <v>0</v>
      </c>
      <c r="AO870" t="n">
        <v>0</v>
      </c>
      <c r="AP870" t="inlineStr">
        <is>
          <t>No</t>
        </is>
      </c>
      <c r="AQ870" t="inlineStr">
        <is>
          <t>No</t>
        </is>
      </c>
      <c r="AS870">
        <f>HYPERLINK("https://creighton-primo.hosted.exlibrisgroup.com/primo-explore/search?tab=default_tab&amp;search_scope=EVERYTHING&amp;vid=01CRU&amp;lang=en_US&amp;offset=0&amp;query=any,contains,991003949289702656","Catalog Record")</f>
        <v/>
      </c>
      <c r="AT870">
        <f>HYPERLINK("http://www.worldcat.org/oclc/4142183","WorldCat Record")</f>
        <v/>
      </c>
      <c r="AU870" t="inlineStr">
        <is>
          <t>57478332:eng</t>
        </is>
      </c>
      <c r="AV870" t="inlineStr">
        <is>
          <t>4142183</t>
        </is>
      </c>
      <c r="AW870" t="inlineStr">
        <is>
          <t>991003949289702656</t>
        </is>
      </c>
      <c r="AX870" t="inlineStr">
        <is>
          <t>991003949289702656</t>
        </is>
      </c>
      <c r="AY870" t="inlineStr">
        <is>
          <t>2263660730002656</t>
        </is>
      </c>
      <c r="AZ870" t="inlineStr">
        <is>
          <t>BOOK</t>
        </is>
      </c>
      <c r="BB870" t="inlineStr">
        <is>
          <t>9780915520152</t>
        </is>
      </c>
      <c r="BC870" t="inlineStr">
        <is>
          <t>32285004665666</t>
        </is>
      </c>
      <c r="BD870" t="inlineStr">
        <is>
          <t>893499918</t>
        </is>
      </c>
    </row>
    <row r="871">
      <c r="A871" t="inlineStr">
        <is>
          <t>No</t>
        </is>
      </c>
      <c r="B871" t="inlineStr">
        <is>
          <t>PS3535.E98 Z53 1984</t>
        </is>
      </c>
      <c r="C871" t="inlineStr">
        <is>
          <t>0                      PS 3535000E  98                 Z  53          1984</t>
        </is>
      </c>
      <c r="D871" t="inlineStr">
        <is>
          <t>Charles Reznikoff : man and poet / edited by Milton Hindus.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L871" t="inlineStr">
        <is>
          <t>Orono, Me. : National Poetry Foundation, University of Maine at Orono, c1984.</t>
        </is>
      </c>
      <c r="M871" t="inlineStr">
        <is>
          <t>1984</t>
        </is>
      </c>
      <c r="O871" t="inlineStr">
        <is>
          <t>eng</t>
        </is>
      </c>
      <c r="P871" t="inlineStr">
        <is>
          <t>meu</t>
        </is>
      </c>
      <c r="Q871" t="inlineStr">
        <is>
          <t>The Man and poet series</t>
        </is>
      </c>
      <c r="R871" t="inlineStr">
        <is>
          <t xml:space="preserve">PS </t>
        </is>
      </c>
      <c r="S871" t="n">
        <v>5</v>
      </c>
      <c r="T871" t="n">
        <v>5</v>
      </c>
      <c r="U871" t="inlineStr">
        <is>
          <t>1997-07-03</t>
        </is>
      </c>
      <c r="V871" t="inlineStr">
        <is>
          <t>1997-07-03</t>
        </is>
      </c>
      <c r="W871" t="inlineStr">
        <is>
          <t>1990-11-29</t>
        </is>
      </c>
      <c r="X871" t="inlineStr">
        <is>
          <t>1990-11-29</t>
        </is>
      </c>
      <c r="Y871" t="n">
        <v>264</v>
      </c>
      <c r="Z871" t="n">
        <v>222</v>
      </c>
      <c r="AA871" t="n">
        <v>229</v>
      </c>
      <c r="AB871" t="n">
        <v>3</v>
      </c>
      <c r="AC871" t="n">
        <v>3</v>
      </c>
      <c r="AD871" t="n">
        <v>12</v>
      </c>
      <c r="AE871" t="n">
        <v>12</v>
      </c>
      <c r="AF871" t="n">
        <v>2</v>
      </c>
      <c r="AG871" t="n">
        <v>2</v>
      </c>
      <c r="AH871" t="n">
        <v>5</v>
      </c>
      <c r="AI871" t="n">
        <v>5</v>
      </c>
      <c r="AJ871" t="n">
        <v>6</v>
      </c>
      <c r="AK871" t="n">
        <v>6</v>
      </c>
      <c r="AL871" t="n">
        <v>2</v>
      </c>
      <c r="AM871" t="n">
        <v>2</v>
      </c>
      <c r="AN871" t="n">
        <v>0</v>
      </c>
      <c r="AO871" t="n">
        <v>0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HYPERLINK("http://catalog.hathitrust.org/Record/002469247","HathiTrust Record")</f>
        <v/>
      </c>
      <c r="AS871">
        <f>HYPERLINK("https://creighton-primo.hosted.exlibrisgroup.com/primo-explore/search?tab=default_tab&amp;search_scope=EVERYTHING&amp;vid=01CRU&amp;lang=en_US&amp;offset=0&amp;query=any,contains,991000518059702656","Catalog Record")</f>
        <v/>
      </c>
      <c r="AT871">
        <f>HYPERLINK("http://www.worldcat.org/oclc/11305177","WorldCat Record")</f>
        <v/>
      </c>
      <c r="AU871" t="inlineStr">
        <is>
          <t>836668743:eng</t>
        </is>
      </c>
      <c r="AV871" t="inlineStr">
        <is>
          <t>11305177</t>
        </is>
      </c>
      <c r="AW871" t="inlineStr">
        <is>
          <t>991000518059702656</t>
        </is>
      </c>
      <c r="AX871" t="inlineStr">
        <is>
          <t>991000518059702656</t>
        </is>
      </c>
      <c r="AY871" t="inlineStr">
        <is>
          <t>2259563610002656</t>
        </is>
      </c>
      <c r="AZ871" t="inlineStr">
        <is>
          <t>BOOK</t>
        </is>
      </c>
      <c r="BB871" t="inlineStr">
        <is>
          <t>9780915032600</t>
        </is>
      </c>
      <c r="BC871" t="inlineStr">
        <is>
          <t>32285000417047</t>
        </is>
      </c>
      <c r="BD871" t="inlineStr">
        <is>
          <t>893890761</t>
        </is>
      </c>
    </row>
    <row r="872">
      <c r="A872" t="inlineStr">
        <is>
          <t>No</t>
        </is>
      </c>
      <c r="B872" t="inlineStr">
        <is>
          <t>PS3535.I224 Z62</t>
        </is>
      </c>
      <c r="C872" t="inlineStr">
        <is>
          <t>0                      PS 3535000I  224                Z  62</t>
        </is>
      </c>
      <c r="D872" t="inlineStr">
        <is>
          <t>Elmer Rice.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K872" t="inlineStr">
        <is>
          <t>Durham, Frank.</t>
        </is>
      </c>
      <c r="L872" t="inlineStr">
        <is>
          <t>New York : Twayne Publishers, [1970]</t>
        </is>
      </c>
      <c r="M872" t="inlineStr">
        <is>
          <t>1970</t>
        </is>
      </c>
      <c r="O872" t="inlineStr">
        <is>
          <t>eng</t>
        </is>
      </c>
      <c r="P872" t="inlineStr">
        <is>
          <t>nyu</t>
        </is>
      </c>
      <c r="Q872" t="inlineStr">
        <is>
          <t>Twayne's United States authors series ; TUSAS 167</t>
        </is>
      </c>
      <c r="R872" t="inlineStr">
        <is>
          <t xml:space="preserve">PS </t>
        </is>
      </c>
      <c r="S872" t="n">
        <v>4</v>
      </c>
      <c r="T872" t="n">
        <v>4</v>
      </c>
      <c r="U872" t="inlineStr">
        <is>
          <t>2003-07-11</t>
        </is>
      </c>
      <c r="V872" t="inlineStr">
        <is>
          <t>2003-07-11</t>
        </is>
      </c>
      <c r="W872" t="inlineStr">
        <is>
          <t>1992-08-19</t>
        </is>
      </c>
      <c r="X872" t="inlineStr">
        <is>
          <t>1992-08-19</t>
        </is>
      </c>
      <c r="Y872" t="n">
        <v>944</v>
      </c>
      <c r="Z872" t="n">
        <v>850</v>
      </c>
      <c r="AA872" t="n">
        <v>859</v>
      </c>
      <c r="AB872" t="n">
        <v>7</v>
      </c>
      <c r="AC872" t="n">
        <v>7</v>
      </c>
      <c r="AD872" t="n">
        <v>38</v>
      </c>
      <c r="AE872" t="n">
        <v>38</v>
      </c>
      <c r="AF872" t="n">
        <v>13</v>
      </c>
      <c r="AG872" t="n">
        <v>13</v>
      </c>
      <c r="AH872" t="n">
        <v>6</v>
      </c>
      <c r="AI872" t="n">
        <v>6</v>
      </c>
      <c r="AJ872" t="n">
        <v>21</v>
      </c>
      <c r="AK872" t="n">
        <v>21</v>
      </c>
      <c r="AL872" t="n">
        <v>6</v>
      </c>
      <c r="AM872" t="n">
        <v>6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HYPERLINK("http://catalog.hathitrust.org/Record/001377246","HathiTrust Record")</f>
        <v/>
      </c>
      <c r="AS872">
        <f>HYPERLINK("https://creighton-primo.hosted.exlibrisgroup.com/primo-explore/search?tab=default_tab&amp;search_scope=EVERYTHING&amp;vid=01CRU&amp;lang=en_US&amp;offset=0&amp;query=any,contains,991000516129702656","Catalog Record")</f>
        <v/>
      </c>
      <c r="AT872">
        <f>HYPERLINK("http://www.worldcat.org/oclc/85731","WorldCat Record")</f>
        <v/>
      </c>
      <c r="AU872" t="inlineStr">
        <is>
          <t>1279815:eng</t>
        </is>
      </c>
      <c r="AV872" t="inlineStr">
        <is>
          <t>85731</t>
        </is>
      </c>
      <c r="AW872" t="inlineStr">
        <is>
          <t>991000516129702656</t>
        </is>
      </c>
      <c r="AX872" t="inlineStr">
        <is>
          <t>991000516129702656</t>
        </is>
      </c>
      <c r="AY872" t="inlineStr">
        <is>
          <t>2267260240002656</t>
        </is>
      </c>
      <c r="AZ872" t="inlineStr">
        <is>
          <t>BOOK</t>
        </is>
      </c>
      <c r="BC872" t="inlineStr">
        <is>
          <t>32285001246411</t>
        </is>
      </c>
      <c r="BD872" t="inlineStr">
        <is>
          <t>893339612</t>
        </is>
      </c>
    </row>
    <row r="873">
      <c r="A873" t="inlineStr">
        <is>
          <t>No</t>
        </is>
      </c>
      <c r="B873" t="inlineStr">
        <is>
          <t>PS3535.I224 Z83</t>
        </is>
      </c>
      <c r="C873" t="inlineStr">
        <is>
          <t>0                      PS 3535000I  224                Z  83</t>
        </is>
      </c>
      <c r="D873" t="inlineStr">
        <is>
          <t>Elmer Rice, a playwright's vision of America / Anthony F. R. Palmieri.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Palmieri, Anthony F. R., 1920-</t>
        </is>
      </c>
      <c r="L873" t="inlineStr">
        <is>
          <t>Rutherford [N.J.] : Fairleigh Dickinson University Press, c1980.</t>
        </is>
      </c>
      <c r="M873" t="inlineStr">
        <is>
          <t>1980</t>
        </is>
      </c>
      <c r="O873" t="inlineStr">
        <is>
          <t>eng</t>
        </is>
      </c>
      <c r="P873" t="inlineStr">
        <is>
          <t>nju</t>
        </is>
      </c>
      <c r="R873" t="inlineStr">
        <is>
          <t xml:space="preserve">PS </t>
        </is>
      </c>
      <c r="S873" t="n">
        <v>5</v>
      </c>
      <c r="T873" t="n">
        <v>5</v>
      </c>
      <c r="U873" t="inlineStr">
        <is>
          <t>2004-07-21</t>
        </is>
      </c>
      <c r="V873" t="inlineStr">
        <is>
          <t>2004-07-21</t>
        </is>
      </c>
      <c r="W873" t="inlineStr">
        <is>
          <t>1990-11-29</t>
        </is>
      </c>
      <c r="X873" t="inlineStr">
        <is>
          <t>1990-11-29</t>
        </is>
      </c>
      <c r="Y873" t="n">
        <v>332</v>
      </c>
      <c r="Z873" t="n">
        <v>286</v>
      </c>
      <c r="AA873" t="n">
        <v>293</v>
      </c>
      <c r="AB873" t="n">
        <v>4</v>
      </c>
      <c r="AC873" t="n">
        <v>4</v>
      </c>
      <c r="AD873" t="n">
        <v>13</v>
      </c>
      <c r="AE873" t="n">
        <v>13</v>
      </c>
      <c r="AF873" t="n">
        <v>4</v>
      </c>
      <c r="AG873" t="n">
        <v>4</v>
      </c>
      <c r="AH873" t="n">
        <v>5</v>
      </c>
      <c r="AI873" t="n">
        <v>5</v>
      </c>
      <c r="AJ873" t="n">
        <v>5</v>
      </c>
      <c r="AK873" t="n">
        <v>5</v>
      </c>
      <c r="AL873" t="n">
        <v>3</v>
      </c>
      <c r="AM873" t="n">
        <v>3</v>
      </c>
      <c r="AN873" t="n">
        <v>0</v>
      </c>
      <c r="AO873" t="n">
        <v>0</v>
      </c>
      <c r="AP873" t="inlineStr">
        <is>
          <t>No</t>
        </is>
      </c>
      <c r="AQ873" t="inlineStr">
        <is>
          <t>Yes</t>
        </is>
      </c>
      <c r="AR873">
        <f>HYPERLINK("http://catalog.hathitrust.org/Record/000710045","HathiTrust Record")</f>
        <v/>
      </c>
      <c r="AS873">
        <f>HYPERLINK("https://creighton-primo.hosted.exlibrisgroup.com/primo-explore/search?tab=default_tab&amp;search_scope=EVERYTHING&amp;vid=01CRU&amp;lang=en_US&amp;offset=0&amp;query=any,contains,991004863939702656","Catalog Record")</f>
        <v/>
      </c>
      <c r="AT873">
        <f>HYPERLINK("http://www.worldcat.org/oclc/5725920","WorldCat Record")</f>
        <v/>
      </c>
      <c r="AU873" t="inlineStr">
        <is>
          <t>503326:eng</t>
        </is>
      </c>
      <c r="AV873" t="inlineStr">
        <is>
          <t>5725920</t>
        </is>
      </c>
      <c r="AW873" t="inlineStr">
        <is>
          <t>991004863939702656</t>
        </is>
      </c>
      <c r="AX873" t="inlineStr">
        <is>
          <t>991004863939702656</t>
        </is>
      </c>
      <c r="AY873" t="inlineStr">
        <is>
          <t>2262297960002656</t>
        </is>
      </c>
      <c r="AZ873" t="inlineStr">
        <is>
          <t>BOOK</t>
        </is>
      </c>
      <c r="BB873" t="inlineStr">
        <is>
          <t>9780838623336</t>
        </is>
      </c>
      <c r="BC873" t="inlineStr">
        <is>
          <t>32285000417054</t>
        </is>
      </c>
      <c r="BD873" t="inlineStr">
        <is>
          <t>893436835</t>
        </is>
      </c>
    </row>
    <row r="874">
      <c r="A874" t="inlineStr">
        <is>
          <t>No</t>
        </is>
      </c>
      <c r="B874" t="inlineStr">
        <is>
          <t>PS3535.I226 W6</t>
        </is>
      </c>
      <c r="C874" t="inlineStr">
        <is>
          <t>0                      PS 3535000I  226                W  6</t>
        </is>
      </c>
      <c r="D874" t="inlineStr">
        <is>
          <t>A woman's answer, and other verse by Laban Lacy Rice.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Rice, Laban Lacy, 1870-1973.</t>
        </is>
      </c>
      <c r="L874" t="inlineStr">
        <is>
          <t>Mayland, Tenn., The Nakanawa press, 1946.</t>
        </is>
      </c>
      <c r="M874" t="inlineStr">
        <is>
          <t>1946</t>
        </is>
      </c>
      <c r="O874" t="inlineStr">
        <is>
          <t>eng</t>
        </is>
      </c>
      <c r="P874" t="inlineStr">
        <is>
          <t>tnu</t>
        </is>
      </c>
      <c r="R874" t="inlineStr">
        <is>
          <t xml:space="preserve">PS </t>
        </is>
      </c>
      <c r="S874" t="n">
        <v>2</v>
      </c>
      <c r="T874" t="n">
        <v>2</v>
      </c>
      <c r="U874" t="inlineStr">
        <is>
          <t>2003-03-30</t>
        </is>
      </c>
      <c r="V874" t="inlineStr">
        <is>
          <t>2003-03-30</t>
        </is>
      </c>
      <c r="W874" t="inlineStr">
        <is>
          <t>1997-06-17</t>
        </is>
      </c>
      <c r="X874" t="inlineStr">
        <is>
          <t>1997-06-17</t>
        </is>
      </c>
      <c r="Y874" t="n">
        <v>110</v>
      </c>
      <c r="Z874" t="n">
        <v>109</v>
      </c>
      <c r="AA874" t="n">
        <v>111</v>
      </c>
      <c r="AB874" t="n">
        <v>3</v>
      </c>
      <c r="AC874" t="n">
        <v>3</v>
      </c>
      <c r="AD874" t="n">
        <v>8</v>
      </c>
      <c r="AE874" t="n">
        <v>8</v>
      </c>
      <c r="AF874" t="n">
        <v>2</v>
      </c>
      <c r="AG874" t="n">
        <v>2</v>
      </c>
      <c r="AH874" t="n">
        <v>2</v>
      </c>
      <c r="AI874" t="n">
        <v>2</v>
      </c>
      <c r="AJ874" t="n">
        <v>2</v>
      </c>
      <c r="AK874" t="n">
        <v>2</v>
      </c>
      <c r="AL874" t="n">
        <v>2</v>
      </c>
      <c r="AM874" t="n">
        <v>2</v>
      </c>
      <c r="AN874" t="n">
        <v>0</v>
      </c>
      <c r="AO874" t="n">
        <v>0</v>
      </c>
      <c r="AP874" t="inlineStr">
        <is>
          <t>No</t>
        </is>
      </c>
      <c r="AQ874" t="inlineStr">
        <is>
          <t>No</t>
        </is>
      </c>
      <c r="AR874">
        <f>HYPERLINK("http://catalog.hathitrust.org/Record/102292042","HathiTrust Record")</f>
        <v/>
      </c>
      <c r="AS874">
        <f>HYPERLINK("https://creighton-primo.hosted.exlibrisgroup.com/primo-explore/search?tab=default_tab&amp;search_scope=EVERYTHING&amp;vid=01CRU&amp;lang=en_US&amp;offset=0&amp;query=any,contains,991004205879702656","Catalog Record")</f>
        <v/>
      </c>
      <c r="AT874">
        <f>HYPERLINK("http://www.worldcat.org/oclc/2665473","WorldCat Record")</f>
        <v/>
      </c>
      <c r="AU874" t="inlineStr">
        <is>
          <t>5662263:eng</t>
        </is>
      </c>
      <c r="AV874" t="inlineStr">
        <is>
          <t>2665473</t>
        </is>
      </c>
      <c r="AW874" t="inlineStr">
        <is>
          <t>991004205879702656</t>
        </is>
      </c>
      <c r="AX874" t="inlineStr">
        <is>
          <t>991004205879702656</t>
        </is>
      </c>
      <c r="AY874" t="inlineStr">
        <is>
          <t>2259979740002656</t>
        </is>
      </c>
      <c r="AZ874" t="inlineStr">
        <is>
          <t>BOOK</t>
        </is>
      </c>
      <c r="BC874" t="inlineStr">
        <is>
          <t>32285002816865</t>
        </is>
      </c>
      <c r="BD874" t="inlineStr">
        <is>
          <t>893247288</t>
        </is>
      </c>
    </row>
    <row r="875">
      <c r="A875" t="inlineStr">
        <is>
          <t>No</t>
        </is>
      </c>
      <c r="B875" t="inlineStr">
        <is>
          <t>PS3535.I429 Z68 1989</t>
        </is>
      </c>
      <c r="C875" t="inlineStr">
        <is>
          <t>0                      PS 3535000I  429                Z  68          1989</t>
        </is>
      </c>
      <c r="D875" t="inlineStr">
        <is>
          <t>Conrad Richter / Edwin W. Gaston, Jr.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Gaston, Edwin W.</t>
        </is>
      </c>
      <c r="L875" t="inlineStr">
        <is>
          <t>Boston, MA : Twayne, 1989.</t>
        </is>
      </c>
      <c r="M875" t="inlineStr">
        <is>
          <t>1989</t>
        </is>
      </c>
      <c r="N875" t="inlineStr">
        <is>
          <t>Updated ed.</t>
        </is>
      </c>
      <c r="O875" t="inlineStr">
        <is>
          <t>eng</t>
        </is>
      </c>
      <c r="P875" t="inlineStr">
        <is>
          <t>mau</t>
        </is>
      </c>
      <c r="Q875" t="inlineStr">
        <is>
          <t>Twayne's United States author series ; TUSAS 81</t>
        </is>
      </c>
      <c r="R875" t="inlineStr">
        <is>
          <t xml:space="preserve">PS </t>
        </is>
      </c>
      <c r="S875" t="n">
        <v>1</v>
      </c>
      <c r="T875" t="n">
        <v>1</v>
      </c>
      <c r="U875" t="inlineStr">
        <is>
          <t>1994-02-28</t>
        </is>
      </c>
      <c r="V875" t="inlineStr">
        <is>
          <t>1994-02-28</t>
        </is>
      </c>
      <c r="W875" t="inlineStr">
        <is>
          <t>1990-11-29</t>
        </is>
      </c>
      <c r="X875" t="inlineStr">
        <is>
          <t>1990-11-29</t>
        </is>
      </c>
      <c r="Y875" t="n">
        <v>551</v>
      </c>
      <c r="Z875" t="n">
        <v>499</v>
      </c>
      <c r="AA875" t="n">
        <v>651</v>
      </c>
      <c r="AB875" t="n">
        <v>6</v>
      </c>
      <c r="AC875" t="n">
        <v>7</v>
      </c>
      <c r="AD875" t="n">
        <v>21</v>
      </c>
      <c r="AE875" t="n">
        <v>25</v>
      </c>
      <c r="AF875" t="n">
        <v>6</v>
      </c>
      <c r="AG875" t="n">
        <v>8</v>
      </c>
      <c r="AH875" t="n">
        <v>3</v>
      </c>
      <c r="AI875" t="n">
        <v>4</v>
      </c>
      <c r="AJ875" t="n">
        <v>13</v>
      </c>
      <c r="AK875" t="n">
        <v>16</v>
      </c>
      <c r="AL875" t="n">
        <v>5</v>
      </c>
      <c r="AM875" t="n">
        <v>5</v>
      </c>
      <c r="AN875" t="n">
        <v>0</v>
      </c>
      <c r="AO875" t="n">
        <v>0</v>
      </c>
      <c r="AP875" t="inlineStr">
        <is>
          <t>No</t>
        </is>
      </c>
      <c r="AQ875" t="inlineStr">
        <is>
          <t>Yes</t>
        </is>
      </c>
      <c r="AR875">
        <f>HYPERLINK("http://catalog.hathitrust.org/Record/001090285","HathiTrust Record")</f>
        <v/>
      </c>
      <c r="AS875">
        <f>HYPERLINK("https://creighton-primo.hosted.exlibrisgroup.com/primo-explore/search?tab=default_tab&amp;search_scope=EVERYTHING&amp;vid=01CRU&amp;lang=en_US&amp;offset=0&amp;query=any,contains,991001346619702656","Catalog Record")</f>
        <v/>
      </c>
      <c r="AT875">
        <f>HYPERLINK("http://www.worldcat.org/oclc/18414905","WorldCat Record")</f>
        <v/>
      </c>
      <c r="AU875" t="inlineStr">
        <is>
          <t>1460433:eng</t>
        </is>
      </c>
      <c r="AV875" t="inlineStr">
        <is>
          <t>18414905</t>
        </is>
      </c>
      <c r="AW875" t="inlineStr">
        <is>
          <t>991001346619702656</t>
        </is>
      </c>
      <c r="AX875" t="inlineStr">
        <is>
          <t>991001346619702656</t>
        </is>
      </c>
      <c r="AY875" t="inlineStr">
        <is>
          <t>2256024710002656</t>
        </is>
      </c>
      <c r="AZ875" t="inlineStr">
        <is>
          <t>BOOK</t>
        </is>
      </c>
      <c r="BB875" t="inlineStr">
        <is>
          <t>9780805775303</t>
        </is>
      </c>
      <c r="BC875" t="inlineStr">
        <is>
          <t>32285000417096</t>
        </is>
      </c>
      <c r="BD875" t="inlineStr">
        <is>
          <t>893702950</t>
        </is>
      </c>
    </row>
    <row r="876">
      <c r="A876" t="inlineStr">
        <is>
          <t>No</t>
        </is>
      </c>
      <c r="B876" t="inlineStr">
        <is>
          <t>PS3535.O25 Z553</t>
        </is>
      </c>
      <c r="C876" t="inlineStr">
        <is>
          <t>0                      PS 3535000O  25                 Z  553</t>
        </is>
      </c>
      <c r="D876" t="inlineStr">
        <is>
          <t>Edwin Arlington Robinson : a critical introduction / [by] Wallace L. Anderson.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Anderson, Wallace Ludwig, 1917-</t>
        </is>
      </c>
      <c r="L876" t="inlineStr">
        <is>
          <t>Boston : Houghton Mifflin, [1967]</t>
        </is>
      </c>
      <c r="M876" t="inlineStr">
        <is>
          <t>1967</t>
        </is>
      </c>
      <c r="O876" t="inlineStr">
        <is>
          <t>eng</t>
        </is>
      </c>
      <c r="P876" t="inlineStr">
        <is>
          <t>mau</t>
        </is>
      </c>
      <c r="Q876" t="inlineStr">
        <is>
          <t>Riverside studies in literature</t>
        </is>
      </c>
      <c r="R876" t="inlineStr">
        <is>
          <t xml:space="preserve">PS </t>
        </is>
      </c>
      <c r="S876" t="n">
        <v>1</v>
      </c>
      <c r="T876" t="n">
        <v>1</v>
      </c>
      <c r="U876" t="inlineStr">
        <is>
          <t>2000-12-12</t>
        </is>
      </c>
      <c r="V876" t="inlineStr">
        <is>
          <t>2000-12-12</t>
        </is>
      </c>
      <c r="W876" t="inlineStr">
        <is>
          <t>1991-05-15</t>
        </is>
      </c>
      <c r="X876" t="inlineStr">
        <is>
          <t>1991-05-15</t>
        </is>
      </c>
      <c r="Y876" t="n">
        <v>706</v>
      </c>
      <c r="Z876" t="n">
        <v>656</v>
      </c>
      <c r="AA876" t="n">
        <v>1007</v>
      </c>
      <c r="AB876" t="n">
        <v>6</v>
      </c>
      <c r="AC876" t="n">
        <v>9</v>
      </c>
      <c r="AD876" t="n">
        <v>30</v>
      </c>
      <c r="AE876" t="n">
        <v>45</v>
      </c>
      <c r="AF876" t="n">
        <v>11</v>
      </c>
      <c r="AG876" t="n">
        <v>18</v>
      </c>
      <c r="AH876" t="n">
        <v>7</v>
      </c>
      <c r="AI876" t="n">
        <v>8</v>
      </c>
      <c r="AJ876" t="n">
        <v>15</v>
      </c>
      <c r="AK876" t="n">
        <v>22</v>
      </c>
      <c r="AL876" t="n">
        <v>4</v>
      </c>
      <c r="AM876" t="n">
        <v>7</v>
      </c>
      <c r="AN876" t="n">
        <v>0</v>
      </c>
      <c r="AO876" t="n">
        <v>0</v>
      </c>
      <c r="AP876" t="inlineStr">
        <is>
          <t>No</t>
        </is>
      </c>
      <c r="AQ876" t="inlineStr">
        <is>
          <t>Yes</t>
        </is>
      </c>
      <c r="AR876">
        <f>HYPERLINK("http://catalog.hathitrust.org/Record/001377415","HathiTrust Record")</f>
        <v/>
      </c>
      <c r="AS876">
        <f>HYPERLINK("https://creighton-primo.hosted.exlibrisgroup.com/primo-explore/search?tab=default_tab&amp;search_scope=EVERYTHING&amp;vid=01CRU&amp;lang=en_US&amp;offset=0&amp;query=any,contains,991003502869702656","Catalog Record")</f>
        <v/>
      </c>
      <c r="AT876">
        <f>HYPERLINK("http://www.worldcat.org/oclc/1055207","WorldCat Record")</f>
        <v/>
      </c>
      <c r="AU876" t="inlineStr">
        <is>
          <t>568283434:eng</t>
        </is>
      </c>
      <c r="AV876" t="inlineStr">
        <is>
          <t>1055207</t>
        </is>
      </c>
      <c r="AW876" t="inlineStr">
        <is>
          <t>991003502869702656</t>
        </is>
      </c>
      <c r="AX876" t="inlineStr">
        <is>
          <t>991003502869702656</t>
        </is>
      </c>
      <c r="AY876" t="inlineStr">
        <is>
          <t>2271737320002656</t>
        </is>
      </c>
      <c r="AZ876" t="inlineStr">
        <is>
          <t>BOOK</t>
        </is>
      </c>
      <c r="BC876" t="inlineStr">
        <is>
          <t>32285000595396</t>
        </is>
      </c>
      <c r="BD876" t="inlineStr">
        <is>
          <t>893234231</t>
        </is>
      </c>
    </row>
    <row r="877">
      <c r="A877" t="inlineStr">
        <is>
          <t>No</t>
        </is>
      </c>
      <c r="B877" t="inlineStr">
        <is>
          <t>PS3535.O25 Z555 1969</t>
        </is>
      </c>
      <c r="C877" t="inlineStr">
        <is>
          <t>0                      PS 3535000O  25                 Z  555         1969</t>
        </is>
      </c>
      <c r="D877" t="inlineStr">
        <is>
          <t>Edwin Arlington Robinson : a critical study.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K877" t="inlineStr">
        <is>
          <t>Barnard, Ellsworth, 1907-2003.</t>
        </is>
      </c>
      <c r="L877" t="inlineStr">
        <is>
          <t>New York : Octagon Books, 1969 [c1952]</t>
        </is>
      </c>
      <c r="M877" t="inlineStr">
        <is>
          <t>1969</t>
        </is>
      </c>
      <c r="O877" t="inlineStr">
        <is>
          <t>eng</t>
        </is>
      </c>
      <c r="P877" t="inlineStr">
        <is>
          <t>nyu</t>
        </is>
      </c>
      <c r="R877" t="inlineStr">
        <is>
          <t xml:space="preserve">PS </t>
        </is>
      </c>
      <c r="S877" t="n">
        <v>10</v>
      </c>
      <c r="T877" t="n">
        <v>10</v>
      </c>
      <c r="U877" t="inlineStr">
        <is>
          <t>1995-10-28</t>
        </is>
      </c>
      <c r="V877" t="inlineStr">
        <is>
          <t>1995-10-28</t>
        </is>
      </c>
      <c r="W877" t="inlineStr">
        <is>
          <t>1990-03-07</t>
        </is>
      </c>
      <c r="X877" t="inlineStr">
        <is>
          <t>1990-03-07</t>
        </is>
      </c>
      <c r="Y877" t="n">
        <v>403</v>
      </c>
      <c r="Z877" t="n">
        <v>372</v>
      </c>
      <c r="AA877" t="n">
        <v>1016</v>
      </c>
      <c r="AB877" t="n">
        <v>3</v>
      </c>
      <c r="AC877" t="n">
        <v>9</v>
      </c>
      <c r="AD877" t="n">
        <v>15</v>
      </c>
      <c r="AE877" t="n">
        <v>51</v>
      </c>
      <c r="AF877" t="n">
        <v>6</v>
      </c>
      <c r="AG877" t="n">
        <v>24</v>
      </c>
      <c r="AH877" t="n">
        <v>3</v>
      </c>
      <c r="AI877" t="n">
        <v>8</v>
      </c>
      <c r="AJ877" t="n">
        <v>6</v>
      </c>
      <c r="AK877" t="n">
        <v>24</v>
      </c>
      <c r="AL877" t="n">
        <v>2</v>
      </c>
      <c r="AM877" t="n">
        <v>8</v>
      </c>
      <c r="AN877" t="n">
        <v>0</v>
      </c>
      <c r="AO877" t="n">
        <v>0</v>
      </c>
      <c r="AP877" t="inlineStr">
        <is>
          <t>No</t>
        </is>
      </c>
      <c r="AQ877" t="inlineStr">
        <is>
          <t>No</t>
        </is>
      </c>
      <c r="AR877">
        <f>HYPERLINK("http://catalog.hathitrust.org/Record/009920536","HathiTrust Record")</f>
        <v/>
      </c>
      <c r="AS877">
        <f>HYPERLINK("https://creighton-primo.hosted.exlibrisgroup.com/primo-explore/search?tab=default_tab&amp;search_scope=EVERYTHING&amp;vid=01CRU&amp;lang=en_US&amp;offset=0&amp;query=any,contains,991000061119702656","Catalog Record")</f>
        <v/>
      </c>
      <c r="AT877">
        <f>HYPERLINK("http://www.worldcat.org/oclc/24583","WorldCat Record")</f>
        <v/>
      </c>
      <c r="AU877" t="inlineStr">
        <is>
          <t>3855466308:eng</t>
        </is>
      </c>
      <c r="AV877" t="inlineStr">
        <is>
          <t>24583</t>
        </is>
      </c>
      <c r="AW877" t="inlineStr">
        <is>
          <t>991000061119702656</t>
        </is>
      </c>
      <c r="AX877" t="inlineStr">
        <is>
          <t>991000061119702656</t>
        </is>
      </c>
      <c r="AY877" t="inlineStr">
        <is>
          <t>2266745660002656</t>
        </is>
      </c>
      <c r="AZ877" t="inlineStr">
        <is>
          <t>BOOK</t>
        </is>
      </c>
      <c r="BC877" t="inlineStr">
        <is>
          <t>32285000081009</t>
        </is>
      </c>
      <c r="BD877" t="inlineStr">
        <is>
          <t>893242942</t>
        </is>
      </c>
    </row>
    <row r="878">
      <c r="A878" t="inlineStr">
        <is>
          <t>No</t>
        </is>
      </c>
      <c r="B878" t="inlineStr">
        <is>
          <t>PS3535.O25 Z617</t>
        </is>
      </c>
      <c r="C878" t="inlineStr">
        <is>
          <t>0                      PS 3535000O  25                 Z  617</t>
        </is>
      </c>
      <c r="D878" t="inlineStr">
        <is>
          <t>Appreciation of Edwin Arlington Robinson : 28 interpretive essays / edited by Richard Cary.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Cary, Richard, 1909-1990, compiler.</t>
        </is>
      </c>
      <c r="L878" t="inlineStr">
        <is>
          <t>Waterville, Me. : Colby College Press, [1969]</t>
        </is>
      </c>
      <c r="M878" t="inlineStr">
        <is>
          <t>1969</t>
        </is>
      </c>
      <c r="O878" t="inlineStr">
        <is>
          <t>eng</t>
        </is>
      </c>
      <c r="P878" t="inlineStr">
        <is>
          <t>meu</t>
        </is>
      </c>
      <c r="R878" t="inlineStr">
        <is>
          <t xml:space="preserve">PS </t>
        </is>
      </c>
      <c r="S878" t="n">
        <v>3</v>
      </c>
      <c r="T878" t="n">
        <v>3</v>
      </c>
      <c r="U878" t="inlineStr">
        <is>
          <t>1995-10-28</t>
        </is>
      </c>
      <c r="V878" t="inlineStr">
        <is>
          <t>1995-10-28</t>
        </is>
      </c>
      <c r="W878" t="inlineStr">
        <is>
          <t>1990-02-28</t>
        </is>
      </c>
      <c r="X878" t="inlineStr">
        <is>
          <t>1990-02-28</t>
        </is>
      </c>
      <c r="Y878" t="n">
        <v>539</v>
      </c>
      <c r="Z878" t="n">
        <v>493</v>
      </c>
      <c r="AA878" t="n">
        <v>497</v>
      </c>
      <c r="AB878" t="n">
        <v>4</v>
      </c>
      <c r="AC878" t="n">
        <v>4</v>
      </c>
      <c r="AD878" t="n">
        <v>23</v>
      </c>
      <c r="AE878" t="n">
        <v>23</v>
      </c>
      <c r="AF878" t="n">
        <v>8</v>
      </c>
      <c r="AG878" t="n">
        <v>8</v>
      </c>
      <c r="AH878" t="n">
        <v>5</v>
      </c>
      <c r="AI878" t="n">
        <v>5</v>
      </c>
      <c r="AJ878" t="n">
        <v>13</v>
      </c>
      <c r="AK878" t="n">
        <v>13</v>
      </c>
      <c r="AL878" t="n">
        <v>3</v>
      </c>
      <c r="AM878" t="n">
        <v>3</v>
      </c>
      <c r="AN878" t="n">
        <v>0</v>
      </c>
      <c r="AO878" t="n">
        <v>0</v>
      </c>
      <c r="AP878" t="inlineStr">
        <is>
          <t>No</t>
        </is>
      </c>
      <c r="AQ878" t="inlineStr">
        <is>
          <t>Yes</t>
        </is>
      </c>
      <c r="AR878">
        <f>HYPERLINK("http://catalog.hathitrust.org/Record/001029265","HathiTrust Record")</f>
        <v/>
      </c>
      <c r="AS878">
        <f>HYPERLINK("https://creighton-primo.hosted.exlibrisgroup.com/primo-explore/search?tab=default_tab&amp;search_scope=EVERYTHING&amp;vid=01CRU&amp;lang=en_US&amp;offset=0&amp;query=any,contains,991000644929702656","Catalog Record")</f>
        <v/>
      </c>
      <c r="AT878">
        <f>HYPERLINK("http://www.worldcat.org/oclc/111009","WorldCat Record")</f>
        <v/>
      </c>
      <c r="AU878" t="inlineStr">
        <is>
          <t>472292499:eng</t>
        </is>
      </c>
      <c r="AV878" t="inlineStr">
        <is>
          <t>111009</t>
        </is>
      </c>
      <c r="AW878" t="inlineStr">
        <is>
          <t>991000644929702656</t>
        </is>
      </c>
      <c r="AX878" t="inlineStr">
        <is>
          <t>991000644929702656</t>
        </is>
      </c>
      <c r="AY878" t="inlineStr">
        <is>
          <t>2268644490002656</t>
        </is>
      </c>
      <c r="AZ878" t="inlineStr">
        <is>
          <t>BOOK</t>
        </is>
      </c>
      <c r="BC878" t="inlineStr">
        <is>
          <t>32285000063056</t>
        </is>
      </c>
      <c r="BD878" t="inlineStr">
        <is>
          <t>893315120</t>
        </is>
      </c>
    </row>
    <row r="879">
      <c r="A879" t="inlineStr">
        <is>
          <t>No</t>
        </is>
      </c>
      <c r="B879" t="inlineStr">
        <is>
          <t>PS3535.O25 Z62</t>
        </is>
      </c>
      <c r="C879" t="inlineStr">
        <is>
          <t>0                      PS 3535000O  25                 Z  62</t>
        </is>
      </c>
      <c r="D879" t="inlineStr">
        <is>
          <t>An introduction to Edwin Arlington Robinson.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Cestre, Charles, 1871-1958.</t>
        </is>
      </c>
      <c r="L879" t="inlineStr">
        <is>
          <t>New York : Macmillan, 1930</t>
        </is>
      </c>
      <c r="M879" t="inlineStr">
        <is>
          <t>1930</t>
        </is>
      </c>
      <c r="O879" t="inlineStr">
        <is>
          <t>eng</t>
        </is>
      </c>
      <c r="P879" t="inlineStr">
        <is>
          <t>nyu</t>
        </is>
      </c>
      <c r="R879" t="inlineStr">
        <is>
          <t xml:space="preserve">PS </t>
        </is>
      </c>
      <c r="S879" t="n">
        <v>5</v>
      </c>
      <c r="T879" t="n">
        <v>5</v>
      </c>
      <c r="U879" t="inlineStr">
        <is>
          <t>1995-10-28</t>
        </is>
      </c>
      <c r="V879" t="inlineStr">
        <is>
          <t>1995-10-28</t>
        </is>
      </c>
      <c r="W879" t="inlineStr">
        <is>
          <t>1990-03-07</t>
        </is>
      </c>
      <c r="X879" t="inlineStr">
        <is>
          <t>1990-03-07</t>
        </is>
      </c>
      <c r="Y879" t="n">
        <v>323</v>
      </c>
      <c r="Z879" t="n">
        <v>299</v>
      </c>
      <c r="AA879" t="n">
        <v>301</v>
      </c>
      <c r="AB879" t="n">
        <v>2</v>
      </c>
      <c r="AC879" t="n">
        <v>2</v>
      </c>
      <c r="AD879" t="n">
        <v>16</v>
      </c>
      <c r="AE879" t="n">
        <v>16</v>
      </c>
      <c r="AF879" t="n">
        <v>4</v>
      </c>
      <c r="AG879" t="n">
        <v>4</v>
      </c>
      <c r="AH879" t="n">
        <v>4</v>
      </c>
      <c r="AI879" t="n">
        <v>4</v>
      </c>
      <c r="AJ879" t="n">
        <v>12</v>
      </c>
      <c r="AK879" t="n">
        <v>12</v>
      </c>
      <c r="AL879" t="n">
        <v>1</v>
      </c>
      <c r="AM879" t="n">
        <v>1</v>
      </c>
      <c r="AN879" t="n">
        <v>0</v>
      </c>
      <c r="AO879" t="n">
        <v>0</v>
      </c>
      <c r="AP879" t="inlineStr">
        <is>
          <t>No</t>
        </is>
      </c>
      <c r="AQ879" t="inlineStr">
        <is>
          <t>Yes</t>
        </is>
      </c>
      <c r="AR879">
        <f>HYPERLINK("http://catalog.hathitrust.org/Record/003594960","HathiTrust Record")</f>
        <v/>
      </c>
      <c r="AS879">
        <f>HYPERLINK("https://creighton-primo.hosted.exlibrisgroup.com/primo-explore/search?tab=default_tab&amp;search_scope=EVERYTHING&amp;vid=01CRU&amp;lang=en_US&amp;offset=0&amp;query=any,contains,991003268929702656","Catalog Record")</f>
        <v/>
      </c>
      <c r="AT879">
        <f>HYPERLINK("http://www.worldcat.org/oclc/794982","WorldCat Record")</f>
        <v/>
      </c>
      <c r="AU879" t="inlineStr">
        <is>
          <t>1759381:eng</t>
        </is>
      </c>
      <c r="AV879" t="inlineStr">
        <is>
          <t>794982</t>
        </is>
      </c>
      <c r="AW879" t="inlineStr">
        <is>
          <t>991003268929702656</t>
        </is>
      </c>
      <c r="AX879" t="inlineStr">
        <is>
          <t>991003268929702656</t>
        </is>
      </c>
      <c r="AY879" t="inlineStr">
        <is>
          <t>2263806140002656</t>
        </is>
      </c>
      <c r="AZ879" t="inlineStr">
        <is>
          <t>BOOK</t>
        </is>
      </c>
      <c r="BC879" t="inlineStr">
        <is>
          <t>32285000081017</t>
        </is>
      </c>
      <c r="BD879" t="inlineStr">
        <is>
          <t>893592356</t>
        </is>
      </c>
    </row>
    <row r="880">
      <c r="A880" t="inlineStr">
        <is>
          <t>No</t>
        </is>
      </c>
      <c r="B880" t="inlineStr">
        <is>
          <t>PS3535.O25 Z657</t>
        </is>
      </c>
      <c r="C880" t="inlineStr">
        <is>
          <t>0                      PS 3535000O  25                 Z  657</t>
        </is>
      </c>
      <c r="D880" t="inlineStr">
        <is>
          <t>Edwin Arlington Robinson / by Hoyt. C. Franchere.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K880" t="inlineStr">
        <is>
          <t>Franchere, Hoyt C.</t>
        </is>
      </c>
      <c r="L880" t="inlineStr">
        <is>
          <t>New York : Twayne Publishers, [1968]</t>
        </is>
      </c>
      <c r="M880" t="inlineStr">
        <is>
          <t>1968</t>
        </is>
      </c>
      <c r="O880" t="inlineStr">
        <is>
          <t>eng</t>
        </is>
      </c>
      <c r="P880" t="inlineStr">
        <is>
          <t>nyu</t>
        </is>
      </c>
      <c r="Q880" t="inlineStr">
        <is>
          <t>Twayne's United States authors series, 137</t>
        </is>
      </c>
      <c r="R880" t="inlineStr">
        <is>
          <t xml:space="preserve">PS </t>
        </is>
      </c>
      <c r="S880" t="n">
        <v>1</v>
      </c>
      <c r="T880" t="n">
        <v>1</v>
      </c>
      <c r="U880" t="inlineStr">
        <is>
          <t>1992-02-11</t>
        </is>
      </c>
      <c r="V880" t="inlineStr">
        <is>
          <t>1992-02-11</t>
        </is>
      </c>
      <c r="W880" t="inlineStr">
        <is>
          <t>1990-03-05</t>
        </is>
      </c>
      <c r="X880" t="inlineStr">
        <is>
          <t>1990-03-05</t>
        </is>
      </c>
      <c r="Y880" t="n">
        <v>1306</v>
      </c>
      <c r="Z880" t="n">
        <v>1198</v>
      </c>
      <c r="AA880" t="n">
        <v>1205</v>
      </c>
      <c r="AB880" t="n">
        <v>9</v>
      </c>
      <c r="AC880" t="n">
        <v>9</v>
      </c>
      <c r="AD880" t="n">
        <v>41</v>
      </c>
      <c r="AE880" t="n">
        <v>41</v>
      </c>
      <c r="AF880" t="n">
        <v>16</v>
      </c>
      <c r="AG880" t="n">
        <v>16</v>
      </c>
      <c r="AH880" t="n">
        <v>7</v>
      </c>
      <c r="AI880" t="n">
        <v>7</v>
      </c>
      <c r="AJ880" t="n">
        <v>20</v>
      </c>
      <c r="AK880" t="n">
        <v>20</v>
      </c>
      <c r="AL880" t="n">
        <v>7</v>
      </c>
      <c r="AM880" t="n">
        <v>7</v>
      </c>
      <c r="AN880" t="n">
        <v>0</v>
      </c>
      <c r="AO880" t="n">
        <v>0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HYPERLINK("http://catalog.hathitrust.org/Record/001029270","HathiTrust Record")</f>
        <v/>
      </c>
      <c r="AS880">
        <f>HYPERLINK("https://creighton-primo.hosted.exlibrisgroup.com/primo-explore/search?tab=default_tab&amp;search_scope=EVERYTHING&amp;vid=01CRU&amp;lang=en_US&amp;offset=0&amp;query=any,contains,991002209679702656","Catalog Record")</f>
        <v/>
      </c>
      <c r="AT880">
        <f>HYPERLINK("http://www.worldcat.org/oclc/287576","WorldCat Record")</f>
        <v/>
      </c>
      <c r="AU880" t="inlineStr">
        <is>
          <t>1460276:eng</t>
        </is>
      </c>
      <c r="AV880" t="inlineStr">
        <is>
          <t>287576</t>
        </is>
      </c>
      <c r="AW880" t="inlineStr">
        <is>
          <t>991002209679702656</t>
        </is>
      </c>
      <c r="AX880" t="inlineStr">
        <is>
          <t>991002209679702656</t>
        </is>
      </c>
      <c r="AY880" t="inlineStr">
        <is>
          <t>2263625840002656</t>
        </is>
      </c>
      <c r="AZ880" t="inlineStr">
        <is>
          <t>BOOK</t>
        </is>
      </c>
      <c r="BC880" t="inlineStr">
        <is>
          <t>32285000064641</t>
        </is>
      </c>
      <c r="BD880" t="inlineStr">
        <is>
          <t>893226576</t>
        </is>
      </c>
    </row>
    <row r="881">
      <c r="A881" t="inlineStr">
        <is>
          <t>No</t>
        </is>
      </c>
      <c r="B881" t="inlineStr">
        <is>
          <t>PS3535.O25 Z74</t>
        </is>
      </c>
      <c r="C881" t="inlineStr">
        <is>
          <t>0                      PS 3535000O  25                 Z  74</t>
        </is>
      </c>
      <c r="D881" t="inlineStr">
        <is>
          <t>Edwin Arlington Robinson.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Neff, Emery (Emery Edward), 1892-1983.</t>
        </is>
      </c>
      <c r="L881" t="inlineStr">
        <is>
          <t>[New York] : W. Sloane Associates, [1948]</t>
        </is>
      </c>
      <c r="M881" t="inlineStr">
        <is>
          <t>1948</t>
        </is>
      </c>
      <c r="O881" t="inlineStr">
        <is>
          <t>eng</t>
        </is>
      </c>
      <c r="P881" t="inlineStr">
        <is>
          <t>nyu</t>
        </is>
      </c>
      <c r="Q881" t="inlineStr">
        <is>
          <t>The American men of letters series</t>
        </is>
      </c>
      <c r="R881" t="inlineStr">
        <is>
          <t xml:space="preserve">PS </t>
        </is>
      </c>
      <c r="S881" t="n">
        <v>2</v>
      </c>
      <c r="T881" t="n">
        <v>2</v>
      </c>
      <c r="U881" t="inlineStr">
        <is>
          <t>1992-09-22</t>
        </is>
      </c>
      <c r="V881" t="inlineStr">
        <is>
          <t>1992-09-22</t>
        </is>
      </c>
      <c r="W881" t="inlineStr">
        <is>
          <t>1990-03-07</t>
        </is>
      </c>
      <c r="X881" t="inlineStr">
        <is>
          <t>1990-03-07</t>
        </is>
      </c>
      <c r="Y881" t="n">
        <v>832</v>
      </c>
      <c r="Z881" t="n">
        <v>778</v>
      </c>
      <c r="AA881" t="n">
        <v>949</v>
      </c>
      <c r="AB881" t="n">
        <v>8</v>
      </c>
      <c r="AC881" t="n">
        <v>9</v>
      </c>
      <c r="AD881" t="n">
        <v>43</v>
      </c>
      <c r="AE881" t="n">
        <v>47</v>
      </c>
      <c r="AF881" t="n">
        <v>18</v>
      </c>
      <c r="AG881" t="n">
        <v>20</v>
      </c>
      <c r="AH881" t="n">
        <v>7</v>
      </c>
      <c r="AI881" t="n">
        <v>7</v>
      </c>
      <c r="AJ881" t="n">
        <v>21</v>
      </c>
      <c r="AK881" t="n">
        <v>22</v>
      </c>
      <c r="AL881" t="n">
        <v>7</v>
      </c>
      <c r="AM881" t="n">
        <v>8</v>
      </c>
      <c r="AN881" t="n">
        <v>0</v>
      </c>
      <c r="AO881" t="n">
        <v>0</v>
      </c>
      <c r="AP881" t="inlineStr">
        <is>
          <t>No</t>
        </is>
      </c>
      <c r="AQ881" t="inlineStr">
        <is>
          <t>No</t>
        </is>
      </c>
      <c r="AR881">
        <f>HYPERLINK("http://catalog.hathitrust.org/Record/001029273","HathiTrust Record")</f>
        <v/>
      </c>
      <c r="AS881">
        <f>HYPERLINK("https://creighton-primo.hosted.exlibrisgroup.com/primo-explore/search?tab=default_tab&amp;search_scope=EVERYTHING&amp;vid=01CRU&amp;lang=en_US&amp;offset=0&amp;query=any,contains,991002217019702656","Catalog Record")</f>
        <v/>
      </c>
      <c r="AT881">
        <f>HYPERLINK("http://www.worldcat.org/oclc/289021","WorldCat Record")</f>
        <v/>
      </c>
      <c r="AU881" t="inlineStr">
        <is>
          <t>242289794:eng</t>
        </is>
      </c>
      <c r="AV881" t="inlineStr">
        <is>
          <t>289021</t>
        </is>
      </c>
      <c r="AW881" t="inlineStr">
        <is>
          <t>991002217019702656</t>
        </is>
      </c>
      <c r="AX881" t="inlineStr">
        <is>
          <t>991002217019702656</t>
        </is>
      </c>
      <c r="AY881" t="inlineStr">
        <is>
          <t>2262456570002656</t>
        </is>
      </c>
      <c r="AZ881" t="inlineStr">
        <is>
          <t>BOOK</t>
        </is>
      </c>
      <c r="BC881" t="inlineStr">
        <is>
          <t>32285000081025</t>
        </is>
      </c>
      <c r="BD881" t="inlineStr">
        <is>
          <t>893591057</t>
        </is>
      </c>
    </row>
    <row r="882">
      <c r="A882" t="inlineStr">
        <is>
          <t>No</t>
        </is>
      </c>
      <c r="B882" t="inlineStr">
        <is>
          <t>PS3535.O25 Z94</t>
        </is>
      </c>
      <c r="C882" t="inlineStr">
        <is>
          <t>0                      PS 3535000O  25                 Z  94</t>
        </is>
      </c>
      <c r="D882" t="inlineStr">
        <is>
          <t>Edwin Arlington Robinson.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Winters, Yvor, 1900-1968.</t>
        </is>
      </c>
      <c r="L882" t="inlineStr">
        <is>
          <t>New York : New Directions Pub. Corp., 1971]</t>
        </is>
      </c>
      <c r="M882" t="inlineStr">
        <is>
          <t>1971</t>
        </is>
      </c>
      <c r="N882" t="inlineStr">
        <is>
          <t>[Rev. ed.</t>
        </is>
      </c>
      <c r="O882" t="inlineStr">
        <is>
          <t>eng</t>
        </is>
      </c>
      <c r="P882" t="inlineStr">
        <is>
          <t>nyu</t>
        </is>
      </c>
      <c r="Q882" t="inlineStr">
        <is>
          <t>A New Directions book</t>
        </is>
      </c>
      <c r="R882" t="inlineStr">
        <is>
          <t xml:space="preserve">PS </t>
        </is>
      </c>
      <c r="S882" t="n">
        <v>5</v>
      </c>
      <c r="T882" t="n">
        <v>5</v>
      </c>
      <c r="U882" t="inlineStr">
        <is>
          <t>1993-11-02</t>
        </is>
      </c>
      <c r="V882" t="inlineStr">
        <is>
          <t>1993-11-02</t>
        </is>
      </c>
      <c r="W882" t="inlineStr">
        <is>
          <t>1990-03-07</t>
        </is>
      </c>
      <c r="X882" t="inlineStr">
        <is>
          <t>1990-03-07</t>
        </is>
      </c>
      <c r="Y882" t="n">
        <v>577</v>
      </c>
      <c r="Z882" t="n">
        <v>524</v>
      </c>
      <c r="AA882" t="n">
        <v>969</v>
      </c>
      <c r="AB882" t="n">
        <v>6</v>
      </c>
      <c r="AC882" t="n">
        <v>8</v>
      </c>
      <c r="AD882" t="n">
        <v>20</v>
      </c>
      <c r="AE882" t="n">
        <v>45</v>
      </c>
      <c r="AF882" t="n">
        <v>7</v>
      </c>
      <c r="AG882" t="n">
        <v>20</v>
      </c>
      <c r="AH882" t="n">
        <v>4</v>
      </c>
      <c r="AI882" t="n">
        <v>7</v>
      </c>
      <c r="AJ882" t="n">
        <v>10</v>
      </c>
      <c r="AK882" t="n">
        <v>21</v>
      </c>
      <c r="AL882" t="n">
        <v>5</v>
      </c>
      <c r="AM882" t="n">
        <v>7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HYPERLINK("http://catalog.hathitrust.org/Record/009495391","HathiTrust Record")</f>
        <v/>
      </c>
      <c r="AS882">
        <f>HYPERLINK("https://creighton-primo.hosted.exlibrisgroup.com/primo-explore/search?tab=default_tab&amp;search_scope=EVERYTHING&amp;vid=01CRU&amp;lang=en_US&amp;offset=0&amp;query=any,contains,991001256509702656","Catalog Record")</f>
        <v/>
      </c>
      <c r="AT882">
        <f>HYPERLINK("http://www.worldcat.org/oclc/209122","WorldCat Record")</f>
        <v/>
      </c>
      <c r="AU882" t="inlineStr">
        <is>
          <t>1279164:eng</t>
        </is>
      </c>
      <c r="AV882" t="inlineStr">
        <is>
          <t>209122</t>
        </is>
      </c>
      <c r="AW882" t="inlineStr">
        <is>
          <t>991001256509702656</t>
        </is>
      </c>
      <c r="AX882" t="inlineStr">
        <is>
          <t>991001256509702656</t>
        </is>
      </c>
      <c r="AY882" t="inlineStr">
        <is>
          <t>2270694620002656</t>
        </is>
      </c>
      <c r="AZ882" t="inlineStr">
        <is>
          <t>BOOK</t>
        </is>
      </c>
      <c r="BC882" t="inlineStr">
        <is>
          <t>32285000081041</t>
        </is>
      </c>
      <c r="BD882" t="inlineStr">
        <is>
          <t>893503249</t>
        </is>
      </c>
    </row>
    <row r="883">
      <c r="A883" t="inlineStr">
        <is>
          <t>No</t>
        </is>
      </c>
      <c r="B883" t="inlineStr">
        <is>
          <t>PS3535.O39 W6 1958</t>
        </is>
      </c>
      <c r="C883" t="inlineStr">
        <is>
          <t>0                      PS 3535000O  39                 W  6           1958</t>
        </is>
      </c>
      <c r="D883" t="inlineStr">
        <is>
          <t>Words for the wind; the collected verse of Theodore Roethke.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Roethke, Theodore, 1908-1963.</t>
        </is>
      </c>
      <c r="L883" t="inlineStr">
        <is>
          <t>Garden City, N.Y., Doubleday, 1958.</t>
        </is>
      </c>
      <c r="M883" t="inlineStr">
        <is>
          <t>1958</t>
        </is>
      </c>
      <c r="N883" t="inlineStr">
        <is>
          <t>[1st American ed.]</t>
        </is>
      </c>
      <c r="O883" t="inlineStr">
        <is>
          <t>eng</t>
        </is>
      </c>
      <c r="P883" t="inlineStr">
        <is>
          <t>nyu</t>
        </is>
      </c>
      <c r="R883" t="inlineStr">
        <is>
          <t xml:space="preserve">PS </t>
        </is>
      </c>
      <c r="S883" t="n">
        <v>2</v>
      </c>
      <c r="T883" t="n">
        <v>2</v>
      </c>
      <c r="U883" t="inlineStr">
        <is>
          <t>2002-11-15</t>
        </is>
      </c>
      <c r="V883" t="inlineStr">
        <is>
          <t>2002-11-15</t>
        </is>
      </c>
      <c r="W883" t="inlineStr">
        <is>
          <t>1997-06-17</t>
        </is>
      </c>
      <c r="X883" t="inlineStr">
        <is>
          <t>1997-06-17</t>
        </is>
      </c>
      <c r="Y883" t="n">
        <v>995</v>
      </c>
      <c r="Z883" t="n">
        <v>954</v>
      </c>
      <c r="AA883" t="n">
        <v>1020</v>
      </c>
      <c r="AB883" t="n">
        <v>6</v>
      </c>
      <c r="AC883" t="n">
        <v>6</v>
      </c>
      <c r="AD883" t="n">
        <v>33</v>
      </c>
      <c r="AE883" t="n">
        <v>36</v>
      </c>
      <c r="AF883" t="n">
        <v>11</v>
      </c>
      <c r="AG883" t="n">
        <v>14</v>
      </c>
      <c r="AH883" t="n">
        <v>7</v>
      </c>
      <c r="AI883" t="n">
        <v>7</v>
      </c>
      <c r="AJ883" t="n">
        <v>16</v>
      </c>
      <c r="AK883" t="n">
        <v>19</v>
      </c>
      <c r="AL883" t="n">
        <v>5</v>
      </c>
      <c r="AM883" t="n">
        <v>5</v>
      </c>
      <c r="AN883" t="n">
        <v>0</v>
      </c>
      <c r="AO883" t="n">
        <v>0</v>
      </c>
      <c r="AP883" t="inlineStr">
        <is>
          <t>No</t>
        </is>
      </c>
      <c r="AQ883" t="inlineStr">
        <is>
          <t>No</t>
        </is>
      </c>
      <c r="AS883">
        <f>HYPERLINK("https://creighton-primo.hosted.exlibrisgroup.com/primo-explore/search?tab=default_tab&amp;search_scope=EVERYTHING&amp;vid=01CRU&amp;lang=en_US&amp;offset=0&amp;query=any,contains,991002214249702656","Catalog Record")</f>
        <v/>
      </c>
      <c r="AT883">
        <f>HYPERLINK("http://www.worldcat.org/oclc/288296","WorldCat Record")</f>
        <v/>
      </c>
      <c r="AU883" t="inlineStr">
        <is>
          <t>3769232884:eng</t>
        </is>
      </c>
      <c r="AV883" t="inlineStr">
        <is>
          <t>288296</t>
        </is>
      </c>
      <c r="AW883" t="inlineStr">
        <is>
          <t>991002214249702656</t>
        </is>
      </c>
      <c r="AX883" t="inlineStr">
        <is>
          <t>991002214249702656</t>
        </is>
      </c>
      <c r="AY883" t="inlineStr">
        <is>
          <t>2264071030002656</t>
        </is>
      </c>
      <c r="AZ883" t="inlineStr">
        <is>
          <t>BOOK</t>
        </is>
      </c>
      <c r="BC883" t="inlineStr">
        <is>
          <t>32285002817186</t>
        </is>
      </c>
      <c r="BD883" t="inlineStr">
        <is>
          <t>893685099</t>
        </is>
      </c>
    </row>
    <row r="884">
      <c r="A884" t="inlineStr">
        <is>
          <t>No</t>
        </is>
      </c>
      <c r="B884" t="inlineStr">
        <is>
          <t>PS3535.O39 Z4596 1973</t>
        </is>
      </c>
      <c r="C884" t="inlineStr">
        <is>
          <t>0                      PS 3535000O  39                 Z  4596        1973</t>
        </is>
      </c>
      <c r="D884" t="inlineStr">
        <is>
          <t>Theodore Roethke; a bibliography.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McLeod, James Richard.</t>
        </is>
      </c>
      <c r="L884" t="inlineStr">
        <is>
          <t>[Kent, Ohio] Kent State University Press [1973]</t>
        </is>
      </c>
      <c r="M884" t="inlineStr">
        <is>
          <t>1973</t>
        </is>
      </c>
      <c r="O884" t="inlineStr">
        <is>
          <t>eng</t>
        </is>
      </c>
      <c r="P884" t="inlineStr">
        <is>
          <t>ohu</t>
        </is>
      </c>
      <c r="Q884" t="inlineStr">
        <is>
          <t>The Serif series: bibliographies and checklists, no. 27</t>
        </is>
      </c>
      <c r="R884" t="inlineStr">
        <is>
          <t xml:space="preserve">PS </t>
        </is>
      </c>
      <c r="S884" t="n">
        <v>1</v>
      </c>
      <c r="T884" t="n">
        <v>1</v>
      </c>
      <c r="U884" t="inlineStr">
        <is>
          <t>2003-09-12</t>
        </is>
      </c>
      <c r="V884" t="inlineStr">
        <is>
          <t>2003-09-12</t>
        </is>
      </c>
      <c r="W884" t="inlineStr">
        <is>
          <t>1997-06-17</t>
        </is>
      </c>
      <c r="X884" t="inlineStr">
        <is>
          <t>1997-06-17</t>
        </is>
      </c>
      <c r="Y884" t="n">
        <v>424</v>
      </c>
      <c r="Z884" t="n">
        <v>361</v>
      </c>
      <c r="AA884" t="n">
        <v>386</v>
      </c>
      <c r="AB884" t="n">
        <v>3</v>
      </c>
      <c r="AC884" t="n">
        <v>3</v>
      </c>
      <c r="AD884" t="n">
        <v>19</v>
      </c>
      <c r="AE884" t="n">
        <v>19</v>
      </c>
      <c r="AF884" t="n">
        <v>7</v>
      </c>
      <c r="AG884" t="n">
        <v>7</v>
      </c>
      <c r="AH884" t="n">
        <v>4</v>
      </c>
      <c r="AI884" t="n">
        <v>4</v>
      </c>
      <c r="AJ884" t="n">
        <v>9</v>
      </c>
      <c r="AK884" t="n">
        <v>9</v>
      </c>
      <c r="AL884" t="n">
        <v>2</v>
      </c>
      <c r="AM884" t="n">
        <v>2</v>
      </c>
      <c r="AN884" t="n">
        <v>0</v>
      </c>
      <c r="AO884" t="n">
        <v>0</v>
      </c>
      <c r="AP884" t="inlineStr">
        <is>
          <t>No</t>
        </is>
      </c>
      <c r="AQ884" t="inlineStr">
        <is>
          <t>Yes</t>
        </is>
      </c>
      <c r="AR884">
        <f>HYPERLINK("http://catalog.hathitrust.org/Record/001377457","HathiTrust Record")</f>
        <v/>
      </c>
      <c r="AS884">
        <f>HYPERLINK("https://creighton-primo.hosted.exlibrisgroup.com/primo-explore/search?tab=default_tab&amp;search_scope=EVERYTHING&amp;vid=01CRU&amp;lang=en_US&amp;offset=0&amp;query=any,contains,991003129959702656","Catalog Record")</f>
        <v/>
      </c>
      <c r="AT884">
        <f>HYPERLINK("http://www.worldcat.org/oclc/673158","WorldCat Record")</f>
        <v/>
      </c>
      <c r="AU884" t="inlineStr">
        <is>
          <t>2261017567:eng</t>
        </is>
      </c>
      <c r="AV884" t="inlineStr">
        <is>
          <t>673158</t>
        </is>
      </c>
      <c r="AW884" t="inlineStr">
        <is>
          <t>991003129959702656</t>
        </is>
      </c>
      <c r="AX884" t="inlineStr">
        <is>
          <t>991003129959702656</t>
        </is>
      </c>
      <c r="AY884" t="inlineStr">
        <is>
          <t>2268810630002656</t>
        </is>
      </c>
      <c r="AZ884" t="inlineStr">
        <is>
          <t>BOOK</t>
        </is>
      </c>
      <c r="BB884" t="inlineStr">
        <is>
          <t>9780873381000</t>
        </is>
      </c>
      <c r="BC884" t="inlineStr">
        <is>
          <t>32285002817194</t>
        </is>
      </c>
      <c r="BD884" t="inlineStr">
        <is>
          <t>893704939</t>
        </is>
      </c>
    </row>
    <row r="885">
      <c r="A885" t="inlineStr">
        <is>
          <t>No</t>
        </is>
      </c>
      <c r="B885" t="inlineStr">
        <is>
          <t>PS3535.U52 Z6 1978</t>
        </is>
      </c>
      <c r="C885" t="inlineStr">
        <is>
          <t>0                      PS 3535000U  52                 Z  6           1978</t>
        </is>
      </c>
      <c r="D885" t="inlineStr">
        <is>
          <t>The world of Damon Runyon / Tom Clark, with ill. by the author.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Clark, Tom, 1941-2018.</t>
        </is>
      </c>
      <c r="L885" t="inlineStr">
        <is>
          <t>New York : Harper &amp; Row, c1978.</t>
        </is>
      </c>
      <c r="M885" t="inlineStr">
        <is>
          <t>1978</t>
        </is>
      </c>
      <c r="N885" t="inlineStr">
        <is>
          <t>1st ed.</t>
        </is>
      </c>
      <c r="O885" t="inlineStr">
        <is>
          <t>eng</t>
        </is>
      </c>
      <c r="P885" t="inlineStr">
        <is>
          <t>nyu</t>
        </is>
      </c>
      <c r="R885" t="inlineStr">
        <is>
          <t xml:space="preserve">PS </t>
        </is>
      </c>
      <c r="S885" t="n">
        <v>1</v>
      </c>
      <c r="T885" t="n">
        <v>1</v>
      </c>
      <c r="U885" t="inlineStr">
        <is>
          <t>2001-07-09</t>
        </is>
      </c>
      <c r="V885" t="inlineStr">
        <is>
          <t>2001-07-09</t>
        </is>
      </c>
      <c r="W885" t="inlineStr">
        <is>
          <t>1990-11-30</t>
        </is>
      </c>
      <c r="X885" t="inlineStr">
        <is>
          <t>1990-11-30</t>
        </is>
      </c>
      <c r="Y885" t="n">
        <v>504</v>
      </c>
      <c r="Z885" t="n">
        <v>478</v>
      </c>
      <c r="AA885" t="n">
        <v>486</v>
      </c>
      <c r="AB885" t="n">
        <v>2</v>
      </c>
      <c r="AC885" t="n">
        <v>2</v>
      </c>
      <c r="AD885" t="n">
        <v>10</v>
      </c>
      <c r="AE885" t="n">
        <v>10</v>
      </c>
      <c r="AF885" t="n">
        <v>3</v>
      </c>
      <c r="AG885" t="n">
        <v>3</v>
      </c>
      <c r="AH885" t="n">
        <v>4</v>
      </c>
      <c r="AI885" t="n">
        <v>4</v>
      </c>
      <c r="AJ885" t="n">
        <v>5</v>
      </c>
      <c r="AK885" t="n">
        <v>5</v>
      </c>
      <c r="AL885" t="n">
        <v>1</v>
      </c>
      <c r="AM885" t="n">
        <v>1</v>
      </c>
      <c r="AN885" t="n">
        <v>0</v>
      </c>
      <c r="AO885" t="n">
        <v>0</v>
      </c>
      <c r="AP885" t="inlineStr">
        <is>
          <t>No</t>
        </is>
      </c>
      <c r="AQ885" t="inlineStr">
        <is>
          <t>Yes</t>
        </is>
      </c>
      <c r="AR885">
        <f>HYPERLINK("http://catalog.hathitrust.org/Record/000137322","HathiTrust Record")</f>
        <v/>
      </c>
      <c r="AS885">
        <f>HYPERLINK("https://creighton-primo.hosted.exlibrisgroup.com/primo-explore/search?tab=default_tab&amp;search_scope=EVERYTHING&amp;vid=01CRU&amp;lang=en_US&amp;offset=0&amp;query=any,contains,991004541379702656","Catalog Record")</f>
        <v/>
      </c>
      <c r="AT885">
        <f>HYPERLINK("http://www.worldcat.org/oclc/3893868","WorldCat Record")</f>
        <v/>
      </c>
      <c r="AU885" t="inlineStr">
        <is>
          <t>13381385:eng</t>
        </is>
      </c>
      <c r="AV885" t="inlineStr">
        <is>
          <t>3893868</t>
        </is>
      </c>
      <c r="AW885" t="inlineStr">
        <is>
          <t>991004541379702656</t>
        </is>
      </c>
      <c r="AX885" t="inlineStr">
        <is>
          <t>991004541379702656</t>
        </is>
      </c>
      <c r="AY885" t="inlineStr">
        <is>
          <t>2271898580002656</t>
        </is>
      </c>
      <c r="AZ885" t="inlineStr">
        <is>
          <t>BOOK</t>
        </is>
      </c>
      <c r="BB885" t="inlineStr">
        <is>
          <t>9780060107710</t>
        </is>
      </c>
      <c r="BC885" t="inlineStr">
        <is>
          <t>32285000417286</t>
        </is>
      </c>
      <c r="BD885" t="inlineStr">
        <is>
          <t>893247699</t>
        </is>
      </c>
    </row>
    <row r="886">
      <c r="A886" t="inlineStr">
        <is>
          <t>No</t>
        </is>
      </c>
      <c r="B886" t="inlineStr">
        <is>
          <t>PS3537.A618 Z785 1991</t>
        </is>
      </c>
      <c r="C886" t="inlineStr">
        <is>
          <t>0                      PS 3537000A  618                Z  785         1991</t>
        </is>
      </c>
      <c r="D886" t="inlineStr">
        <is>
          <t>Carl Sandburg : a biography / Penelope Niven.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Niven, Penelope.</t>
        </is>
      </c>
      <c r="L886" t="inlineStr">
        <is>
          <t>New York : C. Scribner's Sons ; Toronto : Maxwell Macmillan Canada ; New York : Maxwell Macmillan International, c1991.</t>
        </is>
      </c>
      <c r="M886" t="inlineStr">
        <is>
          <t>1991</t>
        </is>
      </c>
      <c r="O886" t="inlineStr">
        <is>
          <t>eng</t>
        </is>
      </c>
      <c r="P886" t="inlineStr">
        <is>
          <t>nyu</t>
        </is>
      </c>
      <c r="R886" t="inlineStr">
        <is>
          <t xml:space="preserve">PS </t>
        </is>
      </c>
      <c r="S886" t="n">
        <v>2</v>
      </c>
      <c r="T886" t="n">
        <v>2</v>
      </c>
      <c r="U886" t="inlineStr">
        <is>
          <t>1994-04-11</t>
        </is>
      </c>
      <c r="V886" t="inlineStr">
        <is>
          <t>1994-04-11</t>
        </is>
      </c>
      <c r="W886" t="inlineStr">
        <is>
          <t>1991-08-26</t>
        </is>
      </c>
      <c r="X886" t="inlineStr">
        <is>
          <t>1991-08-26</t>
        </is>
      </c>
      <c r="Y886" t="n">
        <v>1565</v>
      </c>
      <c r="Z886" t="n">
        <v>1473</v>
      </c>
      <c r="AA886" t="n">
        <v>1487</v>
      </c>
      <c r="AB886" t="n">
        <v>12</v>
      </c>
      <c r="AC886" t="n">
        <v>12</v>
      </c>
      <c r="AD886" t="n">
        <v>38</v>
      </c>
      <c r="AE886" t="n">
        <v>38</v>
      </c>
      <c r="AF886" t="n">
        <v>13</v>
      </c>
      <c r="AG886" t="n">
        <v>13</v>
      </c>
      <c r="AH886" t="n">
        <v>9</v>
      </c>
      <c r="AI886" t="n">
        <v>9</v>
      </c>
      <c r="AJ886" t="n">
        <v>18</v>
      </c>
      <c r="AK886" t="n">
        <v>18</v>
      </c>
      <c r="AL886" t="n">
        <v>8</v>
      </c>
      <c r="AM886" t="n">
        <v>8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HYPERLINK("http://catalog.hathitrust.org/Record/002480031","HathiTrust Record")</f>
        <v/>
      </c>
      <c r="AS886">
        <f>HYPERLINK("https://creighton-primo.hosted.exlibrisgroup.com/primo-explore/search?tab=default_tab&amp;search_scope=EVERYTHING&amp;vid=01CRU&amp;lang=en_US&amp;offset=0&amp;query=any,contains,991001797429702656","Catalog Record")</f>
        <v/>
      </c>
      <c r="AT886">
        <f>HYPERLINK("http://www.worldcat.org/oclc/22623567","WorldCat Record")</f>
        <v/>
      </c>
      <c r="AU886" t="inlineStr">
        <is>
          <t>19973601:eng</t>
        </is>
      </c>
      <c r="AV886" t="inlineStr">
        <is>
          <t>22623567</t>
        </is>
      </c>
      <c r="AW886" t="inlineStr">
        <is>
          <t>991001797429702656</t>
        </is>
      </c>
      <c r="AX886" t="inlineStr">
        <is>
          <t>991001797429702656</t>
        </is>
      </c>
      <c r="AY886" t="inlineStr">
        <is>
          <t>2271787400002656</t>
        </is>
      </c>
      <c r="AZ886" t="inlineStr">
        <is>
          <t>BOOK</t>
        </is>
      </c>
      <c r="BB886" t="inlineStr">
        <is>
          <t>9780684192512</t>
        </is>
      </c>
      <c r="BC886" t="inlineStr">
        <is>
          <t>32285000702000</t>
        </is>
      </c>
      <c r="BD886" t="inlineStr">
        <is>
          <t>893772915</t>
        </is>
      </c>
    </row>
    <row r="887">
      <c r="A887" t="inlineStr">
        <is>
          <t>No</t>
        </is>
      </c>
      <c r="B887" t="inlineStr">
        <is>
          <t>PS3537.A826 A6 1958</t>
        </is>
      </c>
      <c r="C887" t="inlineStr">
        <is>
          <t>0                      PS 3537000A  826                A  6           1958</t>
        </is>
      </c>
      <c r="D887" t="inlineStr">
        <is>
          <t>The William Saroyan reader / introd. by William Saroyan.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Saroyan, William, 1908-1981.</t>
        </is>
      </c>
      <c r="L887" t="inlineStr">
        <is>
          <t>New York : G. Braziller, 1958.</t>
        </is>
      </c>
      <c r="M887" t="inlineStr">
        <is>
          <t>1958</t>
        </is>
      </c>
      <c r="N887" t="inlineStr">
        <is>
          <t>[1st ed.]</t>
        </is>
      </c>
      <c r="O887" t="inlineStr">
        <is>
          <t>eng</t>
        </is>
      </c>
      <c r="P887" t="inlineStr">
        <is>
          <t>nyu</t>
        </is>
      </c>
      <c r="R887" t="inlineStr">
        <is>
          <t xml:space="preserve">PS </t>
        </is>
      </c>
      <c r="S887" t="n">
        <v>4</v>
      </c>
      <c r="T887" t="n">
        <v>4</v>
      </c>
      <c r="U887" t="inlineStr">
        <is>
          <t>2000-04-24</t>
        </is>
      </c>
      <c r="V887" t="inlineStr">
        <is>
          <t>2000-04-24</t>
        </is>
      </c>
      <c r="W887" t="inlineStr">
        <is>
          <t>1991-05-15</t>
        </is>
      </c>
      <c r="X887" t="inlineStr">
        <is>
          <t>1991-05-15</t>
        </is>
      </c>
      <c r="Y887" t="n">
        <v>996</v>
      </c>
      <c r="Z887" t="n">
        <v>923</v>
      </c>
      <c r="AA887" t="n">
        <v>1055</v>
      </c>
      <c r="AB887" t="n">
        <v>9</v>
      </c>
      <c r="AC887" t="n">
        <v>9</v>
      </c>
      <c r="AD887" t="n">
        <v>32</v>
      </c>
      <c r="AE887" t="n">
        <v>34</v>
      </c>
      <c r="AF887" t="n">
        <v>10</v>
      </c>
      <c r="AG887" t="n">
        <v>11</v>
      </c>
      <c r="AH887" t="n">
        <v>7</v>
      </c>
      <c r="AI887" t="n">
        <v>7</v>
      </c>
      <c r="AJ887" t="n">
        <v>15</v>
      </c>
      <c r="AK887" t="n">
        <v>16</v>
      </c>
      <c r="AL887" t="n">
        <v>7</v>
      </c>
      <c r="AM887" t="n">
        <v>7</v>
      </c>
      <c r="AN887" t="n">
        <v>0</v>
      </c>
      <c r="AO887" t="n">
        <v>0</v>
      </c>
      <c r="AP887" t="inlineStr">
        <is>
          <t>No</t>
        </is>
      </c>
      <c r="AQ887" t="inlineStr">
        <is>
          <t>No</t>
        </is>
      </c>
      <c r="AR887">
        <f>HYPERLINK("http://catalog.hathitrust.org/Record/001029322","HathiTrust Record")</f>
        <v/>
      </c>
      <c r="AS887">
        <f>HYPERLINK("https://creighton-primo.hosted.exlibrisgroup.com/primo-explore/search?tab=default_tab&amp;search_scope=EVERYTHING&amp;vid=01CRU&amp;lang=en_US&amp;offset=0&amp;query=any,contains,991002206809702656","Catalog Record")</f>
        <v/>
      </c>
      <c r="AT887">
        <f>HYPERLINK("http://www.worldcat.org/oclc/286061","WorldCat Record")</f>
        <v/>
      </c>
      <c r="AU887" t="inlineStr">
        <is>
          <t>139144211:eng</t>
        </is>
      </c>
      <c r="AV887" t="inlineStr">
        <is>
          <t>286061</t>
        </is>
      </c>
      <c r="AW887" t="inlineStr">
        <is>
          <t>991002206809702656</t>
        </is>
      </c>
      <c r="AX887" t="inlineStr">
        <is>
          <t>991002206809702656</t>
        </is>
      </c>
      <c r="AY887" t="inlineStr">
        <is>
          <t>2263073260002656</t>
        </is>
      </c>
      <c r="AZ887" t="inlineStr">
        <is>
          <t>BOOK</t>
        </is>
      </c>
      <c r="BC887" t="inlineStr">
        <is>
          <t>32285000595404</t>
        </is>
      </c>
      <c r="BD887" t="inlineStr">
        <is>
          <t>893785852</t>
        </is>
      </c>
    </row>
    <row r="888">
      <c r="A888" t="inlineStr">
        <is>
          <t>No</t>
        </is>
      </c>
      <c r="B888" t="inlineStr">
        <is>
          <t>PS3537.A826 Z78 2002</t>
        </is>
      </c>
      <c r="C888" t="inlineStr">
        <is>
          <t>0                      PS 3537000A  826                Z  78          2002</t>
        </is>
      </c>
      <c r="D888" t="inlineStr">
        <is>
          <t>A daring young man : a biography of William Saroyan / John Leggett.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K888" t="inlineStr">
        <is>
          <t>Leggett, John, 1917-2015.</t>
        </is>
      </c>
      <c r="L888" t="inlineStr">
        <is>
          <t>New York : Knopf : Distributed by Random House, 2002.</t>
        </is>
      </c>
      <c r="M888" t="inlineStr">
        <is>
          <t>2002</t>
        </is>
      </c>
      <c r="N888" t="inlineStr">
        <is>
          <t>1st ed.</t>
        </is>
      </c>
      <c r="O888" t="inlineStr">
        <is>
          <t>eng</t>
        </is>
      </c>
      <c r="P888" t="inlineStr">
        <is>
          <t>nyu</t>
        </is>
      </c>
      <c r="R888" t="inlineStr">
        <is>
          <t xml:space="preserve">PS </t>
        </is>
      </c>
      <c r="S888" t="n">
        <v>1</v>
      </c>
      <c r="T888" t="n">
        <v>1</v>
      </c>
      <c r="U888" t="inlineStr">
        <is>
          <t>2003-06-18</t>
        </is>
      </c>
      <c r="V888" t="inlineStr">
        <is>
          <t>2003-06-18</t>
        </is>
      </c>
      <c r="W888" t="inlineStr">
        <is>
          <t>2003-06-18</t>
        </is>
      </c>
      <c r="X888" t="inlineStr">
        <is>
          <t>2003-06-18</t>
        </is>
      </c>
      <c r="Y888" t="n">
        <v>778</v>
      </c>
      <c r="Z888" t="n">
        <v>734</v>
      </c>
      <c r="AA888" t="n">
        <v>740</v>
      </c>
      <c r="AB888" t="n">
        <v>7</v>
      </c>
      <c r="AC888" t="n">
        <v>7</v>
      </c>
      <c r="AD888" t="n">
        <v>32</v>
      </c>
      <c r="AE888" t="n">
        <v>32</v>
      </c>
      <c r="AF888" t="n">
        <v>15</v>
      </c>
      <c r="AG888" t="n">
        <v>15</v>
      </c>
      <c r="AH888" t="n">
        <v>8</v>
      </c>
      <c r="AI888" t="n">
        <v>8</v>
      </c>
      <c r="AJ888" t="n">
        <v>11</v>
      </c>
      <c r="AK888" t="n">
        <v>11</v>
      </c>
      <c r="AL888" t="n">
        <v>5</v>
      </c>
      <c r="AM888" t="n">
        <v>5</v>
      </c>
      <c r="AN888" t="n">
        <v>0</v>
      </c>
      <c r="AO888" t="n">
        <v>0</v>
      </c>
      <c r="AP888" t="inlineStr">
        <is>
          <t>No</t>
        </is>
      </c>
      <c r="AQ888" t="inlineStr">
        <is>
          <t>Yes</t>
        </is>
      </c>
      <c r="AR888">
        <f>HYPERLINK("http://catalog.hathitrust.org/Record/004297182","HathiTrust Record")</f>
        <v/>
      </c>
      <c r="AS888">
        <f>HYPERLINK("https://creighton-primo.hosted.exlibrisgroup.com/primo-explore/search?tab=default_tab&amp;search_scope=EVERYTHING&amp;vid=01CRU&amp;lang=en_US&amp;offset=0&amp;query=any,contains,991004073489702656","Catalog Record")</f>
        <v/>
      </c>
      <c r="AT888">
        <f>HYPERLINK("http://www.worldcat.org/oclc/49576529","WorldCat Record")</f>
        <v/>
      </c>
      <c r="AU888" t="inlineStr">
        <is>
          <t>366419981:eng</t>
        </is>
      </c>
      <c r="AV888" t="inlineStr">
        <is>
          <t>49576529</t>
        </is>
      </c>
      <c r="AW888" t="inlineStr">
        <is>
          <t>991004073489702656</t>
        </is>
      </c>
      <c r="AX888" t="inlineStr">
        <is>
          <t>991004073489702656</t>
        </is>
      </c>
      <c r="AY888" t="inlineStr">
        <is>
          <t>2260878970002656</t>
        </is>
      </c>
      <c r="AZ888" t="inlineStr">
        <is>
          <t>BOOK</t>
        </is>
      </c>
      <c r="BB888" t="inlineStr">
        <is>
          <t>9780375413018</t>
        </is>
      </c>
      <c r="BC888" t="inlineStr">
        <is>
          <t>32285004753694</t>
        </is>
      </c>
      <c r="BD888" t="inlineStr">
        <is>
          <t>893525626</t>
        </is>
      </c>
    </row>
    <row r="889">
      <c r="A889" t="inlineStr">
        <is>
          <t>No</t>
        </is>
      </c>
      <c r="B889" t="inlineStr">
        <is>
          <t>PS3537.A832 Z83 1997</t>
        </is>
      </c>
      <c r="C889" t="inlineStr">
        <is>
          <t>0                      PS 3537000A  832                Z  83          1997</t>
        </is>
      </c>
      <c r="D889" t="inlineStr">
        <is>
          <t>May Sarton : a biography / Margot Peters.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Peters, Margot.</t>
        </is>
      </c>
      <c r="L889" t="inlineStr">
        <is>
          <t>New York : Knopf, 1997.</t>
        </is>
      </c>
      <c r="M889" t="inlineStr">
        <is>
          <t>1997</t>
        </is>
      </c>
      <c r="N889" t="inlineStr">
        <is>
          <t>1st ed.</t>
        </is>
      </c>
      <c r="O889" t="inlineStr">
        <is>
          <t>eng</t>
        </is>
      </c>
      <c r="P889" t="inlineStr">
        <is>
          <t>nyu</t>
        </is>
      </c>
      <c r="R889" t="inlineStr">
        <is>
          <t xml:space="preserve">PS </t>
        </is>
      </c>
      <c r="S889" t="n">
        <v>1</v>
      </c>
      <c r="T889" t="n">
        <v>1</v>
      </c>
      <c r="U889" t="inlineStr">
        <is>
          <t>1997-04-19</t>
        </is>
      </c>
      <c r="V889" t="inlineStr">
        <is>
          <t>1997-04-19</t>
        </is>
      </c>
      <c r="W889" t="inlineStr">
        <is>
          <t>1997-03-17</t>
        </is>
      </c>
      <c r="X889" t="inlineStr">
        <is>
          <t>1997-03-17</t>
        </is>
      </c>
      <c r="Y889" t="n">
        <v>1072</v>
      </c>
      <c r="Z889" t="n">
        <v>994</v>
      </c>
      <c r="AA889" t="n">
        <v>1077</v>
      </c>
      <c r="AB889" t="n">
        <v>6</v>
      </c>
      <c r="AC889" t="n">
        <v>6</v>
      </c>
      <c r="AD889" t="n">
        <v>29</v>
      </c>
      <c r="AE889" t="n">
        <v>30</v>
      </c>
      <c r="AF889" t="n">
        <v>12</v>
      </c>
      <c r="AG889" t="n">
        <v>12</v>
      </c>
      <c r="AH889" t="n">
        <v>6</v>
      </c>
      <c r="AI889" t="n">
        <v>6</v>
      </c>
      <c r="AJ889" t="n">
        <v>12</v>
      </c>
      <c r="AK889" t="n">
        <v>13</v>
      </c>
      <c r="AL889" t="n">
        <v>5</v>
      </c>
      <c r="AM889" t="n">
        <v>5</v>
      </c>
      <c r="AN889" t="n">
        <v>0</v>
      </c>
      <c r="AO889" t="n">
        <v>0</v>
      </c>
      <c r="AP889" t="inlineStr">
        <is>
          <t>No</t>
        </is>
      </c>
      <c r="AQ889" t="inlineStr">
        <is>
          <t>Yes</t>
        </is>
      </c>
      <c r="AR889">
        <f>HYPERLINK("http://catalog.hathitrust.org/Record/003131717","HathiTrust Record")</f>
        <v/>
      </c>
      <c r="AS889">
        <f>HYPERLINK("https://creighton-primo.hosted.exlibrisgroup.com/primo-explore/search?tab=default_tab&amp;search_scope=EVERYTHING&amp;vid=01CRU&amp;lang=en_US&amp;offset=0&amp;query=any,contains,991002669379702656","Catalog Record")</f>
        <v/>
      </c>
      <c r="AT889">
        <f>HYPERLINK("http://www.worldcat.org/oclc/34912743","WorldCat Record")</f>
        <v/>
      </c>
      <c r="AU889" t="inlineStr">
        <is>
          <t>796347284:eng</t>
        </is>
      </c>
      <c r="AV889" t="inlineStr">
        <is>
          <t>34912743</t>
        </is>
      </c>
      <c r="AW889" t="inlineStr">
        <is>
          <t>991002669379702656</t>
        </is>
      </c>
      <c r="AX889" t="inlineStr">
        <is>
          <t>991002669379702656</t>
        </is>
      </c>
      <c r="AY889" t="inlineStr">
        <is>
          <t>2258828730002656</t>
        </is>
      </c>
      <c r="AZ889" t="inlineStr">
        <is>
          <t>BOOK</t>
        </is>
      </c>
      <c r="BB889" t="inlineStr">
        <is>
          <t>9780679415213</t>
        </is>
      </c>
      <c r="BC889" t="inlineStr">
        <is>
          <t>32285002081940</t>
        </is>
      </c>
      <c r="BD889" t="inlineStr">
        <is>
          <t>893347777</t>
        </is>
      </c>
    </row>
    <row r="890">
      <c r="A890" t="inlineStr">
        <is>
          <t>No</t>
        </is>
      </c>
      <c r="B890" t="inlineStr">
        <is>
          <t>PS3537.E915 Z83 1988</t>
        </is>
      </c>
      <c r="C890" t="inlineStr">
        <is>
          <t>0                      PS 3537000E  915                Z  83          1988</t>
        </is>
      </c>
      <c r="D890" t="inlineStr">
        <is>
          <t>Original essays on the poetry of Anne Sexton / edited by Francis [i.e. Frances] Bixler ; associate editors, Robert Henigan, Katherine Lederer ; editorial assistant, Dana Bixler ; general editor, Robert E. Lowrey.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L890" t="inlineStr">
        <is>
          <t>[Conway, Ark.] : University of Central Arkansas Press, 1988.</t>
        </is>
      </c>
      <c r="M890" t="inlineStr">
        <is>
          <t>1988</t>
        </is>
      </c>
      <c r="O890" t="inlineStr">
        <is>
          <t>eng</t>
        </is>
      </c>
      <c r="P890" t="inlineStr">
        <is>
          <t>aru</t>
        </is>
      </c>
      <c r="R890" t="inlineStr">
        <is>
          <t xml:space="preserve">PS </t>
        </is>
      </c>
      <c r="S890" t="n">
        <v>19</v>
      </c>
      <c r="T890" t="n">
        <v>19</v>
      </c>
      <c r="U890" t="inlineStr">
        <is>
          <t>2004-02-02</t>
        </is>
      </c>
      <c r="V890" t="inlineStr">
        <is>
          <t>2004-02-02</t>
        </is>
      </c>
      <c r="W890" t="inlineStr">
        <is>
          <t>1996-12-15</t>
        </is>
      </c>
      <c r="X890" t="inlineStr">
        <is>
          <t>1996-12-15</t>
        </is>
      </c>
      <c r="Y890" t="n">
        <v>502</v>
      </c>
      <c r="Z890" t="n">
        <v>431</v>
      </c>
      <c r="AA890" t="n">
        <v>438</v>
      </c>
      <c r="AB890" t="n">
        <v>4</v>
      </c>
      <c r="AC890" t="n">
        <v>4</v>
      </c>
      <c r="AD890" t="n">
        <v>20</v>
      </c>
      <c r="AE890" t="n">
        <v>20</v>
      </c>
      <c r="AF890" t="n">
        <v>5</v>
      </c>
      <c r="AG890" t="n">
        <v>5</v>
      </c>
      <c r="AH890" t="n">
        <v>6</v>
      </c>
      <c r="AI890" t="n">
        <v>6</v>
      </c>
      <c r="AJ890" t="n">
        <v>10</v>
      </c>
      <c r="AK890" t="n">
        <v>10</v>
      </c>
      <c r="AL890" t="n">
        <v>3</v>
      </c>
      <c r="AM890" t="n">
        <v>3</v>
      </c>
      <c r="AN890" t="n">
        <v>0</v>
      </c>
      <c r="AO890" t="n">
        <v>0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HYPERLINK("http://catalog.hathitrust.org/Record/000941861","HathiTrust Record")</f>
        <v/>
      </c>
      <c r="AS890">
        <f>HYPERLINK("https://creighton-primo.hosted.exlibrisgroup.com/primo-explore/search?tab=default_tab&amp;search_scope=EVERYTHING&amp;vid=01CRU&amp;lang=en_US&amp;offset=0&amp;query=any,contains,991001235209702656","Catalog Record")</f>
        <v/>
      </c>
      <c r="AT890">
        <f>HYPERLINK("http://www.worldcat.org/oclc/17550129","WorldCat Record")</f>
        <v/>
      </c>
      <c r="AU890" t="inlineStr">
        <is>
          <t>5609519053:eng</t>
        </is>
      </c>
      <c r="AV890" t="inlineStr">
        <is>
          <t>17550129</t>
        </is>
      </c>
      <c r="AW890" t="inlineStr">
        <is>
          <t>991001235209702656</t>
        </is>
      </c>
      <c r="AX890" t="inlineStr">
        <is>
          <t>991001235209702656</t>
        </is>
      </c>
      <c r="AY890" t="inlineStr">
        <is>
          <t>2261956660002656</t>
        </is>
      </c>
      <c r="AZ890" t="inlineStr">
        <is>
          <t>BOOK</t>
        </is>
      </c>
      <c r="BB890" t="inlineStr">
        <is>
          <t>9780944436066</t>
        </is>
      </c>
      <c r="BC890" t="inlineStr">
        <is>
          <t>32285002396116</t>
        </is>
      </c>
      <c r="BD890" t="inlineStr">
        <is>
          <t>893778662</t>
        </is>
      </c>
    </row>
    <row r="891">
      <c r="A891" t="inlineStr">
        <is>
          <t>No</t>
        </is>
      </c>
      <c r="B891" t="inlineStr">
        <is>
          <t>PS3537.H189 B55</t>
        </is>
      </c>
      <c r="C891" t="inlineStr">
        <is>
          <t>0                      PS 3537000H  189                B  55</t>
        </is>
      </c>
      <c r="D891" t="inlineStr">
        <is>
          <t>Black comedy, including White lies; two plays.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K891" t="inlineStr">
        <is>
          <t>Shaffer, Peter, 1926-2016.</t>
        </is>
      </c>
      <c r="L891" t="inlineStr">
        <is>
          <t>New York, Stein and Day [1967]</t>
        </is>
      </c>
      <c r="M891" t="inlineStr">
        <is>
          <t>1967</t>
        </is>
      </c>
      <c r="O891" t="inlineStr">
        <is>
          <t>eng</t>
        </is>
      </c>
      <c r="P891" t="inlineStr">
        <is>
          <t>nyu</t>
        </is>
      </c>
      <c r="Q891" t="inlineStr">
        <is>
          <t>Stein and Day's play series</t>
        </is>
      </c>
      <c r="R891" t="inlineStr">
        <is>
          <t xml:space="preserve">PS </t>
        </is>
      </c>
      <c r="S891" t="n">
        <v>1</v>
      </c>
      <c r="T891" t="n">
        <v>1</v>
      </c>
      <c r="U891" t="inlineStr">
        <is>
          <t>1998-03-18</t>
        </is>
      </c>
      <c r="V891" t="inlineStr">
        <is>
          <t>1998-03-18</t>
        </is>
      </c>
      <c r="W891" t="inlineStr">
        <is>
          <t>1997-06-18</t>
        </is>
      </c>
      <c r="X891" t="inlineStr">
        <is>
          <t>1997-06-18</t>
        </is>
      </c>
      <c r="Y891" t="n">
        <v>791</v>
      </c>
      <c r="Z891" t="n">
        <v>761</v>
      </c>
      <c r="AA891" t="n">
        <v>799</v>
      </c>
      <c r="AB891" t="n">
        <v>12</v>
      </c>
      <c r="AC891" t="n">
        <v>12</v>
      </c>
      <c r="AD891" t="n">
        <v>35</v>
      </c>
      <c r="AE891" t="n">
        <v>36</v>
      </c>
      <c r="AF891" t="n">
        <v>14</v>
      </c>
      <c r="AG891" t="n">
        <v>15</v>
      </c>
      <c r="AH891" t="n">
        <v>5</v>
      </c>
      <c r="AI891" t="n">
        <v>5</v>
      </c>
      <c r="AJ891" t="n">
        <v>14</v>
      </c>
      <c r="AK891" t="n">
        <v>15</v>
      </c>
      <c r="AL891" t="n">
        <v>9</v>
      </c>
      <c r="AM891" t="n">
        <v>9</v>
      </c>
      <c r="AN891" t="n">
        <v>0</v>
      </c>
      <c r="AO891" t="n">
        <v>0</v>
      </c>
      <c r="AP891" t="inlineStr">
        <is>
          <t>No</t>
        </is>
      </c>
      <c r="AQ891" t="inlineStr">
        <is>
          <t>Yes</t>
        </is>
      </c>
      <c r="AR891">
        <f>HYPERLINK("http://catalog.hathitrust.org/Record/001373560","HathiTrust Record")</f>
        <v/>
      </c>
      <c r="AS891">
        <f>HYPERLINK("https://creighton-primo.hosted.exlibrisgroup.com/primo-explore/search?tab=default_tab&amp;search_scope=EVERYTHING&amp;vid=01CRU&amp;lang=en_US&amp;offset=0&amp;query=any,contains,991003960359702656","Catalog Record")</f>
        <v/>
      </c>
      <c r="AT891">
        <f>HYPERLINK("http://www.worldcat.org/oclc/1974921","WorldCat Record")</f>
        <v/>
      </c>
      <c r="AU891" t="inlineStr">
        <is>
          <t>2864213034:eng</t>
        </is>
      </c>
      <c r="AV891" t="inlineStr">
        <is>
          <t>1974921</t>
        </is>
      </c>
      <c r="AW891" t="inlineStr">
        <is>
          <t>991003960359702656</t>
        </is>
      </c>
      <c r="AX891" t="inlineStr">
        <is>
          <t>991003960359702656</t>
        </is>
      </c>
      <c r="AY891" t="inlineStr">
        <is>
          <t>2262827230002656</t>
        </is>
      </c>
      <c r="AZ891" t="inlineStr">
        <is>
          <t>BOOK</t>
        </is>
      </c>
      <c r="BC891" t="inlineStr">
        <is>
          <t>32285002817897</t>
        </is>
      </c>
      <c r="BD891" t="inlineStr">
        <is>
          <t>893442002</t>
        </is>
      </c>
    </row>
    <row r="892">
      <c r="A892" t="inlineStr">
        <is>
          <t>No</t>
        </is>
      </c>
      <c r="B892" t="inlineStr">
        <is>
          <t>PS3537.H384 A6 1978</t>
        </is>
      </c>
      <c r="C892" t="inlineStr">
        <is>
          <t>0                      PS 3537000H  384                A  6           1978</t>
        </is>
      </c>
      <c r="D892" t="inlineStr">
        <is>
          <t>Short stories, five decades / Irwin Shaw.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Shaw, Irwin, 1913-1984.</t>
        </is>
      </c>
      <c r="L892" t="inlineStr">
        <is>
          <t>London : Jonathan Cape, 1978.</t>
        </is>
      </c>
      <c r="M892" t="inlineStr">
        <is>
          <t>1978</t>
        </is>
      </c>
      <c r="O892" t="inlineStr">
        <is>
          <t>eng</t>
        </is>
      </c>
      <c r="P892" t="inlineStr">
        <is>
          <t>enk</t>
        </is>
      </c>
      <c r="R892" t="inlineStr">
        <is>
          <t xml:space="preserve">PS </t>
        </is>
      </c>
      <c r="S892" t="n">
        <v>3</v>
      </c>
      <c r="T892" t="n">
        <v>3</v>
      </c>
      <c r="U892" t="inlineStr">
        <is>
          <t>2004-12-13</t>
        </is>
      </c>
      <c r="V892" t="inlineStr">
        <is>
          <t>2004-12-13</t>
        </is>
      </c>
      <c r="W892" t="inlineStr">
        <is>
          <t>1990-02-05</t>
        </is>
      </c>
      <c r="X892" t="inlineStr">
        <is>
          <t>1990-02-05</t>
        </is>
      </c>
      <c r="Y892" t="n">
        <v>70</v>
      </c>
      <c r="Z892" t="n">
        <v>15</v>
      </c>
      <c r="AA892" t="n">
        <v>1457</v>
      </c>
      <c r="AB892" t="n">
        <v>1</v>
      </c>
      <c r="AC892" t="n">
        <v>17</v>
      </c>
      <c r="AD892" t="n">
        <v>1</v>
      </c>
      <c r="AE892" t="n">
        <v>29</v>
      </c>
      <c r="AF892" t="n">
        <v>1</v>
      </c>
      <c r="AG892" t="n">
        <v>11</v>
      </c>
      <c r="AH892" t="n">
        <v>1</v>
      </c>
      <c r="AI892" t="n">
        <v>6</v>
      </c>
      <c r="AJ892" t="n">
        <v>0</v>
      </c>
      <c r="AK892" t="n">
        <v>13</v>
      </c>
      <c r="AL892" t="n">
        <v>0</v>
      </c>
      <c r="AM892" t="n">
        <v>8</v>
      </c>
      <c r="AN892" t="n">
        <v>0</v>
      </c>
      <c r="AO892" t="n">
        <v>0</v>
      </c>
      <c r="AP892" t="inlineStr">
        <is>
          <t>No</t>
        </is>
      </c>
      <c r="AQ892" t="inlineStr">
        <is>
          <t>No</t>
        </is>
      </c>
      <c r="AS892">
        <f>HYPERLINK("https://creighton-primo.hosted.exlibrisgroup.com/primo-explore/search?tab=default_tab&amp;search_scope=EVERYTHING&amp;vid=01CRU&amp;lang=en_US&amp;offset=0&amp;query=any,contains,991004684079702656","Catalog Record")</f>
        <v/>
      </c>
      <c r="AT892">
        <f>HYPERLINK("http://www.worldcat.org/oclc/4586107","WorldCat Record")</f>
        <v/>
      </c>
      <c r="AU892" t="inlineStr">
        <is>
          <t>287806426:eng</t>
        </is>
      </c>
      <c r="AV892" t="inlineStr">
        <is>
          <t>4586107</t>
        </is>
      </c>
      <c r="AW892" t="inlineStr">
        <is>
          <t>991004684079702656</t>
        </is>
      </c>
      <c r="AX892" t="inlineStr">
        <is>
          <t>991004684079702656</t>
        </is>
      </c>
      <c r="AY892" t="inlineStr">
        <is>
          <t>2269480070002656</t>
        </is>
      </c>
      <c r="AZ892" t="inlineStr">
        <is>
          <t>BOOK</t>
        </is>
      </c>
      <c r="BB892" t="inlineStr">
        <is>
          <t>9780224016667</t>
        </is>
      </c>
      <c r="BC892" t="inlineStr">
        <is>
          <t>32285000006196</t>
        </is>
      </c>
      <c r="BD892" t="inlineStr">
        <is>
          <t>893612639</t>
        </is>
      </c>
    </row>
    <row r="893">
      <c r="A893" t="inlineStr">
        <is>
          <t>No</t>
        </is>
      </c>
      <c r="B893" t="inlineStr">
        <is>
          <t>PS3537.H9919 R3 1957</t>
        </is>
      </c>
      <c r="C893" t="inlineStr">
        <is>
          <t>0                      PS 3537000H  9919               R  3           1957</t>
        </is>
      </c>
      <c r="D893" t="inlineStr">
        <is>
          <t>Rally round the flag, boys! / Max Shulman.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Shulman, Max, 1919-1988.</t>
        </is>
      </c>
      <c r="L893" t="inlineStr">
        <is>
          <t>Garden City, N.Y. : Doubleday, 1957.</t>
        </is>
      </c>
      <c r="M893" t="inlineStr">
        <is>
          <t>1957</t>
        </is>
      </c>
      <c r="N893" t="inlineStr">
        <is>
          <t>[1st ed.]</t>
        </is>
      </c>
      <c r="O893" t="inlineStr">
        <is>
          <t>eng</t>
        </is>
      </c>
      <c r="P893" t="inlineStr">
        <is>
          <t>nyu</t>
        </is>
      </c>
      <c r="R893" t="inlineStr">
        <is>
          <t xml:space="preserve">PS </t>
        </is>
      </c>
      <c r="S893" t="n">
        <v>3</v>
      </c>
      <c r="T893" t="n">
        <v>3</v>
      </c>
      <c r="U893" t="inlineStr">
        <is>
          <t>1999-07-06</t>
        </is>
      </c>
      <c r="V893" t="inlineStr">
        <is>
          <t>1999-07-06</t>
        </is>
      </c>
      <c r="W893" t="inlineStr">
        <is>
          <t>1990-11-30</t>
        </is>
      </c>
      <c r="X893" t="inlineStr">
        <is>
          <t>1990-11-30</t>
        </is>
      </c>
      <c r="Y893" t="n">
        <v>657</v>
      </c>
      <c r="Z893" t="n">
        <v>647</v>
      </c>
      <c r="AA893" t="n">
        <v>798</v>
      </c>
      <c r="AB893" t="n">
        <v>5</v>
      </c>
      <c r="AC893" t="n">
        <v>6</v>
      </c>
      <c r="AD893" t="n">
        <v>9</v>
      </c>
      <c r="AE893" t="n">
        <v>15</v>
      </c>
      <c r="AF893" t="n">
        <v>2</v>
      </c>
      <c r="AG893" t="n">
        <v>6</v>
      </c>
      <c r="AH893" t="n">
        <v>1</v>
      </c>
      <c r="AI893" t="n">
        <v>3</v>
      </c>
      <c r="AJ893" t="n">
        <v>8</v>
      </c>
      <c r="AK893" t="n">
        <v>9</v>
      </c>
      <c r="AL893" t="n">
        <v>0</v>
      </c>
      <c r="AM893" t="n">
        <v>1</v>
      </c>
      <c r="AN893" t="n">
        <v>0</v>
      </c>
      <c r="AO893" t="n">
        <v>0</v>
      </c>
      <c r="AP893" t="inlineStr">
        <is>
          <t>No</t>
        </is>
      </c>
      <c r="AQ893" t="inlineStr">
        <is>
          <t>No</t>
        </is>
      </c>
      <c r="AR893">
        <f>HYPERLINK("http://catalog.hathitrust.org/Record/001774690","HathiTrust Record")</f>
        <v/>
      </c>
      <c r="AS893">
        <f>HYPERLINK("https://creighton-primo.hosted.exlibrisgroup.com/primo-explore/search?tab=default_tab&amp;search_scope=EVERYTHING&amp;vid=01CRU&amp;lang=en_US&amp;offset=0&amp;query=any,contains,991002990039702656","Catalog Record")</f>
        <v/>
      </c>
      <c r="AT893">
        <f>HYPERLINK("http://www.worldcat.org/oclc/8834704","WorldCat Record")</f>
        <v/>
      </c>
      <c r="AU893" t="inlineStr">
        <is>
          <t>116589560:eng</t>
        </is>
      </c>
      <c r="AV893" t="inlineStr">
        <is>
          <t>8834704</t>
        </is>
      </c>
      <c r="AW893" t="inlineStr">
        <is>
          <t>991002990039702656</t>
        </is>
      </c>
      <c r="AX893" t="inlineStr">
        <is>
          <t>991002990039702656</t>
        </is>
      </c>
      <c r="AY893" t="inlineStr">
        <is>
          <t>2256654730002656</t>
        </is>
      </c>
      <c r="AZ893" t="inlineStr">
        <is>
          <t>BOOK</t>
        </is>
      </c>
      <c r="BC893" t="inlineStr">
        <is>
          <t>32285000417641</t>
        </is>
      </c>
      <c r="BD893" t="inlineStr">
        <is>
          <t>893415889</t>
        </is>
      </c>
    </row>
    <row r="894">
      <c r="A894" t="inlineStr">
        <is>
          <t>No</t>
        </is>
      </c>
      <c r="B894" t="inlineStr">
        <is>
          <t>PS3537.H9919 T4</t>
        </is>
      </c>
      <c r="C894" t="inlineStr">
        <is>
          <t>0                      PS 3537000H  9919               T  4</t>
        </is>
      </c>
      <c r="D894" t="inlineStr">
        <is>
          <t>The tender trap, a comedy by Max Shulman and Robert Paul Smith.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Shulman, Max, 1919-1988.</t>
        </is>
      </c>
      <c r="L894" t="inlineStr">
        <is>
          <t>New York, Random House [c1955]</t>
        </is>
      </c>
      <c r="M894" t="inlineStr">
        <is>
          <t>1955</t>
        </is>
      </c>
      <c r="O894" t="inlineStr">
        <is>
          <t>eng</t>
        </is>
      </c>
      <c r="P894" t="inlineStr">
        <is>
          <t>nyu</t>
        </is>
      </c>
      <c r="R894" t="inlineStr">
        <is>
          <t xml:space="preserve">PS </t>
        </is>
      </c>
      <c r="S894" t="n">
        <v>3</v>
      </c>
      <c r="T894" t="n">
        <v>3</v>
      </c>
      <c r="U894" t="inlineStr">
        <is>
          <t>1999-07-06</t>
        </is>
      </c>
      <c r="V894" t="inlineStr">
        <is>
          <t>1999-07-06</t>
        </is>
      </c>
      <c r="W894" t="inlineStr">
        <is>
          <t>1997-06-18</t>
        </is>
      </c>
      <c r="X894" t="inlineStr">
        <is>
          <t>1997-06-18</t>
        </is>
      </c>
      <c r="Y894" t="n">
        <v>573</v>
      </c>
      <c r="Z894" t="n">
        <v>548</v>
      </c>
      <c r="AA894" t="n">
        <v>553</v>
      </c>
      <c r="AB894" t="n">
        <v>7</v>
      </c>
      <c r="AC894" t="n">
        <v>7</v>
      </c>
      <c r="AD894" t="n">
        <v>18</v>
      </c>
      <c r="AE894" t="n">
        <v>18</v>
      </c>
      <c r="AF894" t="n">
        <v>7</v>
      </c>
      <c r="AG894" t="n">
        <v>7</v>
      </c>
      <c r="AH894" t="n">
        <v>1</v>
      </c>
      <c r="AI894" t="n">
        <v>1</v>
      </c>
      <c r="AJ894" t="n">
        <v>5</v>
      </c>
      <c r="AK894" t="n">
        <v>5</v>
      </c>
      <c r="AL894" t="n">
        <v>5</v>
      </c>
      <c r="AM894" t="n">
        <v>5</v>
      </c>
      <c r="AN894" t="n">
        <v>0</v>
      </c>
      <c r="AO894" t="n">
        <v>0</v>
      </c>
      <c r="AP894" t="inlineStr">
        <is>
          <t>No</t>
        </is>
      </c>
      <c r="AQ894" t="inlineStr">
        <is>
          <t>No</t>
        </is>
      </c>
      <c r="AS894">
        <f>HYPERLINK("https://creighton-primo.hosted.exlibrisgroup.com/primo-explore/search?tab=default_tab&amp;search_scope=EVERYTHING&amp;vid=01CRU&amp;lang=en_US&amp;offset=0&amp;query=any,contains,991004558559702656","Catalog Record")</f>
        <v/>
      </c>
      <c r="AT894">
        <f>HYPERLINK("http://www.worldcat.org/oclc/3981869","WorldCat Record")</f>
        <v/>
      </c>
      <c r="AU894" t="inlineStr">
        <is>
          <t>3856966806:eng</t>
        </is>
      </c>
      <c r="AV894" t="inlineStr">
        <is>
          <t>3981869</t>
        </is>
      </c>
      <c r="AW894" t="inlineStr">
        <is>
          <t>991004558559702656</t>
        </is>
      </c>
      <c r="AX894" t="inlineStr">
        <is>
          <t>991004558559702656</t>
        </is>
      </c>
      <c r="AY894" t="inlineStr">
        <is>
          <t>2269639590002656</t>
        </is>
      </c>
      <c r="AZ894" t="inlineStr">
        <is>
          <t>BOOK</t>
        </is>
      </c>
      <c r="BC894" t="inlineStr">
        <is>
          <t>32285002818150</t>
        </is>
      </c>
      <c r="BD894" t="inlineStr">
        <is>
          <t>893722495</t>
        </is>
      </c>
    </row>
    <row r="895">
      <c r="A895" t="inlineStr">
        <is>
          <t>No</t>
        </is>
      </c>
      <c r="B895" t="inlineStr">
        <is>
          <t>PS3537.K533 T46 1941</t>
        </is>
      </c>
      <c r="C895" t="inlineStr">
        <is>
          <t>0                      PS 3537000K  533                T  46          1941</t>
        </is>
      </c>
      <c r="D895" t="inlineStr">
        <is>
          <t>That's me all over : all the favorite absurdities from Dithers and jitters, Soap behind the ears, and Excuse it, please! / Cornelia Otis Skinner ; along with Tiny garments and illus. by Alajálov.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K895" t="inlineStr">
        <is>
          <t>Skinner, Cornelia Otis, 1901-1979.</t>
        </is>
      </c>
      <c r="L895" t="inlineStr">
        <is>
          <t>New York : Dodd, Mead, c1941.</t>
        </is>
      </c>
      <c r="M895" t="inlineStr">
        <is>
          <t>1941</t>
        </is>
      </c>
      <c r="O895" t="inlineStr">
        <is>
          <t>eng</t>
        </is>
      </c>
      <c r="P895" t="inlineStr">
        <is>
          <t>nyu</t>
        </is>
      </c>
      <c r="Q895" t="inlineStr">
        <is>
          <t>Apollo editions ; A-39</t>
        </is>
      </c>
      <c r="R895" t="inlineStr">
        <is>
          <t xml:space="preserve">PS </t>
        </is>
      </c>
      <c r="S895" t="n">
        <v>2</v>
      </c>
      <c r="T895" t="n">
        <v>2</v>
      </c>
      <c r="U895" t="inlineStr">
        <is>
          <t>1997-09-10</t>
        </is>
      </c>
      <c r="V895" t="inlineStr">
        <is>
          <t>1997-09-10</t>
        </is>
      </c>
      <c r="W895" t="inlineStr">
        <is>
          <t>1990-11-30</t>
        </is>
      </c>
      <c r="X895" t="inlineStr">
        <is>
          <t>1990-11-30</t>
        </is>
      </c>
      <c r="Y895" t="n">
        <v>60</v>
      </c>
      <c r="Z895" t="n">
        <v>60</v>
      </c>
      <c r="AA895" t="n">
        <v>265</v>
      </c>
      <c r="AB895" t="n">
        <v>1</v>
      </c>
      <c r="AC895" t="n">
        <v>3</v>
      </c>
      <c r="AD895" t="n">
        <v>1</v>
      </c>
      <c r="AE895" t="n">
        <v>8</v>
      </c>
      <c r="AF895" t="n">
        <v>0</v>
      </c>
      <c r="AG895" t="n">
        <v>2</v>
      </c>
      <c r="AH895" t="n">
        <v>0</v>
      </c>
      <c r="AI895" t="n">
        <v>2</v>
      </c>
      <c r="AJ895" t="n">
        <v>1</v>
      </c>
      <c r="AK895" t="n">
        <v>4</v>
      </c>
      <c r="AL895" t="n">
        <v>0</v>
      </c>
      <c r="AM895" t="n">
        <v>2</v>
      </c>
      <c r="AN895" t="n">
        <v>0</v>
      </c>
      <c r="AO895" t="n">
        <v>0</v>
      </c>
      <c r="AP895" t="inlineStr">
        <is>
          <t>No</t>
        </is>
      </c>
      <c r="AQ895" t="inlineStr">
        <is>
          <t>No</t>
        </is>
      </c>
      <c r="AS895">
        <f>HYPERLINK("https://creighton-primo.hosted.exlibrisgroup.com/primo-explore/search?tab=default_tab&amp;search_scope=EVERYTHING&amp;vid=01CRU&amp;lang=en_US&amp;offset=0&amp;query=any,contains,991004796469702656","Catalog Record")</f>
        <v/>
      </c>
      <c r="AT895">
        <f>HYPERLINK("http://www.worldcat.org/oclc/5189856","WorldCat Record")</f>
        <v/>
      </c>
      <c r="AU895" t="inlineStr">
        <is>
          <t>254899882:eng</t>
        </is>
      </c>
      <c r="AV895" t="inlineStr">
        <is>
          <t>5189856</t>
        </is>
      </c>
      <c r="AW895" t="inlineStr">
        <is>
          <t>991004796469702656</t>
        </is>
      </c>
      <c r="AX895" t="inlineStr">
        <is>
          <t>991004796469702656</t>
        </is>
      </c>
      <c r="AY895" t="inlineStr">
        <is>
          <t>2260389150002656</t>
        </is>
      </c>
      <c r="AZ895" t="inlineStr">
        <is>
          <t>BOOK</t>
        </is>
      </c>
      <c r="BC895" t="inlineStr">
        <is>
          <t>32285000417716</t>
        </is>
      </c>
      <c r="BD895" t="inlineStr">
        <is>
          <t>893688158</t>
        </is>
      </c>
    </row>
    <row r="896">
      <c r="A896" t="inlineStr">
        <is>
          <t>No</t>
        </is>
      </c>
      <c r="B896" t="inlineStr">
        <is>
          <t>PS3537.L38 C6</t>
        </is>
      </c>
      <c r="C896" t="inlineStr">
        <is>
          <t>0                      PS 3537000L  38                 C  6</t>
        </is>
      </c>
      <c r="D896" t="inlineStr">
        <is>
          <t>Constantine: the miracle of the flaming cross, by Frank G. Slaughter.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Slaughter, Frank G. (Frank Gill), 1908-2001.</t>
        </is>
      </c>
      <c r="L896" t="inlineStr">
        <is>
          <t>Garden City, N.Y., Doubleday, 1965.</t>
        </is>
      </c>
      <c r="M896" t="inlineStr">
        <is>
          <t>1965</t>
        </is>
      </c>
      <c r="N896" t="inlineStr">
        <is>
          <t>[1st ed.]</t>
        </is>
      </c>
      <c r="O896" t="inlineStr">
        <is>
          <t>eng</t>
        </is>
      </c>
      <c r="P896" t="inlineStr">
        <is>
          <t>nyu</t>
        </is>
      </c>
      <c r="Q896" t="inlineStr">
        <is>
          <t>[The Pathway of faith series]</t>
        </is>
      </c>
      <c r="R896" t="inlineStr">
        <is>
          <t xml:space="preserve">PS </t>
        </is>
      </c>
      <c r="S896" t="n">
        <v>4</v>
      </c>
      <c r="T896" t="n">
        <v>4</v>
      </c>
      <c r="U896" t="inlineStr">
        <is>
          <t>2000-02-14</t>
        </is>
      </c>
      <c r="V896" t="inlineStr">
        <is>
          <t>2000-02-14</t>
        </is>
      </c>
      <c r="W896" t="inlineStr">
        <is>
          <t>1997-06-18</t>
        </is>
      </c>
      <c r="X896" t="inlineStr">
        <is>
          <t>1997-06-18</t>
        </is>
      </c>
      <c r="Y896" t="n">
        <v>840</v>
      </c>
      <c r="Z896" t="n">
        <v>816</v>
      </c>
      <c r="AA896" t="n">
        <v>846</v>
      </c>
      <c r="AB896" t="n">
        <v>7</v>
      </c>
      <c r="AC896" t="n">
        <v>8</v>
      </c>
      <c r="AD896" t="n">
        <v>10</v>
      </c>
      <c r="AE896" t="n">
        <v>10</v>
      </c>
      <c r="AF896" t="n">
        <v>3</v>
      </c>
      <c r="AG896" t="n">
        <v>3</v>
      </c>
      <c r="AH896" t="n">
        <v>2</v>
      </c>
      <c r="AI896" t="n">
        <v>2</v>
      </c>
      <c r="AJ896" t="n">
        <v>5</v>
      </c>
      <c r="AK896" t="n">
        <v>5</v>
      </c>
      <c r="AL896" t="n">
        <v>2</v>
      </c>
      <c r="AM896" t="n">
        <v>2</v>
      </c>
      <c r="AN896" t="n">
        <v>0</v>
      </c>
      <c r="AO896" t="n">
        <v>0</v>
      </c>
      <c r="AP896" t="inlineStr">
        <is>
          <t>No</t>
        </is>
      </c>
      <c r="AQ896" t="inlineStr">
        <is>
          <t>No</t>
        </is>
      </c>
      <c r="AS896">
        <f>HYPERLINK("https://creighton-primo.hosted.exlibrisgroup.com/primo-explore/search?tab=default_tab&amp;search_scope=EVERYTHING&amp;vid=01CRU&amp;lang=en_US&amp;offset=0&amp;query=any,contains,991002796039702656","Catalog Record")</f>
        <v/>
      </c>
      <c r="AT896">
        <f>HYPERLINK("http://www.worldcat.org/oclc/445269","WorldCat Record")</f>
        <v/>
      </c>
      <c r="AU896" t="inlineStr">
        <is>
          <t>163371318:eng</t>
        </is>
      </c>
      <c r="AV896" t="inlineStr">
        <is>
          <t>445269</t>
        </is>
      </c>
      <c r="AW896" t="inlineStr">
        <is>
          <t>991002796039702656</t>
        </is>
      </c>
      <c r="AX896" t="inlineStr">
        <is>
          <t>991002796039702656</t>
        </is>
      </c>
      <c r="AY896" t="inlineStr">
        <is>
          <t>2265560340002656</t>
        </is>
      </c>
      <c r="AZ896" t="inlineStr">
        <is>
          <t>BOOK</t>
        </is>
      </c>
      <c r="BC896" t="inlineStr">
        <is>
          <t>32285002818341</t>
        </is>
      </c>
      <c r="BD896" t="inlineStr">
        <is>
          <t>893329551</t>
        </is>
      </c>
    </row>
    <row r="897">
      <c r="A897" t="inlineStr">
        <is>
          <t>No</t>
        </is>
      </c>
      <c r="B897" t="inlineStr">
        <is>
          <t>PS3537.P435 Z5</t>
        </is>
      </c>
      <c r="C897" t="inlineStr">
        <is>
          <t>0                      PS 3537000P  435                Z  5</t>
        </is>
      </c>
      <c r="D897" t="inlineStr">
        <is>
          <t>Get thee behind me; my life as a preacher's son, by Hartzell Spence...illustrated by Donald McKay.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Spence, Hartzell, 1908-2001.</t>
        </is>
      </c>
      <c r="L897" t="inlineStr">
        <is>
          <t>New York, London, Whittlesey house, McGraw-Hill book company, inc. [1942]</t>
        </is>
      </c>
      <c r="M897" t="inlineStr">
        <is>
          <t>1942</t>
        </is>
      </c>
      <c r="O897" t="inlineStr">
        <is>
          <t>eng</t>
        </is>
      </c>
      <c r="P897" t="inlineStr">
        <is>
          <t>___</t>
        </is>
      </c>
      <c r="R897" t="inlineStr">
        <is>
          <t xml:space="preserve">PS </t>
        </is>
      </c>
      <c r="S897" t="n">
        <v>1</v>
      </c>
      <c r="T897" t="n">
        <v>1</v>
      </c>
      <c r="U897" t="inlineStr">
        <is>
          <t>2001-10-08</t>
        </is>
      </c>
      <c r="V897" t="inlineStr">
        <is>
          <t>2001-10-08</t>
        </is>
      </c>
      <c r="W897" t="inlineStr">
        <is>
          <t>1990-11-30</t>
        </is>
      </c>
      <c r="X897" t="inlineStr">
        <is>
          <t>1990-11-30</t>
        </is>
      </c>
      <c r="Y897" t="n">
        <v>372</v>
      </c>
      <c r="Z897" t="n">
        <v>365</v>
      </c>
      <c r="AA897" t="n">
        <v>403</v>
      </c>
      <c r="AB897" t="n">
        <v>5</v>
      </c>
      <c r="AC897" t="n">
        <v>5</v>
      </c>
      <c r="AD897" t="n">
        <v>8</v>
      </c>
      <c r="AE897" t="n">
        <v>8</v>
      </c>
      <c r="AF897" t="n">
        <v>2</v>
      </c>
      <c r="AG897" t="n">
        <v>2</v>
      </c>
      <c r="AH897" t="n">
        <v>1</v>
      </c>
      <c r="AI897" t="n">
        <v>1</v>
      </c>
      <c r="AJ897" t="n">
        <v>3</v>
      </c>
      <c r="AK897" t="n">
        <v>3</v>
      </c>
      <c r="AL897" t="n">
        <v>2</v>
      </c>
      <c r="AM897" t="n">
        <v>2</v>
      </c>
      <c r="AN897" t="n">
        <v>0</v>
      </c>
      <c r="AO897" t="n">
        <v>0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HYPERLINK("http://catalog.hathitrust.org/Record/000782196","HathiTrust Record")</f>
        <v/>
      </c>
      <c r="AS897">
        <f>HYPERLINK("https://creighton-primo.hosted.exlibrisgroup.com/primo-explore/search?tab=default_tab&amp;search_scope=EVERYTHING&amp;vid=01CRU&amp;lang=en_US&amp;offset=0&amp;query=any,contains,991003706789702656","Catalog Record")</f>
        <v/>
      </c>
      <c r="AT897">
        <f>HYPERLINK("http://www.worldcat.org/oclc/1344724","WorldCat Record")</f>
        <v/>
      </c>
      <c r="AU897" t="inlineStr">
        <is>
          <t>196631071:eng</t>
        </is>
      </c>
      <c r="AV897" t="inlineStr">
        <is>
          <t>1344724</t>
        </is>
      </c>
      <c r="AW897" t="inlineStr">
        <is>
          <t>991003706789702656</t>
        </is>
      </c>
      <c r="AX897" t="inlineStr">
        <is>
          <t>991003706789702656</t>
        </is>
      </c>
      <c r="AY897" t="inlineStr">
        <is>
          <t>2260091710002656</t>
        </is>
      </c>
      <c r="AZ897" t="inlineStr">
        <is>
          <t>BOOK</t>
        </is>
      </c>
      <c r="BC897" t="inlineStr">
        <is>
          <t>32285000417815</t>
        </is>
      </c>
      <c r="BD897" t="inlineStr">
        <is>
          <t>893416693</t>
        </is>
      </c>
    </row>
    <row r="898">
      <c r="A898" t="inlineStr">
        <is>
          <t>No</t>
        </is>
      </c>
      <c r="B898" t="inlineStr">
        <is>
          <t>PS3537.T323 Z52 1991</t>
        </is>
      </c>
      <c r="C898" t="inlineStr">
        <is>
          <t>0                      PS 3537000T  323                Z  52          1991</t>
        </is>
      </c>
      <c r="D898" t="inlineStr">
        <is>
          <t>Gertrude and Alice / Diana Souhami.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K898" t="inlineStr">
        <is>
          <t>Souhami, Diana.</t>
        </is>
      </c>
      <c r="L898" t="inlineStr">
        <is>
          <t>London : Pandora, 1991.</t>
        </is>
      </c>
      <c r="M898" t="inlineStr">
        <is>
          <t>1991</t>
        </is>
      </c>
      <c r="O898" t="inlineStr">
        <is>
          <t>eng</t>
        </is>
      </c>
      <c r="P898" t="inlineStr">
        <is>
          <t>enk</t>
        </is>
      </c>
      <c r="R898" t="inlineStr">
        <is>
          <t xml:space="preserve">PS </t>
        </is>
      </c>
      <c r="S898" t="n">
        <v>1</v>
      </c>
      <c r="T898" t="n">
        <v>1</v>
      </c>
      <c r="U898" t="inlineStr">
        <is>
          <t>1992-04-08</t>
        </is>
      </c>
      <c r="V898" t="inlineStr">
        <is>
          <t>1992-04-08</t>
        </is>
      </c>
      <c r="W898" t="inlineStr">
        <is>
          <t>1992-03-06</t>
        </is>
      </c>
      <c r="X898" t="inlineStr">
        <is>
          <t>1992-03-06</t>
        </is>
      </c>
      <c r="Y898" t="n">
        <v>778</v>
      </c>
      <c r="Z898" t="n">
        <v>644</v>
      </c>
      <c r="AA898" t="n">
        <v>919</v>
      </c>
      <c r="AB898" t="n">
        <v>7</v>
      </c>
      <c r="AC898" t="n">
        <v>9</v>
      </c>
      <c r="AD898" t="n">
        <v>20</v>
      </c>
      <c r="AE898" t="n">
        <v>30</v>
      </c>
      <c r="AF898" t="n">
        <v>4</v>
      </c>
      <c r="AG898" t="n">
        <v>9</v>
      </c>
      <c r="AH898" t="n">
        <v>7</v>
      </c>
      <c r="AI898" t="n">
        <v>8</v>
      </c>
      <c r="AJ898" t="n">
        <v>9</v>
      </c>
      <c r="AK898" t="n">
        <v>14</v>
      </c>
      <c r="AL898" t="n">
        <v>5</v>
      </c>
      <c r="AM898" t="n">
        <v>6</v>
      </c>
      <c r="AN898" t="n">
        <v>0</v>
      </c>
      <c r="AO898" t="n">
        <v>0</v>
      </c>
      <c r="AP898" t="inlineStr">
        <is>
          <t>No</t>
        </is>
      </c>
      <c r="AQ898" t="inlineStr">
        <is>
          <t>Yes</t>
        </is>
      </c>
      <c r="AR898">
        <f>HYPERLINK("http://catalog.hathitrust.org/Record/002543793","HathiTrust Record")</f>
        <v/>
      </c>
      <c r="AS898">
        <f>HYPERLINK("https://creighton-primo.hosted.exlibrisgroup.com/primo-explore/search?tab=default_tab&amp;search_scope=EVERYTHING&amp;vid=01CRU&amp;lang=en_US&amp;offset=0&amp;query=any,contains,991001812189702656","Catalog Record")</f>
        <v/>
      </c>
      <c r="AT898">
        <f>HYPERLINK("http://www.worldcat.org/oclc/26722060","WorldCat Record")</f>
        <v/>
      </c>
      <c r="AU898" t="inlineStr">
        <is>
          <t>26597906:eng</t>
        </is>
      </c>
      <c r="AV898" t="inlineStr">
        <is>
          <t>26722060</t>
        </is>
      </c>
      <c r="AW898" t="inlineStr">
        <is>
          <t>991001812189702656</t>
        </is>
      </c>
      <c r="AX898" t="inlineStr">
        <is>
          <t>991001812189702656</t>
        </is>
      </c>
      <c r="AY898" t="inlineStr">
        <is>
          <t>2259885210002656</t>
        </is>
      </c>
      <c r="AZ898" t="inlineStr">
        <is>
          <t>BOOK</t>
        </is>
      </c>
      <c r="BB898" t="inlineStr">
        <is>
          <t>9780044408338</t>
        </is>
      </c>
      <c r="BC898" t="inlineStr">
        <is>
          <t>32285000938257</t>
        </is>
      </c>
      <c r="BD898" t="inlineStr">
        <is>
          <t>893609169</t>
        </is>
      </c>
    </row>
    <row r="899">
      <c r="A899" t="inlineStr">
        <is>
          <t>No</t>
        </is>
      </c>
      <c r="B899" t="inlineStr">
        <is>
          <t>PS3537.T323 Z584</t>
        </is>
      </c>
      <c r="C899" t="inlineStr">
        <is>
          <t>0                      PS 3537000T  323                Z  584</t>
        </is>
      </c>
      <c r="D899" t="inlineStr">
        <is>
          <t>Language &amp; time &amp; Gertrude Stein / Carolyn Faunce Copeland.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Copeland, Carolyn Faunce, 1930-</t>
        </is>
      </c>
      <c r="L899" t="inlineStr">
        <is>
          <t>Iowa City : University of Iowa Press, c1975.</t>
        </is>
      </c>
      <c r="M899" t="inlineStr">
        <is>
          <t>1975</t>
        </is>
      </c>
      <c r="O899" t="inlineStr">
        <is>
          <t>eng</t>
        </is>
      </c>
      <c r="P899" t="inlineStr">
        <is>
          <t>iau</t>
        </is>
      </c>
      <c r="R899" t="inlineStr">
        <is>
          <t xml:space="preserve">PS </t>
        </is>
      </c>
      <c r="S899" t="n">
        <v>2</v>
      </c>
      <c r="T899" t="n">
        <v>2</v>
      </c>
      <c r="U899" t="inlineStr">
        <is>
          <t>1993-02-22</t>
        </is>
      </c>
      <c r="V899" t="inlineStr">
        <is>
          <t>1993-02-22</t>
        </is>
      </c>
      <c r="W899" t="inlineStr">
        <is>
          <t>1990-12-04</t>
        </is>
      </c>
      <c r="X899" t="inlineStr">
        <is>
          <t>1990-12-04</t>
        </is>
      </c>
      <c r="Y899" t="n">
        <v>438</v>
      </c>
      <c r="Z899" t="n">
        <v>357</v>
      </c>
      <c r="AA899" t="n">
        <v>366</v>
      </c>
      <c r="AB899" t="n">
        <v>6</v>
      </c>
      <c r="AC899" t="n">
        <v>6</v>
      </c>
      <c r="AD899" t="n">
        <v>23</v>
      </c>
      <c r="AE899" t="n">
        <v>23</v>
      </c>
      <c r="AF899" t="n">
        <v>7</v>
      </c>
      <c r="AG899" t="n">
        <v>7</v>
      </c>
      <c r="AH899" t="n">
        <v>6</v>
      </c>
      <c r="AI899" t="n">
        <v>6</v>
      </c>
      <c r="AJ899" t="n">
        <v>12</v>
      </c>
      <c r="AK899" t="n">
        <v>12</v>
      </c>
      <c r="AL899" t="n">
        <v>5</v>
      </c>
      <c r="AM899" t="n">
        <v>5</v>
      </c>
      <c r="AN899" t="n">
        <v>0</v>
      </c>
      <c r="AO899" t="n">
        <v>0</v>
      </c>
      <c r="AP899" t="inlineStr">
        <is>
          <t>No</t>
        </is>
      </c>
      <c r="AQ899" t="inlineStr">
        <is>
          <t>No</t>
        </is>
      </c>
      <c r="AS899">
        <f>HYPERLINK("https://creighton-primo.hosted.exlibrisgroup.com/primo-explore/search?tab=default_tab&amp;search_scope=EVERYTHING&amp;vid=01CRU&amp;lang=en_US&amp;offset=0&amp;query=any,contains,991003784939702656","Catalog Record")</f>
        <v/>
      </c>
      <c r="AT899">
        <f>HYPERLINK("http://www.worldcat.org/oclc/1500288","WorldCat Record")</f>
        <v/>
      </c>
      <c r="AU899" t="inlineStr">
        <is>
          <t>37236354:eng</t>
        </is>
      </c>
      <c r="AV899" t="inlineStr">
        <is>
          <t>1500288</t>
        </is>
      </c>
      <c r="AW899" t="inlineStr">
        <is>
          <t>991003784939702656</t>
        </is>
      </c>
      <c r="AX899" t="inlineStr">
        <is>
          <t>991003784939702656</t>
        </is>
      </c>
      <c r="AY899" t="inlineStr">
        <is>
          <t>2260428720002656</t>
        </is>
      </c>
      <c r="AZ899" t="inlineStr">
        <is>
          <t>BOOK</t>
        </is>
      </c>
      <c r="BB899" t="inlineStr">
        <is>
          <t>9780877450597</t>
        </is>
      </c>
      <c r="BC899" t="inlineStr">
        <is>
          <t>32285000417930</t>
        </is>
      </c>
      <c r="BD899" t="inlineStr">
        <is>
          <t>893787773</t>
        </is>
      </c>
    </row>
    <row r="900">
      <c r="A900" t="inlineStr">
        <is>
          <t>No</t>
        </is>
      </c>
      <c r="B900" t="inlineStr">
        <is>
          <t>PS3537.T323 Z65 1961</t>
        </is>
      </c>
      <c r="C900" t="inlineStr">
        <is>
          <t>0                      PS 3537000T  323                Z  65          1961</t>
        </is>
      </c>
      <c r="D900" t="inlineStr">
        <is>
          <t>Gertrude Stein.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K900" t="inlineStr">
        <is>
          <t>Hoffman, Frederick J.</t>
        </is>
      </c>
      <c r="L900" t="inlineStr">
        <is>
          <t>Minneapolis : University of Minnesota Press, [1961]</t>
        </is>
      </c>
      <c r="M900" t="inlineStr">
        <is>
          <t>1961</t>
        </is>
      </c>
      <c r="O900" t="inlineStr">
        <is>
          <t>eng</t>
        </is>
      </c>
      <c r="P900" t="inlineStr">
        <is>
          <t>mnu</t>
        </is>
      </c>
      <c r="Q900" t="inlineStr">
        <is>
          <t>University of Minnesota pamphlets on American writers ; no. 10</t>
        </is>
      </c>
      <c r="R900" t="inlineStr">
        <is>
          <t xml:space="preserve">PS </t>
        </is>
      </c>
      <c r="S900" t="n">
        <v>2</v>
      </c>
      <c r="T900" t="n">
        <v>2</v>
      </c>
      <c r="U900" t="inlineStr">
        <is>
          <t>1998-10-09</t>
        </is>
      </c>
      <c r="V900" t="inlineStr">
        <is>
          <t>1998-10-09</t>
        </is>
      </c>
      <c r="W900" t="inlineStr">
        <is>
          <t>1993-03-15</t>
        </is>
      </c>
      <c r="X900" t="inlineStr">
        <is>
          <t>1993-03-15</t>
        </is>
      </c>
      <c r="Y900" t="n">
        <v>1384</v>
      </c>
      <c r="Z900" t="n">
        <v>1210</v>
      </c>
      <c r="AA900" t="n">
        <v>1510</v>
      </c>
      <c r="AB900" t="n">
        <v>9</v>
      </c>
      <c r="AC900" t="n">
        <v>13</v>
      </c>
      <c r="AD900" t="n">
        <v>43</v>
      </c>
      <c r="AE900" t="n">
        <v>54</v>
      </c>
      <c r="AF900" t="n">
        <v>16</v>
      </c>
      <c r="AG900" t="n">
        <v>21</v>
      </c>
      <c r="AH900" t="n">
        <v>9</v>
      </c>
      <c r="AI900" t="n">
        <v>10</v>
      </c>
      <c r="AJ900" t="n">
        <v>22</v>
      </c>
      <c r="AK900" t="n">
        <v>23</v>
      </c>
      <c r="AL900" t="n">
        <v>7</v>
      </c>
      <c r="AM900" t="n">
        <v>11</v>
      </c>
      <c r="AN900" t="n">
        <v>0</v>
      </c>
      <c r="AO900" t="n">
        <v>1</v>
      </c>
      <c r="AP900" t="inlineStr">
        <is>
          <t>No</t>
        </is>
      </c>
      <c r="AQ900" t="inlineStr">
        <is>
          <t>No</t>
        </is>
      </c>
      <c r="AS900">
        <f>HYPERLINK("https://creighton-primo.hosted.exlibrisgroup.com/primo-explore/search?tab=default_tab&amp;search_scope=EVERYTHING&amp;vid=01CRU&amp;lang=en_US&amp;offset=0&amp;query=any,contains,991002229939702656","Catalog Record")</f>
        <v/>
      </c>
      <c r="AT900">
        <f>HYPERLINK("http://www.worldcat.org/oclc/293593","WorldCat Record")</f>
        <v/>
      </c>
      <c r="AU900" t="inlineStr">
        <is>
          <t>1484888:eng</t>
        </is>
      </c>
      <c r="AV900" t="inlineStr">
        <is>
          <t>293593</t>
        </is>
      </c>
      <c r="AW900" t="inlineStr">
        <is>
          <t>991002229939702656</t>
        </is>
      </c>
      <c r="AX900" t="inlineStr">
        <is>
          <t>991002229939702656</t>
        </is>
      </c>
      <c r="AY900" t="inlineStr">
        <is>
          <t>2266605300002656</t>
        </is>
      </c>
      <c r="AZ900" t="inlineStr">
        <is>
          <t>BOOK</t>
        </is>
      </c>
      <c r="BC900" t="inlineStr">
        <is>
          <t>32285001570463</t>
        </is>
      </c>
      <c r="BD900" t="inlineStr">
        <is>
          <t>893421079</t>
        </is>
      </c>
    </row>
    <row r="901">
      <c r="A901" t="inlineStr">
        <is>
          <t>No</t>
        </is>
      </c>
      <c r="B901" t="inlineStr">
        <is>
          <t>PS3537.T323 Z66 1994</t>
        </is>
      </c>
      <c r="C901" t="inlineStr">
        <is>
          <t>0                      PS 3537000T  323                Z  66          1994</t>
        </is>
      </c>
      <c r="D901" t="inlineStr">
        <is>
          <t>Gertrude Stein : in words and pictures : a photobiography / edited by Renate Stendhal.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Gertrude Stein. English.</t>
        </is>
      </c>
      <c r="L901" t="inlineStr">
        <is>
          <t>Chapel Hill, NC : Algonquin Books of Chapel Hill, 1994.</t>
        </is>
      </c>
      <c r="M901" t="inlineStr">
        <is>
          <t>1994</t>
        </is>
      </c>
      <c r="N901" t="inlineStr">
        <is>
          <t>1st ed.</t>
        </is>
      </c>
      <c r="O901" t="inlineStr">
        <is>
          <t>eng</t>
        </is>
      </c>
      <c r="P901" t="inlineStr">
        <is>
          <t>ncu</t>
        </is>
      </c>
      <c r="R901" t="inlineStr">
        <is>
          <t xml:space="preserve">PS </t>
        </is>
      </c>
      <c r="S901" t="n">
        <v>2</v>
      </c>
      <c r="T901" t="n">
        <v>2</v>
      </c>
      <c r="U901" t="inlineStr">
        <is>
          <t>1998-10-05</t>
        </is>
      </c>
      <c r="V901" t="inlineStr">
        <is>
          <t>1998-10-05</t>
        </is>
      </c>
      <c r="W901" t="inlineStr">
        <is>
          <t>1995-03-22</t>
        </is>
      </c>
      <c r="X901" t="inlineStr">
        <is>
          <t>1995-03-22</t>
        </is>
      </c>
      <c r="Y901" t="n">
        <v>664</v>
      </c>
      <c r="Z901" t="n">
        <v>621</v>
      </c>
      <c r="AA901" t="n">
        <v>639</v>
      </c>
      <c r="AB901" t="n">
        <v>5</v>
      </c>
      <c r="AC901" t="n">
        <v>5</v>
      </c>
      <c r="AD901" t="n">
        <v>26</v>
      </c>
      <c r="AE901" t="n">
        <v>26</v>
      </c>
      <c r="AF901" t="n">
        <v>9</v>
      </c>
      <c r="AG901" t="n">
        <v>9</v>
      </c>
      <c r="AH901" t="n">
        <v>6</v>
      </c>
      <c r="AI901" t="n">
        <v>6</v>
      </c>
      <c r="AJ901" t="n">
        <v>15</v>
      </c>
      <c r="AK901" t="n">
        <v>15</v>
      </c>
      <c r="AL901" t="n">
        <v>4</v>
      </c>
      <c r="AM901" t="n">
        <v>4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HYPERLINK("https://creighton-primo.hosted.exlibrisgroup.com/primo-explore/search?tab=default_tab&amp;search_scope=EVERYTHING&amp;vid=01CRU&amp;lang=en_US&amp;offset=0&amp;query=any,contains,991002377139702656","Catalog Record")</f>
        <v/>
      </c>
      <c r="AT901">
        <f>HYPERLINK("http://www.worldcat.org/oclc/30895834","WorldCat Record")</f>
        <v/>
      </c>
      <c r="AU901" t="inlineStr">
        <is>
          <t>889921421:eng</t>
        </is>
      </c>
      <c r="AV901" t="inlineStr">
        <is>
          <t>30895834</t>
        </is>
      </c>
      <c r="AW901" t="inlineStr">
        <is>
          <t>991002377139702656</t>
        </is>
      </c>
      <c r="AX901" t="inlineStr">
        <is>
          <t>991002377139702656</t>
        </is>
      </c>
      <c r="AY901" t="inlineStr">
        <is>
          <t>2271021830002656</t>
        </is>
      </c>
      <c r="AZ901" t="inlineStr">
        <is>
          <t>BOOK</t>
        </is>
      </c>
      <c r="BB901" t="inlineStr">
        <is>
          <t>9780945575993</t>
        </is>
      </c>
      <c r="BC901" t="inlineStr">
        <is>
          <t>32285002004256</t>
        </is>
      </c>
      <c r="BD901" t="inlineStr">
        <is>
          <t>893510659</t>
        </is>
      </c>
    </row>
    <row r="902">
      <c r="A902" t="inlineStr">
        <is>
          <t>No</t>
        </is>
      </c>
      <c r="B902" t="inlineStr">
        <is>
          <t>PS3537.T323 Z81 1971</t>
        </is>
      </c>
      <c r="C902" t="inlineStr">
        <is>
          <t>0                      PS 3537000T  323                Z  81          1971</t>
        </is>
      </c>
      <c r="D902" t="inlineStr">
        <is>
          <t>A primer for the gradual understanding of Gertrude Stein / edited by Robert Bartlett Haas.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Stein, Gertrude, 1874-1946.</t>
        </is>
      </c>
      <c r="L902" t="inlineStr">
        <is>
          <t>Los Angeles : Black Sparrow Press, 1971.</t>
        </is>
      </c>
      <c r="M902" t="inlineStr">
        <is>
          <t>1971</t>
        </is>
      </c>
      <c r="O902" t="inlineStr">
        <is>
          <t>eng</t>
        </is>
      </c>
      <c r="P902" t="inlineStr">
        <is>
          <t>cau</t>
        </is>
      </c>
      <c r="R902" t="inlineStr">
        <is>
          <t xml:space="preserve">PS </t>
        </is>
      </c>
      <c r="S902" t="n">
        <v>1</v>
      </c>
      <c r="T902" t="n">
        <v>1</v>
      </c>
      <c r="U902" t="inlineStr">
        <is>
          <t>2002-05-05</t>
        </is>
      </c>
      <c r="V902" t="inlineStr">
        <is>
          <t>2002-05-05</t>
        </is>
      </c>
      <c r="W902" t="inlineStr">
        <is>
          <t>1993-03-18</t>
        </is>
      </c>
      <c r="X902" t="inlineStr">
        <is>
          <t>1993-03-18</t>
        </is>
      </c>
      <c r="Y902" t="n">
        <v>915</v>
      </c>
      <c r="Z902" t="n">
        <v>824</v>
      </c>
      <c r="AA902" t="n">
        <v>855</v>
      </c>
      <c r="AB902" t="n">
        <v>5</v>
      </c>
      <c r="AC902" t="n">
        <v>6</v>
      </c>
      <c r="AD902" t="n">
        <v>26</v>
      </c>
      <c r="AE902" t="n">
        <v>28</v>
      </c>
      <c r="AF902" t="n">
        <v>7</v>
      </c>
      <c r="AG902" t="n">
        <v>7</v>
      </c>
      <c r="AH902" t="n">
        <v>7</v>
      </c>
      <c r="AI902" t="n">
        <v>7</v>
      </c>
      <c r="AJ902" t="n">
        <v>11</v>
      </c>
      <c r="AK902" t="n">
        <v>12</v>
      </c>
      <c r="AL902" t="n">
        <v>4</v>
      </c>
      <c r="AM902" t="n">
        <v>5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HYPERLINK("http://catalog.hathitrust.org/Record/001021166","HathiTrust Record")</f>
        <v/>
      </c>
      <c r="AS902">
        <f>HYPERLINK("https://creighton-primo.hosted.exlibrisgroup.com/primo-explore/search?tab=default_tab&amp;search_scope=EVERYTHING&amp;vid=01CRU&amp;lang=en_US&amp;offset=0&amp;query=any,contains,991001950219702656","Catalog Record")</f>
        <v/>
      </c>
      <c r="AT902">
        <f>HYPERLINK("http://www.worldcat.org/oclc/251777","WorldCat Record")</f>
        <v/>
      </c>
      <c r="AU902" t="inlineStr">
        <is>
          <t>1341049:eng</t>
        </is>
      </c>
      <c r="AV902" t="inlineStr">
        <is>
          <t>251777</t>
        </is>
      </c>
      <c r="AW902" t="inlineStr">
        <is>
          <t>991001950219702656</t>
        </is>
      </c>
      <c r="AX902" t="inlineStr">
        <is>
          <t>991001950219702656</t>
        </is>
      </c>
      <c r="AY902" t="inlineStr">
        <is>
          <t>2268671780002656</t>
        </is>
      </c>
      <c r="AZ902" t="inlineStr">
        <is>
          <t>BOOK</t>
        </is>
      </c>
      <c r="BB902" t="inlineStr">
        <is>
          <t>9780876851364</t>
        </is>
      </c>
      <c r="BC902" t="inlineStr">
        <is>
          <t>32285001575132</t>
        </is>
      </c>
      <c r="BD902" t="inlineStr">
        <is>
          <t>893340863</t>
        </is>
      </c>
    </row>
    <row r="903">
      <c r="A903" t="inlineStr">
        <is>
          <t>No</t>
        </is>
      </c>
      <c r="B903" t="inlineStr">
        <is>
          <t>PS3537.T323 Z8213 1990</t>
        </is>
      </c>
      <c r="C903" t="inlineStr">
        <is>
          <t>0                      PS 3537000T  323                Z  8213        1990</t>
        </is>
      </c>
      <c r="D903" t="inlineStr">
        <is>
          <t>Reading Gertrude Stein : body, text, gnosis / Lisa Ruddick.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Ruddick, Lisa Cole, 1954-</t>
        </is>
      </c>
      <c r="L903" t="inlineStr">
        <is>
          <t>Ithaca : Cornell University Press, 1990.</t>
        </is>
      </c>
      <c r="M903" t="inlineStr">
        <is>
          <t>1990</t>
        </is>
      </c>
      <c r="O903" t="inlineStr">
        <is>
          <t>eng</t>
        </is>
      </c>
      <c r="P903" t="inlineStr">
        <is>
          <t>nyu</t>
        </is>
      </c>
      <c r="Q903" t="inlineStr">
        <is>
          <t>Reading women writing</t>
        </is>
      </c>
      <c r="R903" t="inlineStr">
        <is>
          <t xml:space="preserve">PS </t>
        </is>
      </c>
      <c r="S903" t="n">
        <v>3</v>
      </c>
      <c r="T903" t="n">
        <v>3</v>
      </c>
      <c r="U903" t="inlineStr">
        <is>
          <t>1993-02-22</t>
        </is>
      </c>
      <c r="V903" t="inlineStr">
        <is>
          <t>1993-02-22</t>
        </is>
      </c>
      <c r="W903" t="inlineStr">
        <is>
          <t>1991-01-22</t>
        </is>
      </c>
      <c r="X903" t="inlineStr">
        <is>
          <t>1991-01-22</t>
        </is>
      </c>
      <c r="Y903" t="n">
        <v>596</v>
      </c>
      <c r="Z903" t="n">
        <v>468</v>
      </c>
      <c r="AA903" t="n">
        <v>625</v>
      </c>
      <c r="AB903" t="n">
        <v>3</v>
      </c>
      <c r="AC903" t="n">
        <v>3</v>
      </c>
      <c r="AD903" t="n">
        <v>26</v>
      </c>
      <c r="AE903" t="n">
        <v>31</v>
      </c>
      <c r="AF903" t="n">
        <v>7</v>
      </c>
      <c r="AG903" t="n">
        <v>12</v>
      </c>
      <c r="AH903" t="n">
        <v>9</v>
      </c>
      <c r="AI903" t="n">
        <v>10</v>
      </c>
      <c r="AJ903" t="n">
        <v>16</v>
      </c>
      <c r="AK903" t="n">
        <v>16</v>
      </c>
      <c r="AL903" t="n">
        <v>2</v>
      </c>
      <c r="AM903" t="n">
        <v>2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HYPERLINK("http://catalog.hathitrust.org/Record/002167651","HathiTrust Record")</f>
        <v/>
      </c>
      <c r="AS903">
        <f>HYPERLINK("https://creighton-primo.hosted.exlibrisgroup.com/primo-explore/search?tab=default_tab&amp;search_scope=EVERYTHING&amp;vid=01CRU&amp;lang=en_US&amp;offset=0&amp;query=any,contains,991001588529702656","Catalog Record")</f>
        <v/>
      </c>
      <c r="AT903">
        <f>HYPERLINK("http://www.worldcat.org/oclc/20561623","WorldCat Record")</f>
        <v/>
      </c>
      <c r="AU903" t="inlineStr">
        <is>
          <t>22158242:eng</t>
        </is>
      </c>
      <c r="AV903" t="inlineStr">
        <is>
          <t>20561623</t>
        </is>
      </c>
      <c r="AW903" t="inlineStr">
        <is>
          <t>991001588529702656</t>
        </is>
      </c>
      <c r="AX903" t="inlineStr">
        <is>
          <t>991001588529702656</t>
        </is>
      </c>
      <c r="AY903" t="inlineStr">
        <is>
          <t>2258719920002656</t>
        </is>
      </c>
      <c r="AZ903" t="inlineStr">
        <is>
          <t>BOOK</t>
        </is>
      </c>
      <c r="BB903" t="inlineStr">
        <is>
          <t>9780801423642</t>
        </is>
      </c>
      <c r="BC903" t="inlineStr">
        <is>
          <t>32285000409697</t>
        </is>
      </c>
      <c r="BD903" t="inlineStr">
        <is>
          <t>893432938</t>
        </is>
      </c>
    </row>
    <row r="904">
      <c r="A904" t="inlineStr">
        <is>
          <t>No</t>
        </is>
      </c>
      <c r="B904" t="inlineStr">
        <is>
          <t>PS3537.T323 Z8235 1994</t>
        </is>
      </c>
      <c r="C904" t="inlineStr">
        <is>
          <t>0                      PS 3537000T  323                Z  8235        1994</t>
        </is>
      </c>
      <c r="D904" t="inlineStr">
        <is>
          <t>Gertrude Stein remembered / Linda Simon.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K904" t="inlineStr">
        <is>
          <t>Simon, Linda, 1946-</t>
        </is>
      </c>
      <c r="L904" t="inlineStr">
        <is>
          <t>Lincoln : University of Nebraska Press, c1994.</t>
        </is>
      </c>
      <c r="M904" t="inlineStr">
        <is>
          <t>1994</t>
        </is>
      </c>
      <c r="O904" t="inlineStr">
        <is>
          <t>eng</t>
        </is>
      </c>
      <c r="P904" t="inlineStr">
        <is>
          <t>nbu</t>
        </is>
      </c>
      <c r="R904" t="inlineStr">
        <is>
          <t xml:space="preserve">PS </t>
        </is>
      </c>
      <c r="S904" t="n">
        <v>2</v>
      </c>
      <c r="T904" t="n">
        <v>2</v>
      </c>
      <c r="U904" t="inlineStr">
        <is>
          <t>1998-10-09</t>
        </is>
      </c>
      <c r="V904" t="inlineStr">
        <is>
          <t>1998-10-09</t>
        </is>
      </c>
      <c r="W904" t="inlineStr">
        <is>
          <t>1995-04-30</t>
        </is>
      </c>
      <c r="X904" t="inlineStr">
        <is>
          <t>1995-04-30</t>
        </is>
      </c>
      <c r="Y904" t="n">
        <v>500</v>
      </c>
      <c r="Z904" t="n">
        <v>415</v>
      </c>
      <c r="AA904" t="n">
        <v>415</v>
      </c>
      <c r="AB904" t="n">
        <v>7</v>
      </c>
      <c r="AC904" t="n">
        <v>7</v>
      </c>
      <c r="AD904" t="n">
        <v>22</v>
      </c>
      <c r="AE904" t="n">
        <v>22</v>
      </c>
      <c r="AF904" t="n">
        <v>7</v>
      </c>
      <c r="AG904" t="n">
        <v>7</v>
      </c>
      <c r="AH904" t="n">
        <v>7</v>
      </c>
      <c r="AI904" t="n">
        <v>7</v>
      </c>
      <c r="AJ904" t="n">
        <v>13</v>
      </c>
      <c r="AK904" t="n">
        <v>13</v>
      </c>
      <c r="AL904" t="n">
        <v>3</v>
      </c>
      <c r="AM904" t="n">
        <v>3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HYPERLINK("https://creighton-primo.hosted.exlibrisgroup.com/primo-explore/search?tab=default_tab&amp;search_scope=EVERYTHING&amp;vid=01CRU&amp;lang=en_US&amp;offset=0&amp;query=any,contains,991002305759702656","Catalog Record")</f>
        <v/>
      </c>
      <c r="AT904">
        <f>HYPERLINK("http://www.worldcat.org/oclc/29909220","WorldCat Record")</f>
        <v/>
      </c>
      <c r="AU904" t="inlineStr">
        <is>
          <t>6227824:eng</t>
        </is>
      </c>
      <c r="AV904" t="inlineStr">
        <is>
          <t>29909220</t>
        </is>
      </c>
      <c r="AW904" t="inlineStr">
        <is>
          <t>991002305759702656</t>
        </is>
      </c>
      <c r="AX904" t="inlineStr">
        <is>
          <t>991002305759702656</t>
        </is>
      </c>
      <c r="AY904" t="inlineStr">
        <is>
          <t>2259864450002656</t>
        </is>
      </c>
      <c r="AZ904" t="inlineStr">
        <is>
          <t>BOOK</t>
        </is>
      </c>
      <c r="BB904" t="inlineStr">
        <is>
          <t>9780803242401</t>
        </is>
      </c>
      <c r="BC904" t="inlineStr">
        <is>
          <t>32285002036571</t>
        </is>
      </c>
      <c r="BD904" t="inlineStr">
        <is>
          <t>893898604</t>
        </is>
      </c>
    </row>
    <row r="905">
      <c r="A905" t="inlineStr">
        <is>
          <t>No</t>
        </is>
      </c>
      <c r="B905" t="inlineStr">
        <is>
          <t>PS3537.T3234 H29 1987</t>
        </is>
      </c>
      <c r="C905" t="inlineStr">
        <is>
          <t>0                      PS 3537000T  3234               H  29          1987</t>
        </is>
      </c>
      <c r="D905" t="inlineStr">
        <is>
          <t>Steinbeck bibliographies : an annotated guide / by Robert B. Harmon.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K905" t="inlineStr">
        <is>
          <t>Harmon, Robert B. (Robert Bartlett), 1932-</t>
        </is>
      </c>
      <c r="L905" t="inlineStr">
        <is>
          <t>Metuchen, N.J. : Scarecrow Press, 1987.</t>
        </is>
      </c>
      <c r="M905" t="inlineStr">
        <is>
          <t>1987</t>
        </is>
      </c>
      <c r="O905" t="inlineStr">
        <is>
          <t>eng</t>
        </is>
      </c>
      <c r="P905" t="inlineStr">
        <is>
          <t>nju</t>
        </is>
      </c>
      <c r="R905" t="inlineStr">
        <is>
          <t xml:space="preserve">PS </t>
        </is>
      </c>
      <c r="S905" t="n">
        <v>3</v>
      </c>
      <c r="T905" t="n">
        <v>3</v>
      </c>
      <c r="U905" t="inlineStr">
        <is>
          <t>2001-03-07</t>
        </is>
      </c>
      <c r="V905" t="inlineStr">
        <is>
          <t>2001-03-07</t>
        </is>
      </c>
      <c r="W905" t="inlineStr">
        <is>
          <t>1991-01-10</t>
        </is>
      </c>
      <c r="X905" t="inlineStr">
        <is>
          <t>1991-01-10</t>
        </is>
      </c>
      <c r="Y905" t="n">
        <v>237</v>
      </c>
      <c r="Z905" t="n">
        <v>195</v>
      </c>
      <c r="AA905" t="n">
        <v>196</v>
      </c>
      <c r="AB905" t="n">
        <v>3</v>
      </c>
      <c r="AC905" t="n">
        <v>3</v>
      </c>
      <c r="AD905" t="n">
        <v>10</v>
      </c>
      <c r="AE905" t="n">
        <v>10</v>
      </c>
      <c r="AF905" t="n">
        <v>3</v>
      </c>
      <c r="AG905" t="n">
        <v>3</v>
      </c>
      <c r="AH905" t="n">
        <v>3</v>
      </c>
      <c r="AI905" t="n">
        <v>3</v>
      </c>
      <c r="AJ905" t="n">
        <v>6</v>
      </c>
      <c r="AK905" t="n">
        <v>6</v>
      </c>
      <c r="AL905" t="n">
        <v>2</v>
      </c>
      <c r="AM905" t="n">
        <v>2</v>
      </c>
      <c r="AN905" t="n">
        <v>0</v>
      </c>
      <c r="AO905" t="n">
        <v>0</v>
      </c>
      <c r="AP905" t="inlineStr">
        <is>
          <t>No</t>
        </is>
      </c>
      <c r="AQ905" t="inlineStr">
        <is>
          <t>Yes</t>
        </is>
      </c>
      <c r="AR905">
        <f>HYPERLINK("http://catalog.hathitrust.org/Record/000817676","HathiTrust Record")</f>
        <v/>
      </c>
      <c r="AS905">
        <f>HYPERLINK("https://creighton-primo.hosted.exlibrisgroup.com/primo-explore/search?tab=default_tab&amp;search_scope=EVERYTHING&amp;vid=01CRU&amp;lang=en_US&amp;offset=0&amp;query=any,contains,991000984019702656","Catalog Record")</f>
        <v/>
      </c>
      <c r="AT905">
        <f>HYPERLINK("http://www.worldcat.org/oclc/15054980","WorldCat Record")</f>
        <v/>
      </c>
      <c r="AU905" t="inlineStr">
        <is>
          <t>836701329:eng</t>
        </is>
      </c>
      <c r="AV905" t="inlineStr">
        <is>
          <t>15054980</t>
        </is>
      </c>
      <c r="AW905" t="inlineStr">
        <is>
          <t>991000984019702656</t>
        </is>
      </c>
      <c r="AX905" t="inlineStr">
        <is>
          <t>991000984019702656</t>
        </is>
      </c>
      <c r="AY905" t="inlineStr">
        <is>
          <t>2255924790002656</t>
        </is>
      </c>
      <c r="AZ905" t="inlineStr">
        <is>
          <t>BOOK</t>
        </is>
      </c>
      <c r="BB905" t="inlineStr">
        <is>
          <t>9780810819634</t>
        </is>
      </c>
      <c r="BC905" t="inlineStr">
        <is>
          <t>32285000475136</t>
        </is>
      </c>
      <c r="BD905" t="inlineStr">
        <is>
          <t>893878522</t>
        </is>
      </c>
    </row>
    <row r="906">
      <c r="A906" t="inlineStr">
        <is>
          <t>No</t>
        </is>
      </c>
      <c r="B906" t="inlineStr">
        <is>
          <t>PS3537.T3234 H37 1990</t>
        </is>
      </c>
      <c r="C906" t="inlineStr">
        <is>
          <t>0                      PS 3537000T  3234               H  37          1990</t>
        </is>
      </c>
      <c r="D906" t="inlineStr">
        <is>
          <t>The grapes of wrath : a fifty year bibliographic survey / compiled by Robert B. Harmon ; with the assistance of John F. Early ; introduction by Susan Shillinglaw.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K906" t="inlineStr">
        <is>
          <t>Harmon, Robert B. (Robert Bartlett), 1932-</t>
        </is>
      </c>
      <c r="L906" t="inlineStr">
        <is>
          <t>San Jose, Calif. : Steinbeck Research Center, San Jose State University, c1990.</t>
        </is>
      </c>
      <c r="M906" t="inlineStr">
        <is>
          <t>1990</t>
        </is>
      </c>
      <c r="O906" t="inlineStr">
        <is>
          <t>eng</t>
        </is>
      </c>
      <c r="P906" t="inlineStr">
        <is>
          <t>cau</t>
        </is>
      </c>
      <c r="R906" t="inlineStr">
        <is>
          <t xml:space="preserve">PS </t>
        </is>
      </c>
      <c r="S906" t="n">
        <v>6</v>
      </c>
      <c r="T906" t="n">
        <v>6</v>
      </c>
      <c r="U906" t="inlineStr">
        <is>
          <t>1995-09-17</t>
        </is>
      </c>
      <c r="V906" t="inlineStr">
        <is>
          <t>1995-09-17</t>
        </is>
      </c>
      <c r="W906" t="inlineStr">
        <is>
          <t>1991-02-22</t>
        </is>
      </c>
      <c r="X906" t="inlineStr">
        <is>
          <t>1991-02-22</t>
        </is>
      </c>
      <c r="Y906" t="n">
        <v>181</v>
      </c>
      <c r="Z906" t="n">
        <v>166</v>
      </c>
      <c r="AA906" t="n">
        <v>168</v>
      </c>
      <c r="AB906" t="n">
        <v>2</v>
      </c>
      <c r="AC906" t="n">
        <v>2</v>
      </c>
      <c r="AD906" t="n">
        <v>8</v>
      </c>
      <c r="AE906" t="n">
        <v>8</v>
      </c>
      <c r="AF906" t="n">
        <v>2</v>
      </c>
      <c r="AG906" t="n">
        <v>2</v>
      </c>
      <c r="AH906" t="n">
        <v>4</v>
      </c>
      <c r="AI906" t="n">
        <v>4</v>
      </c>
      <c r="AJ906" t="n">
        <v>4</v>
      </c>
      <c r="AK906" t="n">
        <v>4</v>
      </c>
      <c r="AL906" t="n">
        <v>1</v>
      </c>
      <c r="AM906" t="n">
        <v>1</v>
      </c>
      <c r="AN906" t="n">
        <v>0</v>
      </c>
      <c r="AO906" t="n">
        <v>0</v>
      </c>
      <c r="AP906" t="inlineStr">
        <is>
          <t>No</t>
        </is>
      </c>
      <c r="AQ906" t="inlineStr">
        <is>
          <t>Yes</t>
        </is>
      </c>
      <c r="AR906">
        <f>HYPERLINK("http://catalog.hathitrust.org/Record/004507320","HathiTrust Record")</f>
        <v/>
      </c>
      <c r="AS906">
        <f>HYPERLINK("https://creighton-primo.hosted.exlibrisgroup.com/primo-explore/search?tab=default_tab&amp;search_scope=EVERYTHING&amp;vid=01CRU&amp;lang=en_US&amp;offset=0&amp;query=any,contains,991001717709702656","Catalog Record")</f>
        <v/>
      </c>
      <c r="AT906">
        <f>HYPERLINK("http://www.worldcat.org/oclc/21718522","WorldCat Record")</f>
        <v/>
      </c>
      <c r="AU906" t="inlineStr">
        <is>
          <t>454175303:eng</t>
        </is>
      </c>
      <c r="AV906" t="inlineStr">
        <is>
          <t>21718522</t>
        </is>
      </c>
      <c r="AW906" t="inlineStr">
        <is>
          <t>991001717709702656</t>
        </is>
      </c>
      <c r="AX906" t="inlineStr">
        <is>
          <t>991001717709702656</t>
        </is>
      </c>
      <c r="AY906" t="inlineStr">
        <is>
          <t>2257717180002656</t>
        </is>
      </c>
      <c r="AZ906" t="inlineStr">
        <is>
          <t>BOOK</t>
        </is>
      </c>
      <c r="BC906" t="inlineStr">
        <is>
          <t>32285000491083</t>
        </is>
      </c>
      <c r="BD906" t="inlineStr">
        <is>
          <t>893891773</t>
        </is>
      </c>
    </row>
    <row r="907">
      <c r="A907" t="inlineStr">
        <is>
          <t>No</t>
        </is>
      </c>
      <c r="B907" t="inlineStr">
        <is>
          <t>PS3537.T3234 L647</t>
        </is>
      </c>
      <c r="C907" t="inlineStr">
        <is>
          <t>0                      PS 3537000T  3234               L  647</t>
        </is>
      </c>
      <c r="D907" t="inlineStr">
        <is>
          <t>A Study guide to Steinbeck's The long valley / edited by Tetsumaro Hayashi.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L907" t="inlineStr">
        <is>
          <t>Ann Arbor, MI. : Pierian Press, 1976.</t>
        </is>
      </c>
      <c r="M907" t="inlineStr">
        <is>
          <t>1976</t>
        </is>
      </c>
      <c r="O907" t="inlineStr">
        <is>
          <t>eng</t>
        </is>
      </c>
      <c r="P907" t="inlineStr">
        <is>
          <t>miu</t>
        </is>
      </c>
      <c r="R907" t="inlineStr">
        <is>
          <t xml:space="preserve">PS </t>
        </is>
      </c>
      <c r="S907" t="n">
        <v>7</v>
      </c>
      <c r="T907" t="n">
        <v>7</v>
      </c>
      <c r="U907" t="inlineStr">
        <is>
          <t>2001-03-07</t>
        </is>
      </c>
      <c r="V907" t="inlineStr">
        <is>
          <t>2001-03-07</t>
        </is>
      </c>
      <c r="W907" t="inlineStr">
        <is>
          <t>1992-12-16</t>
        </is>
      </c>
      <c r="X907" t="inlineStr">
        <is>
          <t>1992-12-16</t>
        </is>
      </c>
      <c r="Y907" t="n">
        <v>146</v>
      </c>
      <c r="Z907" t="n">
        <v>129</v>
      </c>
      <c r="AA907" t="n">
        <v>129</v>
      </c>
      <c r="AB907" t="n">
        <v>1</v>
      </c>
      <c r="AC907" t="n">
        <v>1</v>
      </c>
      <c r="AD907" t="n">
        <v>4</v>
      </c>
      <c r="AE907" t="n">
        <v>4</v>
      </c>
      <c r="AF907" t="n">
        <v>2</v>
      </c>
      <c r="AG907" t="n">
        <v>2</v>
      </c>
      <c r="AH907" t="n">
        <v>2</v>
      </c>
      <c r="AI907" t="n">
        <v>2</v>
      </c>
      <c r="AJ907" t="n">
        <v>1</v>
      </c>
      <c r="AK907" t="n">
        <v>1</v>
      </c>
      <c r="AL907" t="n">
        <v>0</v>
      </c>
      <c r="AM907" t="n">
        <v>0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HYPERLINK("https://creighton-primo.hosted.exlibrisgroup.com/primo-explore/search?tab=default_tab&amp;search_scope=EVERYTHING&amp;vid=01CRU&amp;lang=en_US&amp;offset=0&amp;query=any,contains,991004366209702656","Catalog Record")</f>
        <v/>
      </c>
      <c r="AT907">
        <f>HYPERLINK("http://www.worldcat.org/oclc/3169667","WorldCat Record")</f>
        <v/>
      </c>
      <c r="AU907" t="inlineStr">
        <is>
          <t>54174191:eng</t>
        </is>
      </c>
      <c r="AV907" t="inlineStr">
        <is>
          <t>3169667</t>
        </is>
      </c>
      <c r="AW907" t="inlineStr">
        <is>
          <t>991004366209702656</t>
        </is>
      </c>
      <c r="AX907" t="inlineStr">
        <is>
          <t>991004366209702656</t>
        </is>
      </c>
      <c r="AY907" t="inlineStr">
        <is>
          <t>2263226060002656</t>
        </is>
      </c>
      <c r="AZ907" t="inlineStr">
        <is>
          <t>BOOK</t>
        </is>
      </c>
      <c r="BB907" t="inlineStr">
        <is>
          <t>9780876500743</t>
        </is>
      </c>
      <c r="BC907" t="inlineStr">
        <is>
          <t>32285001441962</t>
        </is>
      </c>
      <c r="BD907" t="inlineStr">
        <is>
          <t>893417538</t>
        </is>
      </c>
    </row>
    <row r="908">
      <c r="A908" t="inlineStr">
        <is>
          <t>No</t>
        </is>
      </c>
      <c r="B908" t="inlineStr">
        <is>
          <t>PS3537.T3234 S84 no.11</t>
        </is>
      </c>
      <c r="C908" t="inlineStr">
        <is>
          <t>0                      PS 3537000T  3234               S  84                                no.11</t>
        </is>
      </c>
      <c r="D908" t="inlineStr">
        <is>
          <t>A Handbook for Steinbeck collectors, librarians, and scholars / edited by Tetsumaro Hayashi.</t>
        </is>
      </c>
      <c r="E908" t="inlineStr">
        <is>
          <t>no.11*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L908" t="inlineStr">
        <is>
          <t>Muncie, Ind. : Steinbeck Society of America, English Dept., Ball State University, 1981.</t>
        </is>
      </c>
      <c r="M908" t="inlineStr">
        <is>
          <t>1981</t>
        </is>
      </c>
      <c r="O908" t="inlineStr">
        <is>
          <t>eng</t>
        </is>
      </c>
      <c r="P908" t="inlineStr">
        <is>
          <t>inu</t>
        </is>
      </c>
      <c r="Q908" t="inlineStr">
        <is>
          <t>Steinbeck monograph series ; no. 11</t>
        </is>
      </c>
      <c r="R908" t="inlineStr">
        <is>
          <t xml:space="preserve">PS </t>
        </is>
      </c>
      <c r="S908" t="n">
        <v>2</v>
      </c>
      <c r="T908" t="n">
        <v>2</v>
      </c>
      <c r="U908" t="inlineStr">
        <is>
          <t>2002-02-17</t>
        </is>
      </c>
      <c r="V908" t="inlineStr">
        <is>
          <t>2002-02-17</t>
        </is>
      </c>
      <c r="W908" t="inlineStr">
        <is>
          <t>1993-06-10</t>
        </is>
      </c>
      <c r="X908" t="inlineStr">
        <is>
          <t>1993-06-10</t>
        </is>
      </c>
      <c r="Y908" t="n">
        <v>206</v>
      </c>
      <c r="Z908" t="n">
        <v>179</v>
      </c>
      <c r="AA908" t="n">
        <v>181</v>
      </c>
      <c r="AB908" t="n">
        <v>3</v>
      </c>
      <c r="AC908" t="n">
        <v>3</v>
      </c>
      <c r="AD908" t="n">
        <v>8</v>
      </c>
      <c r="AE908" t="n">
        <v>8</v>
      </c>
      <c r="AF908" t="n">
        <v>0</v>
      </c>
      <c r="AG908" t="n">
        <v>0</v>
      </c>
      <c r="AH908" t="n">
        <v>4</v>
      </c>
      <c r="AI908" t="n">
        <v>4</v>
      </c>
      <c r="AJ908" t="n">
        <v>4</v>
      </c>
      <c r="AK908" t="n">
        <v>4</v>
      </c>
      <c r="AL908" t="n">
        <v>2</v>
      </c>
      <c r="AM908" t="n">
        <v>2</v>
      </c>
      <c r="AN908" t="n">
        <v>0</v>
      </c>
      <c r="AO908" t="n">
        <v>0</v>
      </c>
      <c r="AP908" t="inlineStr">
        <is>
          <t>No</t>
        </is>
      </c>
      <c r="AQ908" t="inlineStr">
        <is>
          <t>Yes</t>
        </is>
      </c>
      <c r="AR908">
        <f>HYPERLINK("http://catalog.hathitrust.org/Record/000267560","HathiTrust Record")</f>
        <v/>
      </c>
      <c r="AS908">
        <f>HYPERLINK("https://creighton-primo.hosted.exlibrisgroup.com/primo-explore/search?tab=default_tab&amp;search_scope=EVERYTHING&amp;vid=01CRU&amp;lang=en_US&amp;offset=0&amp;query=any,contains,991005112049702656","Catalog Record")</f>
        <v/>
      </c>
      <c r="AT908">
        <f>HYPERLINK("http://www.worldcat.org/oclc/7452600","WorldCat Record")</f>
        <v/>
      </c>
      <c r="AU908" t="inlineStr">
        <is>
          <t>54444874:eng</t>
        </is>
      </c>
      <c r="AV908" t="inlineStr">
        <is>
          <t>7452600</t>
        </is>
      </c>
      <c r="AW908" t="inlineStr">
        <is>
          <t>991005112049702656</t>
        </is>
      </c>
      <c r="AX908" t="inlineStr">
        <is>
          <t>991005112049702656</t>
        </is>
      </c>
      <c r="AY908" t="inlineStr">
        <is>
          <t>2260395310002656</t>
        </is>
      </c>
      <c r="AZ908" t="inlineStr">
        <is>
          <t>BOOK</t>
        </is>
      </c>
      <c r="BC908" t="inlineStr">
        <is>
          <t>32285001701027</t>
        </is>
      </c>
      <c r="BD908" t="inlineStr">
        <is>
          <t>893350728</t>
        </is>
      </c>
    </row>
    <row r="909">
      <c r="A909" t="inlineStr">
        <is>
          <t>No</t>
        </is>
      </c>
      <c r="B909" t="inlineStr">
        <is>
          <t>PS3537.T3234 S84 no.13</t>
        </is>
      </c>
      <c r="C909" t="inlineStr">
        <is>
          <t>0                      PS 3537000T  3234               S  84                                no.13</t>
        </is>
      </c>
      <c r="D909" t="inlineStr">
        <is>
          <t>Steinbeck's "The red pony" : essays in criticism / edited by Tetsumaro Hayashi and Thomas J. Moore.</t>
        </is>
      </c>
      <c r="E909" t="inlineStr">
        <is>
          <t>no.13*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L909" t="inlineStr">
        <is>
          <t>Muncie, Ind. : Steinbeck Research Institute, Dept. of English, Ball State University, 1988.</t>
        </is>
      </c>
      <c r="M909" t="inlineStr">
        <is>
          <t>1988</t>
        </is>
      </c>
      <c r="O909" t="inlineStr">
        <is>
          <t>eng</t>
        </is>
      </c>
      <c r="P909" t="inlineStr">
        <is>
          <t>inu</t>
        </is>
      </c>
      <c r="Q909" t="inlineStr">
        <is>
          <t>Steinbeck monograph series ; no. 13</t>
        </is>
      </c>
      <c r="R909" t="inlineStr">
        <is>
          <t xml:space="preserve">PS </t>
        </is>
      </c>
      <c r="S909" t="n">
        <v>5</v>
      </c>
      <c r="T909" t="n">
        <v>5</v>
      </c>
      <c r="U909" t="inlineStr">
        <is>
          <t>1996-09-14</t>
        </is>
      </c>
      <c r="V909" t="inlineStr">
        <is>
          <t>1996-09-14</t>
        </is>
      </c>
      <c r="W909" t="inlineStr">
        <is>
          <t>1993-06-10</t>
        </is>
      </c>
      <c r="X909" t="inlineStr">
        <is>
          <t>1993-06-10</t>
        </is>
      </c>
      <c r="Y909" t="n">
        <v>130</v>
      </c>
      <c r="Z909" t="n">
        <v>112</v>
      </c>
      <c r="AA909" t="n">
        <v>112</v>
      </c>
      <c r="AB909" t="n">
        <v>2</v>
      </c>
      <c r="AC909" t="n">
        <v>2</v>
      </c>
      <c r="AD909" t="n">
        <v>10</v>
      </c>
      <c r="AE909" t="n">
        <v>10</v>
      </c>
      <c r="AF909" t="n">
        <v>4</v>
      </c>
      <c r="AG909" t="n">
        <v>4</v>
      </c>
      <c r="AH909" t="n">
        <v>3</v>
      </c>
      <c r="AI909" t="n">
        <v>3</v>
      </c>
      <c r="AJ909" t="n">
        <v>7</v>
      </c>
      <c r="AK909" t="n">
        <v>7</v>
      </c>
      <c r="AL909" t="n">
        <v>1</v>
      </c>
      <c r="AM909" t="n">
        <v>1</v>
      </c>
      <c r="AN909" t="n">
        <v>0</v>
      </c>
      <c r="AO909" t="n">
        <v>0</v>
      </c>
      <c r="AP909" t="inlineStr">
        <is>
          <t>No</t>
        </is>
      </c>
      <c r="AQ909" t="inlineStr">
        <is>
          <t>No</t>
        </is>
      </c>
      <c r="AS909">
        <f>HYPERLINK("https://creighton-primo.hosted.exlibrisgroup.com/primo-explore/search?tab=default_tab&amp;search_scope=EVERYTHING&amp;vid=01CRU&amp;lang=en_US&amp;offset=0&amp;query=any,contains,991001282829702656","Catalog Record")</f>
        <v/>
      </c>
      <c r="AT909">
        <f>HYPERLINK("http://www.worldcat.org/oclc/17932588","WorldCat Record")</f>
        <v/>
      </c>
      <c r="AU909" t="inlineStr">
        <is>
          <t>5342501534:eng</t>
        </is>
      </c>
      <c r="AV909" t="inlineStr">
        <is>
          <t>17932588</t>
        </is>
      </c>
      <c r="AW909" t="inlineStr">
        <is>
          <t>991001282829702656</t>
        </is>
      </c>
      <c r="AX909" t="inlineStr">
        <is>
          <t>991001282829702656</t>
        </is>
      </c>
      <c r="AY909" t="inlineStr">
        <is>
          <t>2261070220002656</t>
        </is>
      </c>
      <c r="AZ909" t="inlineStr">
        <is>
          <t>BOOK</t>
        </is>
      </c>
      <c r="BC909" t="inlineStr">
        <is>
          <t>32285001701001</t>
        </is>
      </c>
      <c r="BD909" t="inlineStr">
        <is>
          <t>893426489</t>
        </is>
      </c>
    </row>
    <row r="910">
      <c r="A910" t="inlineStr">
        <is>
          <t>No</t>
        </is>
      </c>
      <c r="B910" t="inlineStr">
        <is>
          <t>PS3537.T3234 S84 no.14</t>
        </is>
      </c>
      <c r="C910" t="inlineStr">
        <is>
          <t>0                      PS 3537000T  3234               S  84                                no.14</t>
        </is>
      </c>
      <c r="D910" t="inlineStr">
        <is>
          <t>Steinbeck's posthumous work : essays in criticism / edited by Tetsumaro Hayashi and Thomas J. Moore.</t>
        </is>
      </c>
      <c r="E910" t="inlineStr">
        <is>
          <t>no.14*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L910" t="inlineStr">
        <is>
          <t>Muncie, Ind. U.S.A. : Steinbeck Research Institute, Dept. of English, College of Sciences and Humanities, Ball State University, 1989.</t>
        </is>
      </c>
      <c r="M910" t="inlineStr">
        <is>
          <t>1989</t>
        </is>
      </c>
      <c r="O910" t="inlineStr">
        <is>
          <t>eng</t>
        </is>
      </c>
      <c r="P910" t="inlineStr">
        <is>
          <t>inu</t>
        </is>
      </c>
      <c r="Q910" t="inlineStr">
        <is>
          <t>Steinbeck monograph series ; no. 14</t>
        </is>
      </c>
      <c r="R910" t="inlineStr">
        <is>
          <t xml:space="preserve">PS </t>
        </is>
      </c>
      <c r="S910" t="n">
        <v>4</v>
      </c>
      <c r="T910" t="n">
        <v>4</v>
      </c>
      <c r="U910" t="inlineStr">
        <is>
          <t>1992-03-20</t>
        </is>
      </c>
      <c r="V910" t="inlineStr">
        <is>
          <t>1992-03-20</t>
        </is>
      </c>
      <c r="W910" t="inlineStr">
        <is>
          <t>1992-03-17</t>
        </is>
      </c>
      <c r="X910" t="inlineStr">
        <is>
          <t>1992-03-17</t>
        </is>
      </c>
      <c r="Y910" t="n">
        <v>130</v>
      </c>
      <c r="Z910" t="n">
        <v>111</v>
      </c>
      <c r="AA910" t="n">
        <v>111</v>
      </c>
      <c r="AB910" t="n">
        <v>1</v>
      </c>
      <c r="AC910" t="n">
        <v>1</v>
      </c>
      <c r="AD910" t="n">
        <v>5</v>
      </c>
      <c r="AE910" t="n">
        <v>5</v>
      </c>
      <c r="AF910" t="n">
        <v>1</v>
      </c>
      <c r="AG910" t="n">
        <v>1</v>
      </c>
      <c r="AH910" t="n">
        <v>2</v>
      </c>
      <c r="AI910" t="n">
        <v>2</v>
      </c>
      <c r="AJ910" t="n">
        <v>5</v>
      </c>
      <c r="AK910" t="n">
        <v>5</v>
      </c>
      <c r="AL910" t="n">
        <v>0</v>
      </c>
      <c r="AM910" t="n">
        <v>0</v>
      </c>
      <c r="AN910" t="n">
        <v>0</v>
      </c>
      <c r="AO910" t="n">
        <v>0</v>
      </c>
      <c r="AP910" t="inlineStr">
        <is>
          <t>No</t>
        </is>
      </c>
      <c r="AQ910" t="inlineStr">
        <is>
          <t>No</t>
        </is>
      </c>
      <c r="AS910">
        <f>HYPERLINK("https://creighton-primo.hosted.exlibrisgroup.com/primo-explore/search?tab=default_tab&amp;search_scope=EVERYTHING&amp;vid=01CRU&amp;lang=en_US&amp;offset=0&amp;query=any,contains,991001611999702656","Catalog Record")</f>
        <v/>
      </c>
      <c r="AT910">
        <f>HYPERLINK("http://www.worldcat.org/oclc/20746511","WorldCat Record")</f>
        <v/>
      </c>
      <c r="AU910" t="inlineStr">
        <is>
          <t>889460209:eng</t>
        </is>
      </c>
      <c r="AV910" t="inlineStr">
        <is>
          <t>20746511</t>
        </is>
      </c>
      <c r="AW910" t="inlineStr">
        <is>
          <t>991001611999702656</t>
        </is>
      </c>
      <c r="AX910" t="inlineStr">
        <is>
          <t>991001611999702656</t>
        </is>
      </c>
      <c r="AY910" t="inlineStr">
        <is>
          <t>2268324570002656</t>
        </is>
      </c>
      <c r="AZ910" t="inlineStr">
        <is>
          <t>BOOK</t>
        </is>
      </c>
      <c r="BB910" t="inlineStr">
        <is>
          <t>9780937994146</t>
        </is>
      </c>
      <c r="BC910" t="inlineStr">
        <is>
          <t>32285001022085</t>
        </is>
      </c>
      <c r="BD910" t="inlineStr">
        <is>
          <t>893596572</t>
        </is>
      </c>
    </row>
    <row r="911">
      <c r="A911" t="inlineStr">
        <is>
          <t>No</t>
        </is>
      </c>
      <c r="B911" t="inlineStr">
        <is>
          <t>PS3537.T3234 S84 no.6</t>
        </is>
      </c>
      <c r="C911" t="inlineStr">
        <is>
          <t>0                      PS 3537000T  3234               S  84                                no.6</t>
        </is>
      </c>
      <c r="D911" t="inlineStr">
        <is>
          <t>Steinbeck's literary achievement / Roy S. Simmonds.</t>
        </is>
      </c>
      <c r="E911" t="inlineStr">
        <is>
          <t>no.6*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Simmonds, Roy S.</t>
        </is>
      </c>
      <c r="L911" t="inlineStr">
        <is>
          <t>Muncie, Ind. : John Steinbeck Society of America, English Dept., Ball State University, 1976.</t>
        </is>
      </c>
      <c r="M911" t="inlineStr">
        <is>
          <t>1976</t>
        </is>
      </c>
      <c r="O911" t="inlineStr">
        <is>
          <t>eng</t>
        </is>
      </c>
      <c r="P911" t="inlineStr">
        <is>
          <t>inu</t>
        </is>
      </c>
      <c r="Q911" t="inlineStr">
        <is>
          <t>Steinbeck monograph series ; no. 6</t>
        </is>
      </c>
      <c r="R911" t="inlineStr">
        <is>
          <t xml:space="preserve">PS </t>
        </is>
      </c>
      <c r="S911" t="n">
        <v>8</v>
      </c>
      <c r="T911" t="n">
        <v>8</v>
      </c>
      <c r="U911" t="inlineStr">
        <is>
          <t>2003-04-07</t>
        </is>
      </c>
      <c r="V911" t="inlineStr">
        <is>
          <t>2003-04-07</t>
        </is>
      </c>
      <c r="W911" t="inlineStr">
        <is>
          <t>1992-03-17</t>
        </is>
      </c>
      <c r="X911" t="inlineStr">
        <is>
          <t>1992-03-17</t>
        </is>
      </c>
      <c r="Y911" t="n">
        <v>167</v>
      </c>
      <c r="Z911" t="n">
        <v>140</v>
      </c>
      <c r="AA911" t="n">
        <v>145</v>
      </c>
      <c r="AB911" t="n">
        <v>3</v>
      </c>
      <c r="AC911" t="n">
        <v>3</v>
      </c>
      <c r="AD911" t="n">
        <v>3</v>
      </c>
      <c r="AE911" t="n">
        <v>3</v>
      </c>
      <c r="AF911" t="n">
        <v>0</v>
      </c>
      <c r="AG911" t="n">
        <v>0</v>
      </c>
      <c r="AH911" t="n">
        <v>0</v>
      </c>
      <c r="AI911" t="n">
        <v>0</v>
      </c>
      <c r="AJ911" t="n">
        <v>1</v>
      </c>
      <c r="AK911" t="n">
        <v>1</v>
      </c>
      <c r="AL911" t="n">
        <v>2</v>
      </c>
      <c r="AM911" t="n">
        <v>2</v>
      </c>
      <c r="AN911" t="n">
        <v>0</v>
      </c>
      <c r="AO911" t="n">
        <v>0</v>
      </c>
      <c r="AP911" t="inlineStr">
        <is>
          <t>No</t>
        </is>
      </c>
      <c r="AQ911" t="inlineStr">
        <is>
          <t>No</t>
        </is>
      </c>
      <c r="AS911">
        <f>HYPERLINK("https://creighton-primo.hosted.exlibrisgroup.com/primo-explore/search?tab=default_tab&amp;search_scope=EVERYTHING&amp;vid=01CRU&amp;lang=en_US&amp;offset=0&amp;query=any,contains,991004089739702656","Catalog Record")</f>
        <v/>
      </c>
      <c r="AT911">
        <f>HYPERLINK("http://www.worldcat.org/oclc/2342467","WorldCat Record")</f>
        <v/>
      </c>
      <c r="AU911" t="inlineStr">
        <is>
          <t>4970330:eng</t>
        </is>
      </c>
      <c r="AV911" t="inlineStr">
        <is>
          <t>2342467</t>
        </is>
      </c>
      <c r="AW911" t="inlineStr">
        <is>
          <t>991004089739702656</t>
        </is>
      </c>
      <c r="AX911" t="inlineStr">
        <is>
          <t>991004089739702656</t>
        </is>
      </c>
      <c r="AY911" t="inlineStr">
        <is>
          <t>2262631020002656</t>
        </is>
      </c>
      <c r="AZ911" t="inlineStr">
        <is>
          <t>BOOK</t>
        </is>
      </c>
      <c r="BC911" t="inlineStr">
        <is>
          <t>32285001022077</t>
        </is>
      </c>
      <c r="BD911" t="inlineStr">
        <is>
          <t>893894545</t>
        </is>
      </c>
    </row>
    <row r="912">
      <c r="A912" t="inlineStr">
        <is>
          <t>No</t>
        </is>
      </c>
      <c r="B912" t="inlineStr">
        <is>
          <t>PS3537.T3234 Z39</t>
        </is>
      </c>
      <c r="C912" t="inlineStr">
        <is>
          <t>0                      PS 3537000T  3234               Z  39</t>
        </is>
      </c>
      <c r="D912" t="inlineStr">
        <is>
          <t>Steinbeck's prophetic vision of America : proceedings of the Taylor University-Ball State University Bicentennial Steinbeck Seminar held at Taylor University, May 1, 1976 / edited by Tetsumaro Hayashi and Kenneth D. Swan.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Hayashi, Tetsumaro.</t>
        </is>
      </c>
      <c r="L912" t="inlineStr">
        <is>
          <t>Upland, Ind. : Taylor University for the John Steinbeck Society of America, English Dept., Ball State University, Muncie, Ind., 1976.</t>
        </is>
      </c>
      <c r="M912" t="inlineStr">
        <is>
          <t>1976</t>
        </is>
      </c>
      <c r="O912" t="inlineStr">
        <is>
          <t>eng</t>
        </is>
      </c>
      <c r="P912" t="inlineStr">
        <is>
          <t>inu</t>
        </is>
      </c>
      <c r="R912" t="inlineStr">
        <is>
          <t xml:space="preserve">PS </t>
        </is>
      </c>
      <c r="S912" t="n">
        <v>10</v>
      </c>
      <c r="T912" t="n">
        <v>10</v>
      </c>
      <c r="U912" t="inlineStr">
        <is>
          <t>2003-04-07</t>
        </is>
      </c>
      <c r="V912" t="inlineStr">
        <is>
          <t>2003-04-07</t>
        </is>
      </c>
      <c r="W912" t="inlineStr">
        <is>
          <t>1992-11-02</t>
        </is>
      </c>
      <c r="X912" t="inlineStr">
        <is>
          <t>1992-11-02</t>
        </is>
      </c>
      <c r="Y912" t="n">
        <v>92</v>
      </c>
      <c r="Z912" t="n">
        <v>78</v>
      </c>
      <c r="AA912" t="n">
        <v>78</v>
      </c>
      <c r="AB912" t="n">
        <v>2</v>
      </c>
      <c r="AC912" t="n">
        <v>2</v>
      </c>
      <c r="AD912" t="n">
        <v>4</v>
      </c>
      <c r="AE912" t="n">
        <v>4</v>
      </c>
      <c r="AF912" t="n">
        <v>1</v>
      </c>
      <c r="AG912" t="n">
        <v>1</v>
      </c>
      <c r="AH912" t="n">
        <v>2</v>
      </c>
      <c r="AI912" t="n">
        <v>2</v>
      </c>
      <c r="AJ912" t="n">
        <v>2</v>
      </c>
      <c r="AK912" t="n">
        <v>2</v>
      </c>
      <c r="AL912" t="n">
        <v>1</v>
      </c>
      <c r="AM912" t="n">
        <v>1</v>
      </c>
      <c r="AN912" t="n">
        <v>0</v>
      </c>
      <c r="AO912" t="n">
        <v>0</v>
      </c>
      <c r="AP912" t="inlineStr">
        <is>
          <t>No</t>
        </is>
      </c>
      <c r="AQ912" t="inlineStr">
        <is>
          <t>No</t>
        </is>
      </c>
      <c r="AS912">
        <f>HYPERLINK("https://creighton-primo.hosted.exlibrisgroup.com/primo-explore/search?tab=default_tab&amp;search_scope=EVERYTHING&amp;vid=01CRU&amp;lang=en_US&amp;offset=0&amp;query=any,contains,991004361949702656","Catalog Record")</f>
        <v/>
      </c>
      <c r="AT912">
        <f>HYPERLINK("http://www.worldcat.org/oclc/3167918","WorldCat Record")</f>
        <v/>
      </c>
      <c r="AU912" t="inlineStr">
        <is>
          <t>369354286:eng</t>
        </is>
      </c>
      <c r="AV912" t="inlineStr">
        <is>
          <t>3167918</t>
        </is>
      </c>
      <c r="AW912" t="inlineStr">
        <is>
          <t>991004361949702656</t>
        </is>
      </c>
      <c r="AX912" t="inlineStr">
        <is>
          <t>991004361949702656</t>
        </is>
      </c>
      <c r="AY912" t="inlineStr">
        <is>
          <t>2261995240002656</t>
        </is>
      </c>
      <c r="AZ912" t="inlineStr">
        <is>
          <t>BOOK</t>
        </is>
      </c>
      <c r="BC912" t="inlineStr">
        <is>
          <t>32285001379840</t>
        </is>
      </c>
      <c r="BD912" t="inlineStr">
        <is>
          <t>893599757</t>
        </is>
      </c>
    </row>
    <row r="913">
      <c r="A913" t="inlineStr">
        <is>
          <t>No</t>
        </is>
      </c>
      <c r="B913" t="inlineStr">
        <is>
          <t>PS3537.T3234 Z58</t>
        </is>
      </c>
      <c r="C913" t="inlineStr">
        <is>
          <t>0                      PS 3537000T  3234               Z  58</t>
        </is>
      </c>
      <c r="D913" t="inlineStr">
        <is>
          <t>John Steinbeck and Edward F. Ricketts : the shaping of a novelist.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K913" t="inlineStr">
        <is>
          <t>Astro, Richard.</t>
        </is>
      </c>
      <c r="L913" t="inlineStr">
        <is>
          <t>Minneapolis : University of Minnesota Press, [1973]</t>
        </is>
      </c>
      <c r="M913" t="inlineStr">
        <is>
          <t>1973</t>
        </is>
      </c>
      <c r="O913" t="inlineStr">
        <is>
          <t>eng</t>
        </is>
      </c>
      <c r="P913" t="inlineStr">
        <is>
          <t>mnu</t>
        </is>
      </c>
      <c r="R913" t="inlineStr">
        <is>
          <t xml:space="preserve">PS </t>
        </is>
      </c>
      <c r="S913" t="n">
        <v>4</v>
      </c>
      <c r="T913" t="n">
        <v>4</v>
      </c>
      <c r="U913" t="inlineStr">
        <is>
          <t>1995-11-06</t>
        </is>
      </c>
      <c r="V913" t="inlineStr">
        <is>
          <t>1995-11-06</t>
        </is>
      </c>
      <c r="W913" t="inlineStr">
        <is>
          <t>1992-12-16</t>
        </is>
      </c>
      <c r="X913" t="inlineStr">
        <is>
          <t>1992-12-16</t>
        </is>
      </c>
      <c r="Y913" t="n">
        <v>703</v>
      </c>
      <c r="Z913" t="n">
        <v>610</v>
      </c>
      <c r="AA913" t="n">
        <v>638</v>
      </c>
      <c r="AB913" t="n">
        <v>6</v>
      </c>
      <c r="AC913" t="n">
        <v>6</v>
      </c>
      <c r="AD913" t="n">
        <v>24</v>
      </c>
      <c r="AE913" t="n">
        <v>24</v>
      </c>
      <c r="AF913" t="n">
        <v>6</v>
      </c>
      <c r="AG913" t="n">
        <v>6</v>
      </c>
      <c r="AH913" t="n">
        <v>6</v>
      </c>
      <c r="AI913" t="n">
        <v>6</v>
      </c>
      <c r="AJ913" t="n">
        <v>12</v>
      </c>
      <c r="AK913" t="n">
        <v>12</v>
      </c>
      <c r="AL913" t="n">
        <v>5</v>
      </c>
      <c r="AM913" t="n">
        <v>5</v>
      </c>
      <c r="AN913" t="n">
        <v>0</v>
      </c>
      <c r="AO913" t="n">
        <v>0</v>
      </c>
      <c r="AP913" t="inlineStr">
        <is>
          <t>No</t>
        </is>
      </c>
      <c r="AQ913" t="inlineStr">
        <is>
          <t>No</t>
        </is>
      </c>
      <c r="AS913">
        <f>HYPERLINK("https://creighton-primo.hosted.exlibrisgroup.com/primo-explore/search?tab=default_tab&amp;search_scope=EVERYTHING&amp;vid=01CRU&amp;lang=en_US&amp;offset=0&amp;query=any,contains,991003269409702656","Catalog Record")</f>
        <v/>
      </c>
      <c r="AT913">
        <f>HYPERLINK("http://www.worldcat.org/oclc/795302","WorldCat Record")</f>
        <v/>
      </c>
      <c r="AU913" t="inlineStr">
        <is>
          <t>292338402:eng</t>
        </is>
      </c>
      <c r="AV913" t="inlineStr">
        <is>
          <t>795302</t>
        </is>
      </c>
      <c r="AW913" t="inlineStr">
        <is>
          <t>991003269409702656</t>
        </is>
      </c>
      <c r="AX913" t="inlineStr">
        <is>
          <t>991003269409702656</t>
        </is>
      </c>
      <c r="AY913" t="inlineStr">
        <is>
          <t>2260087350002656</t>
        </is>
      </c>
      <c r="AZ913" t="inlineStr">
        <is>
          <t>BOOK</t>
        </is>
      </c>
      <c r="BB913" t="inlineStr">
        <is>
          <t>9780816607044</t>
        </is>
      </c>
      <c r="BC913" t="inlineStr">
        <is>
          <t>32285001441947</t>
        </is>
      </c>
      <c r="BD913" t="inlineStr">
        <is>
          <t>893410111</t>
        </is>
      </c>
    </row>
    <row r="914">
      <c r="A914" t="inlineStr">
        <is>
          <t>No</t>
        </is>
      </c>
      <c r="B914" t="inlineStr">
        <is>
          <t>PS3537.T3234 Z615 1988</t>
        </is>
      </c>
      <c r="C914" t="inlineStr">
        <is>
          <t>0                      PS 3537000T  3234               Z  615         1988</t>
        </is>
      </c>
      <c r="D914" t="inlineStr">
        <is>
          <t>Looking for Steinbeck's ghost / by Jackson J. Benson.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K914" t="inlineStr">
        <is>
          <t>Benson, Jackson J.</t>
        </is>
      </c>
      <c r="L914" t="inlineStr">
        <is>
          <t>Norman : University of Oklahoma Press, c1988.</t>
        </is>
      </c>
      <c r="M914" t="inlineStr">
        <is>
          <t>1988</t>
        </is>
      </c>
      <c r="N914" t="inlineStr">
        <is>
          <t>1st ed.</t>
        </is>
      </c>
      <c r="O914" t="inlineStr">
        <is>
          <t>eng</t>
        </is>
      </c>
      <c r="P914" t="inlineStr">
        <is>
          <t>oku</t>
        </is>
      </c>
      <c r="R914" t="inlineStr">
        <is>
          <t xml:space="preserve">PS </t>
        </is>
      </c>
      <c r="S914" t="n">
        <v>8</v>
      </c>
      <c r="T914" t="n">
        <v>8</v>
      </c>
      <c r="U914" t="inlineStr">
        <is>
          <t>1999-03-26</t>
        </is>
      </c>
      <c r="V914" t="inlineStr">
        <is>
          <t>1999-03-26</t>
        </is>
      </c>
      <c r="W914" t="inlineStr">
        <is>
          <t>1990-08-14</t>
        </is>
      </c>
      <c r="X914" t="inlineStr">
        <is>
          <t>1990-08-14</t>
        </is>
      </c>
      <c r="Y914" t="n">
        <v>581</v>
      </c>
      <c r="Z914" t="n">
        <v>520</v>
      </c>
      <c r="AA914" t="n">
        <v>1179</v>
      </c>
      <c r="AB914" t="n">
        <v>4</v>
      </c>
      <c r="AC914" t="n">
        <v>5</v>
      </c>
      <c r="AD914" t="n">
        <v>21</v>
      </c>
      <c r="AE914" t="n">
        <v>30</v>
      </c>
      <c r="AF914" t="n">
        <v>7</v>
      </c>
      <c r="AG914" t="n">
        <v>12</v>
      </c>
      <c r="AH914" t="n">
        <v>5</v>
      </c>
      <c r="AI914" t="n">
        <v>8</v>
      </c>
      <c r="AJ914" t="n">
        <v>12</v>
      </c>
      <c r="AK914" t="n">
        <v>14</v>
      </c>
      <c r="AL914" t="n">
        <v>3</v>
      </c>
      <c r="AM914" t="n">
        <v>4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HYPERLINK("https://creighton-primo.hosted.exlibrisgroup.com/primo-explore/search?tab=default_tab&amp;search_scope=EVERYTHING&amp;vid=01CRU&amp;lang=en_US&amp;offset=0&amp;query=any,contains,991001302569702656","Catalog Record")</f>
        <v/>
      </c>
      <c r="AT914">
        <f>HYPERLINK("http://www.worldcat.org/oclc/18071611","WorldCat Record")</f>
        <v/>
      </c>
      <c r="AU914" t="inlineStr">
        <is>
          <t>960985:eng</t>
        </is>
      </c>
      <c r="AV914" t="inlineStr">
        <is>
          <t>18071611</t>
        </is>
      </c>
      <c r="AW914" t="inlineStr">
        <is>
          <t>991001302569702656</t>
        </is>
      </c>
      <c r="AX914" t="inlineStr">
        <is>
          <t>991001302569702656</t>
        </is>
      </c>
      <c r="AY914" t="inlineStr">
        <is>
          <t>2270011870002656</t>
        </is>
      </c>
      <c r="AZ914" t="inlineStr">
        <is>
          <t>BOOK</t>
        </is>
      </c>
      <c r="BB914" t="inlineStr">
        <is>
          <t>9780806121550</t>
        </is>
      </c>
      <c r="BC914" t="inlineStr">
        <is>
          <t>32285000273390</t>
        </is>
      </c>
      <c r="BD914" t="inlineStr">
        <is>
          <t>893346409</t>
        </is>
      </c>
    </row>
    <row r="915">
      <c r="A915" t="inlineStr">
        <is>
          <t>No</t>
        </is>
      </c>
      <c r="B915" t="inlineStr">
        <is>
          <t>PS3537.T3234 Z7135 1985</t>
        </is>
      </c>
      <c r="C915" t="inlineStr">
        <is>
          <t>0                      PS 3537000T  3234               Z  7135        1985</t>
        </is>
      </c>
      <c r="D915" t="inlineStr">
        <is>
          <t>A collector's guide to the first editions of John Steinbeck / compiled by Robert B. Harmon.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No</t>
        </is>
      </c>
      <c r="J915" t="inlineStr">
        <is>
          <t>0</t>
        </is>
      </c>
      <c r="K915" t="inlineStr">
        <is>
          <t>Harmon, Robert B. (Robert Bartlett), 1932-</t>
        </is>
      </c>
      <c r="L915" t="inlineStr">
        <is>
          <t>Bradenton, Fl. : Opuscula, 1985.</t>
        </is>
      </c>
      <c r="M915" t="inlineStr">
        <is>
          <t>1985</t>
        </is>
      </c>
      <c r="O915" t="inlineStr">
        <is>
          <t>eng</t>
        </is>
      </c>
      <c r="P915" t="inlineStr">
        <is>
          <t>flu</t>
        </is>
      </c>
      <c r="R915" t="inlineStr">
        <is>
          <t xml:space="preserve">PS </t>
        </is>
      </c>
      <c r="S915" t="n">
        <v>4</v>
      </c>
      <c r="T915" t="n">
        <v>4</v>
      </c>
      <c r="U915" t="inlineStr">
        <is>
          <t>1993-08-02</t>
        </is>
      </c>
      <c r="V915" t="inlineStr">
        <is>
          <t>1993-08-02</t>
        </is>
      </c>
      <c r="W915" t="inlineStr">
        <is>
          <t>1991-10-14</t>
        </is>
      </c>
      <c r="X915" t="inlineStr">
        <is>
          <t>1991-10-14</t>
        </is>
      </c>
      <c r="Y915" t="n">
        <v>18</v>
      </c>
      <c r="Z915" t="n">
        <v>17</v>
      </c>
      <c r="AA915" t="n">
        <v>17</v>
      </c>
      <c r="AB915" t="n">
        <v>1</v>
      </c>
      <c r="AC915" t="n">
        <v>1</v>
      </c>
      <c r="AD915" t="n">
        <v>0</v>
      </c>
      <c r="AE915" t="n">
        <v>0</v>
      </c>
      <c r="AF915" t="n">
        <v>0</v>
      </c>
      <c r="AG915" t="n">
        <v>0</v>
      </c>
      <c r="AH915" t="n">
        <v>0</v>
      </c>
      <c r="AI915" t="n">
        <v>0</v>
      </c>
      <c r="AJ915" t="n">
        <v>0</v>
      </c>
      <c r="AK915" t="n">
        <v>0</v>
      </c>
      <c r="AL915" t="n">
        <v>0</v>
      </c>
      <c r="AM915" t="n">
        <v>0</v>
      </c>
      <c r="AN915" t="n">
        <v>0</v>
      </c>
      <c r="AO915" t="n">
        <v>0</v>
      </c>
      <c r="AP915" t="inlineStr">
        <is>
          <t>No</t>
        </is>
      </c>
      <c r="AQ915" t="inlineStr">
        <is>
          <t>No</t>
        </is>
      </c>
      <c r="AS915">
        <f>HYPERLINK("https://creighton-primo.hosted.exlibrisgroup.com/primo-explore/search?tab=default_tab&amp;search_scope=EVERYTHING&amp;vid=01CRU&amp;lang=en_US&amp;offset=0&amp;query=any,contains,991000748429702656","Catalog Record")</f>
        <v/>
      </c>
      <c r="AT915">
        <f>HYPERLINK("http://www.worldcat.org/oclc/12892900","WorldCat Record")</f>
        <v/>
      </c>
      <c r="AU915" t="inlineStr">
        <is>
          <t>5791020:eng</t>
        </is>
      </c>
      <c r="AV915" t="inlineStr">
        <is>
          <t>12892900</t>
        </is>
      </c>
      <c r="AW915" t="inlineStr">
        <is>
          <t>991000748429702656</t>
        </is>
      </c>
      <c r="AX915" t="inlineStr">
        <is>
          <t>991000748429702656</t>
        </is>
      </c>
      <c r="AY915" t="inlineStr">
        <is>
          <t>2263729890002656</t>
        </is>
      </c>
      <c r="AZ915" t="inlineStr">
        <is>
          <t>BOOK</t>
        </is>
      </c>
      <c r="BB915" t="inlineStr">
        <is>
          <t>9780912109091</t>
        </is>
      </c>
      <c r="BC915" t="inlineStr">
        <is>
          <t>32285000788686</t>
        </is>
      </c>
      <c r="BD915" t="inlineStr">
        <is>
          <t>893714867</t>
        </is>
      </c>
    </row>
    <row r="916">
      <c r="A916" t="inlineStr">
        <is>
          <t>No</t>
        </is>
      </c>
      <c r="B916" t="inlineStr">
        <is>
          <t>PS3537.T4753 Z6216</t>
        </is>
      </c>
      <c r="C916" t="inlineStr">
        <is>
          <t>0                      PS 3537000T  4753               Z  6216</t>
        </is>
      </c>
      <c r="D916" t="inlineStr">
        <is>
          <t>Wallace Stevens.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K916" t="inlineStr">
        <is>
          <t>Burney, William A.</t>
        </is>
      </c>
      <c r="L916" t="inlineStr">
        <is>
          <t>New York : Twayne Publishers, [1968]</t>
        </is>
      </c>
      <c r="M916" t="inlineStr">
        <is>
          <t>1968</t>
        </is>
      </c>
      <c r="O916" t="inlineStr">
        <is>
          <t>eng</t>
        </is>
      </c>
      <c r="P916" t="inlineStr">
        <is>
          <t>nyu</t>
        </is>
      </c>
      <c r="Q916" t="inlineStr">
        <is>
          <t>Twayne's United States authors series, 127</t>
        </is>
      </c>
      <c r="R916" t="inlineStr">
        <is>
          <t xml:space="preserve">PS </t>
        </is>
      </c>
      <c r="S916" t="n">
        <v>3</v>
      </c>
      <c r="T916" t="n">
        <v>3</v>
      </c>
      <c r="U916" t="inlineStr">
        <is>
          <t>1995-03-15</t>
        </is>
      </c>
      <c r="V916" t="inlineStr">
        <is>
          <t>1995-03-15</t>
        </is>
      </c>
      <c r="W916" t="inlineStr">
        <is>
          <t>1991-01-11</t>
        </is>
      </c>
      <c r="X916" t="inlineStr">
        <is>
          <t>1991-01-11</t>
        </is>
      </c>
      <c r="Y916" t="n">
        <v>1287</v>
      </c>
      <c r="Z916" t="n">
        <v>1154</v>
      </c>
      <c r="AA916" t="n">
        <v>1272</v>
      </c>
      <c r="AB916" t="n">
        <v>12</v>
      </c>
      <c r="AC916" t="n">
        <v>12</v>
      </c>
      <c r="AD916" t="n">
        <v>45</v>
      </c>
      <c r="AE916" t="n">
        <v>49</v>
      </c>
      <c r="AF916" t="n">
        <v>18</v>
      </c>
      <c r="AG916" t="n">
        <v>20</v>
      </c>
      <c r="AH916" t="n">
        <v>6</v>
      </c>
      <c r="AI916" t="n">
        <v>7</v>
      </c>
      <c r="AJ916" t="n">
        <v>21</v>
      </c>
      <c r="AK916" t="n">
        <v>23</v>
      </c>
      <c r="AL916" t="n">
        <v>10</v>
      </c>
      <c r="AM916" t="n">
        <v>10</v>
      </c>
      <c r="AN916" t="n">
        <v>0</v>
      </c>
      <c r="AO916" t="n">
        <v>0</v>
      </c>
      <c r="AP916" t="inlineStr">
        <is>
          <t>No</t>
        </is>
      </c>
      <c r="AQ916" t="inlineStr">
        <is>
          <t>Yes</t>
        </is>
      </c>
      <c r="AR916">
        <f>HYPERLINK("http://catalog.hathitrust.org/Record/001029493","HathiTrust Record")</f>
        <v/>
      </c>
      <c r="AS916">
        <f>HYPERLINK("https://creighton-primo.hosted.exlibrisgroup.com/primo-explore/search?tab=default_tab&amp;search_scope=EVERYTHING&amp;vid=01CRU&amp;lang=en_US&amp;offset=0&amp;query=any,contains,991003053449702656","Catalog Record")</f>
        <v/>
      </c>
      <c r="AT916">
        <f>HYPERLINK("http://www.worldcat.org/oclc/612538","WorldCat Record")</f>
        <v/>
      </c>
      <c r="AU916" t="inlineStr">
        <is>
          <t>316974094:eng</t>
        </is>
      </c>
      <c r="AV916" t="inlineStr">
        <is>
          <t>612538</t>
        </is>
      </c>
      <c r="AW916" t="inlineStr">
        <is>
          <t>991003053449702656</t>
        </is>
      </c>
      <c r="AX916" t="inlineStr">
        <is>
          <t>991003053449702656</t>
        </is>
      </c>
      <c r="AY916" t="inlineStr">
        <is>
          <t>2266640290002656</t>
        </is>
      </c>
      <c r="AZ916" t="inlineStr">
        <is>
          <t>BOOK</t>
        </is>
      </c>
      <c r="BC916" t="inlineStr">
        <is>
          <t>32285000428127</t>
        </is>
      </c>
      <c r="BD916" t="inlineStr">
        <is>
          <t>893239849</t>
        </is>
      </c>
    </row>
    <row r="917">
      <c r="A917" t="inlineStr">
        <is>
          <t>No</t>
        </is>
      </c>
      <c r="B917" t="inlineStr">
        <is>
          <t>PS3537.T4753 Z624 1988</t>
        </is>
      </c>
      <c r="C917" t="inlineStr">
        <is>
          <t>0                      PS 3537000T  4753               Z  624         1988</t>
        </is>
      </c>
      <c r="D917" t="inlineStr">
        <is>
          <t>Critical essays on Wallace Stevens / [edited by] Steven Gould Axelrod, Helen Deese.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L917" t="inlineStr">
        <is>
          <t>Boston, Mass. : G.K. Hall, c1988.</t>
        </is>
      </c>
      <c r="M917" t="inlineStr">
        <is>
          <t>1988</t>
        </is>
      </c>
      <c r="O917" t="inlineStr">
        <is>
          <t>eng</t>
        </is>
      </c>
      <c r="P917" t="inlineStr">
        <is>
          <t>mau</t>
        </is>
      </c>
      <c r="Q917" t="inlineStr">
        <is>
          <t>Critical essays on American literature</t>
        </is>
      </c>
      <c r="R917" t="inlineStr">
        <is>
          <t xml:space="preserve">PS </t>
        </is>
      </c>
      <c r="S917" t="n">
        <v>10</v>
      </c>
      <c r="T917" t="n">
        <v>10</v>
      </c>
      <c r="U917" t="inlineStr">
        <is>
          <t>1999-11-22</t>
        </is>
      </c>
      <c r="V917" t="inlineStr">
        <is>
          <t>1999-11-22</t>
        </is>
      </c>
      <c r="W917" t="inlineStr">
        <is>
          <t>1991-01-10</t>
        </is>
      </c>
      <c r="X917" t="inlineStr">
        <is>
          <t>1991-01-10</t>
        </is>
      </c>
      <c r="Y917" t="n">
        <v>765</v>
      </c>
      <c r="Z917" t="n">
        <v>670</v>
      </c>
      <c r="AA917" t="n">
        <v>676</v>
      </c>
      <c r="AB917" t="n">
        <v>5</v>
      </c>
      <c r="AC917" t="n">
        <v>5</v>
      </c>
      <c r="AD917" t="n">
        <v>40</v>
      </c>
      <c r="AE917" t="n">
        <v>40</v>
      </c>
      <c r="AF917" t="n">
        <v>19</v>
      </c>
      <c r="AG917" t="n">
        <v>19</v>
      </c>
      <c r="AH917" t="n">
        <v>8</v>
      </c>
      <c r="AI917" t="n">
        <v>8</v>
      </c>
      <c r="AJ917" t="n">
        <v>21</v>
      </c>
      <c r="AK917" t="n">
        <v>21</v>
      </c>
      <c r="AL917" t="n">
        <v>4</v>
      </c>
      <c r="AM917" t="n">
        <v>4</v>
      </c>
      <c r="AN917" t="n">
        <v>0</v>
      </c>
      <c r="AO917" t="n">
        <v>0</v>
      </c>
      <c r="AP917" t="inlineStr">
        <is>
          <t>No</t>
        </is>
      </c>
      <c r="AQ917" t="inlineStr">
        <is>
          <t>Yes</t>
        </is>
      </c>
      <c r="AR917">
        <f>HYPERLINK("http://catalog.hathitrust.org/Record/001079374","HathiTrust Record")</f>
        <v/>
      </c>
      <c r="AS917">
        <f>HYPERLINK("https://creighton-primo.hosted.exlibrisgroup.com/primo-explore/search?tab=default_tab&amp;search_scope=EVERYTHING&amp;vid=01CRU&amp;lang=en_US&amp;offset=0&amp;query=any,contains,991001242939702656","Catalog Record")</f>
        <v/>
      </c>
      <c r="AT917">
        <f>HYPERLINK("http://www.worldcat.org/oclc/17621930","WorldCat Record")</f>
        <v/>
      </c>
      <c r="AU917" t="inlineStr">
        <is>
          <t>350164932:eng</t>
        </is>
      </c>
      <c r="AV917" t="inlineStr">
        <is>
          <t>17621930</t>
        </is>
      </c>
      <c r="AW917" t="inlineStr">
        <is>
          <t>991001242939702656</t>
        </is>
      </c>
      <c r="AX917" t="inlineStr">
        <is>
          <t>991001242939702656</t>
        </is>
      </c>
      <c r="AY917" t="inlineStr">
        <is>
          <t>2260972660002656</t>
        </is>
      </c>
      <c r="AZ917" t="inlineStr">
        <is>
          <t>BOOK</t>
        </is>
      </c>
      <c r="BB917" t="inlineStr">
        <is>
          <t>9780816188864</t>
        </is>
      </c>
      <c r="BC917" t="inlineStr">
        <is>
          <t>32285000475151</t>
        </is>
      </c>
      <c r="BD917" t="inlineStr">
        <is>
          <t>893414093</t>
        </is>
      </c>
    </row>
    <row r="918">
      <c r="A918" t="inlineStr">
        <is>
          <t>No</t>
        </is>
      </c>
      <c r="B918" t="inlineStr">
        <is>
          <t>PS3537.T4753 Z674 1983</t>
        </is>
      </c>
      <c r="C918" t="inlineStr">
        <is>
          <t>0                      PS 3537000T  4753               Z  674         1983</t>
        </is>
      </c>
      <c r="D918" t="inlineStr">
        <is>
          <t>Advance on chaos : the sanctifying imagination of Wallace Stevens / David M. La Guardia.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La Guardia, David M., 1943-</t>
        </is>
      </c>
      <c r="L918" t="inlineStr">
        <is>
          <t>Hanover, NH : Published for Brown University Press by University Press of New England, 1983.</t>
        </is>
      </c>
      <c r="M918" t="inlineStr">
        <is>
          <t>1983</t>
        </is>
      </c>
      <c r="O918" t="inlineStr">
        <is>
          <t>eng</t>
        </is>
      </c>
      <c r="P918" t="inlineStr">
        <is>
          <t>nhu</t>
        </is>
      </c>
      <c r="R918" t="inlineStr">
        <is>
          <t xml:space="preserve">PS </t>
        </is>
      </c>
      <c r="S918" t="n">
        <v>2</v>
      </c>
      <c r="T918" t="n">
        <v>2</v>
      </c>
      <c r="U918" t="inlineStr">
        <is>
          <t>1994-04-24</t>
        </is>
      </c>
      <c r="V918" t="inlineStr">
        <is>
          <t>1994-04-24</t>
        </is>
      </c>
      <c r="W918" t="inlineStr">
        <is>
          <t>1990-12-04</t>
        </is>
      </c>
      <c r="X918" t="inlineStr">
        <is>
          <t>1990-12-04</t>
        </is>
      </c>
      <c r="Y918" t="n">
        <v>690</v>
      </c>
      <c r="Z918" t="n">
        <v>606</v>
      </c>
      <c r="AA918" t="n">
        <v>612</v>
      </c>
      <c r="AB918" t="n">
        <v>5</v>
      </c>
      <c r="AC918" t="n">
        <v>5</v>
      </c>
      <c r="AD918" t="n">
        <v>33</v>
      </c>
      <c r="AE918" t="n">
        <v>33</v>
      </c>
      <c r="AF918" t="n">
        <v>15</v>
      </c>
      <c r="AG918" t="n">
        <v>15</v>
      </c>
      <c r="AH918" t="n">
        <v>7</v>
      </c>
      <c r="AI918" t="n">
        <v>7</v>
      </c>
      <c r="AJ918" t="n">
        <v>14</v>
      </c>
      <c r="AK918" t="n">
        <v>14</v>
      </c>
      <c r="AL918" t="n">
        <v>4</v>
      </c>
      <c r="AM918" t="n">
        <v>4</v>
      </c>
      <c r="AN918" t="n">
        <v>0</v>
      </c>
      <c r="AO918" t="n">
        <v>0</v>
      </c>
      <c r="AP918" t="inlineStr">
        <is>
          <t>No</t>
        </is>
      </c>
      <c r="AQ918" t="inlineStr">
        <is>
          <t>Yes</t>
        </is>
      </c>
      <c r="AR918">
        <f>HYPERLINK("http://catalog.hathitrust.org/Record/000116067","HathiTrust Record")</f>
        <v/>
      </c>
      <c r="AS918">
        <f>HYPERLINK("https://creighton-primo.hosted.exlibrisgroup.com/primo-explore/search?tab=default_tab&amp;search_scope=EVERYTHING&amp;vid=01CRU&amp;lang=en_US&amp;offset=0&amp;query=any,contains,991000413009702656","Catalog Record")</f>
        <v/>
      </c>
      <c r="AT918">
        <f>HYPERLINK("http://www.worldcat.org/oclc/9758151","WorldCat Record")</f>
        <v/>
      </c>
      <c r="AU918" t="inlineStr">
        <is>
          <t>43951627:eng</t>
        </is>
      </c>
      <c r="AV918" t="inlineStr">
        <is>
          <t>9758151</t>
        </is>
      </c>
      <c r="AW918" t="inlineStr">
        <is>
          <t>991000413009702656</t>
        </is>
      </c>
      <c r="AX918" t="inlineStr">
        <is>
          <t>991000413009702656</t>
        </is>
      </c>
      <c r="AY918" t="inlineStr">
        <is>
          <t>2263223670002656</t>
        </is>
      </c>
      <c r="AZ918" t="inlineStr">
        <is>
          <t>BOOK</t>
        </is>
      </c>
      <c r="BB918" t="inlineStr">
        <is>
          <t>9780874512694</t>
        </is>
      </c>
      <c r="BC918" t="inlineStr">
        <is>
          <t>32285000418037</t>
        </is>
      </c>
      <c r="BD918" t="inlineStr">
        <is>
          <t>893790481</t>
        </is>
      </c>
    </row>
    <row r="919">
      <c r="A919" t="inlineStr">
        <is>
          <t>No</t>
        </is>
      </c>
      <c r="B919" t="inlineStr">
        <is>
          <t>PS3537.T4753 Z675</t>
        </is>
      </c>
      <c r="C919" t="inlineStr">
        <is>
          <t>0                      PS 3537000T  4753               Z  675</t>
        </is>
      </c>
      <c r="D919" t="inlineStr">
        <is>
          <t>Introspective voyager : the poetic development of Wallace Stevens / [by] A. Walton Litz.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K919" t="inlineStr">
        <is>
          <t>Litz, A. Walton.</t>
        </is>
      </c>
      <c r="L919" t="inlineStr">
        <is>
          <t>New York : Oxford University Press, 1972.</t>
        </is>
      </c>
      <c r="M919" t="inlineStr">
        <is>
          <t>1972</t>
        </is>
      </c>
      <c r="O919" t="inlineStr">
        <is>
          <t>eng</t>
        </is>
      </c>
      <c r="P919" t="inlineStr">
        <is>
          <t>nyu</t>
        </is>
      </c>
      <c r="R919" t="inlineStr">
        <is>
          <t xml:space="preserve">PS </t>
        </is>
      </c>
      <c r="S919" t="n">
        <v>6</v>
      </c>
      <c r="T919" t="n">
        <v>6</v>
      </c>
      <c r="U919" t="inlineStr">
        <is>
          <t>1999-11-22</t>
        </is>
      </c>
      <c r="V919" t="inlineStr">
        <is>
          <t>1999-11-22</t>
        </is>
      </c>
      <c r="W919" t="inlineStr">
        <is>
          <t>1993-05-05</t>
        </is>
      </c>
      <c r="X919" t="inlineStr">
        <is>
          <t>1993-05-05</t>
        </is>
      </c>
      <c r="Y919" t="n">
        <v>808</v>
      </c>
      <c r="Z919" t="n">
        <v>684</v>
      </c>
      <c r="AA919" t="n">
        <v>694</v>
      </c>
      <c r="AB919" t="n">
        <v>5</v>
      </c>
      <c r="AC919" t="n">
        <v>5</v>
      </c>
      <c r="AD919" t="n">
        <v>36</v>
      </c>
      <c r="AE919" t="n">
        <v>36</v>
      </c>
      <c r="AF919" t="n">
        <v>13</v>
      </c>
      <c r="AG919" t="n">
        <v>13</v>
      </c>
      <c r="AH919" t="n">
        <v>7</v>
      </c>
      <c r="AI919" t="n">
        <v>7</v>
      </c>
      <c r="AJ919" t="n">
        <v>22</v>
      </c>
      <c r="AK919" t="n">
        <v>22</v>
      </c>
      <c r="AL919" t="n">
        <v>4</v>
      </c>
      <c r="AM919" t="n">
        <v>4</v>
      </c>
      <c r="AN919" t="n">
        <v>0</v>
      </c>
      <c r="AO919" t="n">
        <v>0</v>
      </c>
      <c r="AP919" t="inlineStr">
        <is>
          <t>No</t>
        </is>
      </c>
      <c r="AQ919" t="inlineStr">
        <is>
          <t>Yes</t>
        </is>
      </c>
      <c r="AR919">
        <f>HYPERLINK("http://catalog.hathitrust.org/Record/000336177","HathiTrust Record")</f>
        <v/>
      </c>
      <c r="AS919">
        <f>HYPERLINK("https://creighton-primo.hosted.exlibrisgroup.com/primo-explore/search?tab=default_tab&amp;search_scope=EVERYTHING&amp;vid=01CRU&amp;lang=en_US&amp;offset=0&amp;query=any,contains,991002193069702656","Catalog Record")</f>
        <v/>
      </c>
      <c r="AT919">
        <f>HYPERLINK("http://www.worldcat.org/oclc/281929","WorldCat Record")</f>
        <v/>
      </c>
      <c r="AU919" t="inlineStr">
        <is>
          <t>230983236:eng</t>
        </is>
      </c>
      <c r="AV919" t="inlineStr">
        <is>
          <t>281929</t>
        </is>
      </c>
      <c r="AW919" t="inlineStr">
        <is>
          <t>991002193069702656</t>
        </is>
      </c>
      <c r="AX919" t="inlineStr">
        <is>
          <t>991002193069702656</t>
        </is>
      </c>
      <c r="AY919" t="inlineStr">
        <is>
          <t>2264872110002656</t>
        </is>
      </c>
      <c r="AZ919" t="inlineStr">
        <is>
          <t>BOOK</t>
        </is>
      </c>
      <c r="BC919" t="inlineStr">
        <is>
          <t>32285001634194</t>
        </is>
      </c>
      <c r="BD919" t="inlineStr">
        <is>
          <t>893328785</t>
        </is>
      </c>
    </row>
    <row r="920">
      <c r="A920" t="inlineStr">
        <is>
          <t>No</t>
        </is>
      </c>
      <c r="B920" t="inlineStr">
        <is>
          <t>PS3537.T4753 Z7658 2000</t>
        </is>
      </c>
      <c r="C920" t="inlineStr">
        <is>
          <t>0                      PS 3537000T  4753               Z  7658        2000</t>
        </is>
      </c>
      <c r="D920" t="inlineStr">
        <is>
          <t>Wallace Stevens : a literary life / Tony Sharpe.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Sharpe, Tony, 1952-</t>
        </is>
      </c>
      <c r="L920" t="inlineStr">
        <is>
          <t>New York : St. Martins's Press, 2000.</t>
        </is>
      </c>
      <c r="M920" t="inlineStr">
        <is>
          <t>2000</t>
        </is>
      </c>
      <c r="O920" t="inlineStr">
        <is>
          <t>eng</t>
        </is>
      </c>
      <c r="P920" t="inlineStr">
        <is>
          <t>nyu</t>
        </is>
      </c>
      <c r="Q920" t="inlineStr">
        <is>
          <t>Literary lives</t>
        </is>
      </c>
      <c r="R920" t="inlineStr">
        <is>
          <t xml:space="preserve">PS </t>
        </is>
      </c>
      <c r="S920" t="n">
        <v>2</v>
      </c>
      <c r="T920" t="n">
        <v>2</v>
      </c>
      <c r="U920" t="inlineStr">
        <is>
          <t>2005-10-11</t>
        </is>
      </c>
      <c r="V920" t="inlineStr">
        <is>
          <t>2005-10-11</t>
        </is>
      </c>
      <c r="W920" t="inlineStr">
        <is>
          <t>2001-01-08</t>
        </is>
      </c>
      <c r="X920" t="inlineStr">
        <is>
          <t>2001-01-08</t>
        </is>
      </c>
      <c r="Y920" t="n">
        <v>437</v>
      </c>
      <c r="Z920" t="n">
        <v>406</v>
      </c>
      <c r="AA920" t="n">
        <v>455</v>
      </c>
      <c r="AB920" t="n">
        <v>4</v>
      </c>
      <c r="AC920" t="n">
        <v>4</v>
      </c>
      <c r="AD920" t="n">
        <v>26</v>
      </c>
      <c r="AE920" t="n">
        <v>28</v>
      </c>
      <c r="AF920" t="n">
        <v>11</v>
      </c>
      <c r="AG920" t="n">
        <v>12</v>
      </c>
      <c r="AH920" t="n">
        <v>6</v>
      </c>
      <c r="AI920" t="n">
        <v>7</v>
      </c>
      <c r="AJ920" t="n">
        <v>12</v>
      </c>
      <c r="AK920" t="n">
        <v>14</v>
      </c>
      <c r="AL920" t="n">
        <v>3</v>
      </c>
      <c r="AM920" t="n">
        <v>3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HYPERLINK("https://creighton-primo.hosted.exlibrisgroup.com/primo-explore/search?tab=default_tab&amp;search_scope=EVERYTHING&amp;vid=01CRU&amp;lang=en_US&amp;offset=0&amp;query=any,contains,991003323099702656","Catalog Record")</f>
        <v/>
      </c>
      <c r="AT920">
        <f>HYPERLINK("http://www.worldcat.org/oclc/40744343","WorldCat Record")</f>
        <v/>
      </c>
      <c r="AU920" t="inlineStr">
        <is>
          <t>793043259:eng</t>
        </is>
      </c>
      <c r="AV920" t="inlineStr">
        <is>
          <t>40744343</t>
        </is>
      </c>
      <c r="AW920" t="inlineStr">
        <is>
          <t>991003323099702656</t>
        </is>
      </c>
      <c r="AX920" t="inlineStr">
        <is>
          <t>991003323099702656</t>
        </is>
      </c>
      <c r="AY920" t="inlineStr">
        <is>
          <t>2263715480002656</t>
        </is>
      </c>
      <c r="AZ920" t="inlineStr">
        <is>
          <t>BOOK</t>
        </is>
      </c>
      <c r="BB920" t="inlineStr">
        <is>
          <t>9780312220693</t>
        </is>
      </c>
      <c r="BC920" t="inlineStr">
        <is>
          <t>32285004280490</t>
        </is>
      </c>
      <c r="BD920" t="inlineStr">
        <is>
          <t>893893613</t>
        </is>
      </c>
    </row>
    <row r="921">
      <c r="A921" t="inlineStr">
        <is>
          <t>No</t>
        </is>
      </c>
      <c r="B921" t="inlineStr">
        <is>
          <t>PS3537.T4753 Z767</t>
        </is>
      </c>
      <c r="C921" t="inlineStr">
        <is>
          <t>0                      PS 3537000T  4753               Z  767</t>
        </is>
      </c>
      <c r="D921" t="inlineStr">
        <is>
          <t>Wallace Stevens : art of uncertainty / by Herbert J. Stern.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Stern, Herbert.</t>
        </is>
      </c>
      <c r="L921" t="inlineStr">
        <is>
          <t>Ann Arbor : University of Michigan Press, [1966]</t>
        </is>
      </c>
      <c r="M921" t="inlineStr">
        <is>
          <t>1966</t>
        </is>
      </c>
      <c r="O921" t="inlineStr">
        <is>
          <t>eng</t>
        </is>
      </c>
      <c r="P921" t="inlineStr">
        <is>
          <t>miu</t>
        </is>
      </c>
      <c r="R921" t="inlineStr">
        <is>
          <t xml:space="preserve">PS </t>
        </is>
      </c>
      <c r="S921" t="n">
        <v>1</v>
      </c>
      <c r="T921" t="n">
        <v>1</v>
      </c>
      <c r="U921" t="inlineStr">
        <is>
          <t>1993-04-15</t>
        </is>
      </c>
      <c r="V921" t="inlineStr">
        <is>
          <t>1993-04-15</t>
        </is>
      </c>
      <c r="W921" t="inlineStr">
        <is>
          <t>1991-10-04</t>
        </is>
      </c>
      <c r="X921" t="inlineStr">
        <is>
          <t>1991-10-04</t>
        </is>
      </c>
      <c r="Y921" t="n">
        <v>808</v>
      </c>
      <c r="Z921" t="n">
        <v>693</v>
      </c>
      <c r="AA921" t="n">
        <v>705</v>
      </c>
      <c r="AB921" t="n">
        <v>6</v>
      </c>
      <c r="AC921" t="n">
        <v>6</v>
      </c>
      <c r="AD921" t="n">
        <v>37</v>
      </c>
      <c r="AE921" t="n">
        <v>37</v>
      </c>
      <c r="AF921" t="n">
        <v>14</v>
      </c>
      <c r="AG921" t="n">
        <v>14</v>
      </c>
      <c r="AH921" t="n">
        <v>7</v>
      </c>
      <c r="AI921" t="n">
        <v>7</v>
      </c>
      <c r="AJ921" t="n">
        <v>20</v>
      </c>
      <c r="AK921" t="n">
        <v>20</v>
      </c>
      <c r="AL921" t="n">
        <v>5</v>
      </c>
      <c r="AM921" t="n">
        <v>5</v>
      </c>
      <c r="AN921" t="n">
        <v>0</v>
      </c>
      <c r="AO921" t="n">
        <v>0</v>
      </c>
      <c r="AP921" t="inlineStr">
        <is>
          <t>No</t>
        </is>
      </c>
      <c r="AQ921" t="inlineStr">
        <is>
          <t>Yes</t>
        </is>
      </c>
      <c r="AR921">
        <f>HYPERLINK("http://catalog.hathitrust.org/Record/001029499","HathiTrust Record")</f>
        <v/>
      </c>
      <c r="AS921">
        <f>HYPERLINK("https://creighton-primo.hosted.exlibrisgroup.com/primo-explore/search?tab=default_tab&amp;search_scope=EVERYTHING&amp;vid=01CRU&amp;lang=en_US&amp;offset=0&amp;query=any,contains,991001730859702656","Catalog Record")</f>
        <v/>
      </c>
      <c r="AT921">
        <f>HYPERLINK("http://www.worldcat.org/oclc/234984","WorldCat Record")</f>
        <v/>
      </c>
      <c r="AU921" t="inlineStr">
        <is>
          <t>254661016:eng</t>
        </is>
      </c>
      <c r="AV921" t="inlineStr">
        <is>
          <t>234984</t>
        </is>
      </c>
      <c r="AW921" t="inlineStr">
        <is>
          <t>991001730859702656</t>
        </is>
      </c>
      <c r="AX921" t="inlineStr">
        <is>
          <t>991001730859702656</t>
        </is>
      </c>
      <c r="AY921" t="inlineStr">
        <is>
          <t>2257297170002656</t>
        </is>
      </c>
      <c r="AZ921" t="inlineStr">
        <is>
          <t>BOOK</t>
        </is>
      </c>
      <c r="BC921" t="inlineStr">
        <is>
          <t>32285000762434</t>
        </is>
      </c>
      <c r="BD921" t="inlineStr">
        <is>
          <t>893703274</t>
        </is>
      </c>
    </row>
    <row r="922">
      <c r="A922" t="inlineStr">
        <is>
          <t>No</t>
        </is>
      </c>
      <c r="B922" t="inlineStr">
        <is>
          <t>PS3537.T4753 Z768</t>
        </is>
      </c>
      <c r="C922" t="inlineStr">
        <is>
          <t>0                      PS 3537000T  4753               Z  768</t>
        </is>
      </c>
      <c r="D922" t="inlineStr">
        <is>
          <t>Wallace Stevens : musing the obscure ; readings and interpretation / and a guide to the collected poetry.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Sukenick, Ronald.</t>
        </is>
      </c>
      <c r="L922" t="inlineStr">
        <is>
          <t>New York : New York University Press, 1967.</t>
        </is>
      </c>
      <c r="M922" t="inlineStr">
        <is>
          <t>1967</t>
        </is>
      </c>
      <c r="O922" t="inlineStr">
        <is>
          <t>eng</t>
        </is>
      </c>
      <c r="P922" t="inlineStr">
        <is>
          <t>nyu</t>
        </is>
      </c>
      <c r="R922" t="inlineStr">
        <is>
          <t xml:space="preserve">PS </t>
        </is>
      </c>
      <c r="S922" t="n">
        <v>3</v>
      </c>
      <c r="T922" t="n">
        <v>3</v>
      </c>
      <c r="U922" t="inlineStr">
        <is>
          <t>1996-03-06</t>
        </is>
      </c>
      <c r="V922" t="inlineStr">
        <is>
          <t>1996-03-06</t>
        </is>
      </c>
      <c r="W922" t="inlineStr">
        <is>
          <t>1991-12-11</t>
        </is>
      </c>
      <c r="X922" t="inlineStr">
        <is>
          <t>1991-12-11</t>
        </is>
      </c>
      <c r="Y922" t="n">
        <v>987</v>
      </c>
      <c r="Z922" t="n">
        <v>865</v>
      </c>
      <c r="AA922" t="n">
        <v>941</v>
      </c>
      <c r="AB922" t="n">
        <v>7</v>
      </c>
      <c r="AC922" t="n">
        <v>7</v>
      </c>
      <c r="AD922" t="n">
        <v>44</v>
      </c>
      <c r="AE922" t="n">
        <v>47</v>
      </c>
      <c r="AF922" t="n">
        <v>22</v>
      </c>
      <c r="AG922" t="n">
        <v>23</v>
      </c>
      <c r="AH922" t="n">
        <v>7</v>
      </c>
      <c r="AI922" t="n">
        <v>9</v>
      </c>
      <c r="AJ922" t="n">
        <v>18</v>
      </c>
      <c r="AK922" t="n">
        <v>20</v>
      </c>
      <c r="AL922" t="n">
        <v>6</v>
      </c>
      <c r="AM922" t="n">
        <v>6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HYPERLINK("http://catalog.hathitrust.org/Record/003125743","HathiTrust Record")</f>
        <v/>
      </c>
      <c r="AS922">
        <f>HYPERLINK("https://creighton-primo.hosted.exlibrisgroup.com/primo-explore/search?tab=default_tab&amp;search_scope=EVERYTHING&amp;vid=01CRU&amp;lang=en_US&amp;offset=0&amp;query=any,contains,991002220669702656","Catalog Record")</f>
        <v/>
      </c>
      <c r="AT922">
        <f>HYPERLINK("http://www.worldcat.org/oclc/289962","WorldCat Record")</f>
        <v/>
      </c>
      <c r="AU922" t="inlineStr">
        <is>
          <t>203179935:eng</t>
        </is>
      </c>
      <c r="AV922" t="inlineStr">
        <is>
          <t>289962</t>
        </is>
      </c>
      <c r="AW922" t="inlineStr">
        <is>
          <t>991002220669702656</t>
        </is>
      </c>
      <c r="AX922" t="inlineStr">
        <is>
          <t>991002220669702656</t>
        </is>
      </c>
      <c r="AY922" t="inlineStr">
        <is>
          <t>2262132730002656</t>
        </is>
      </c>
      <c r="AZ922" t="inlineStr">
        <is>
          <t>BOOK</t>
        </is>
      </c>
      <c r="BC922" t="inlineStr">
        <is>
          <t>32285000849926</t>
        </is>
      </c>
      <c r="BD922" t="inlineStr">
        <is>
          <t>893703823</t>
        </is>
      </c>
    </row>
    <row r="923">
      <c r="A923" t="inlineStr">
        <is>
          <t>No</t>
        </is>
      </c>
      <c r="B923" t="inlineStr">
        <is>
          <t>PS3537.T4753 Z77 1961</t>
        </is>
      </c>
      <c r="C923" t="inlineStr">
        <is>
          <t>0                      PS 3537000T  4753               Z  77          1961</t>
        </is>
      </c>
      <c r="D923" t="inlineStr">
        <is>
          <t>Wallace Stevens.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K923" t="inlineStr">
        <is>
          <t>Tindall, William York, 1903-1981.</t>
        </is>
      </c>
      <c r="L923" t="inlineStr">
        <is>
          <t>Minneapolis : University of Minnesota Press, [1961]</t>
        </is>
      </c>
      <c r="M923" t="inlineStr">
        <is>
          <t>1961</t>
        </is>
      </c>
      <c r="O923" t="inlineStr">
        <is>
          <t>eng</t>
        </is>
      </c>
      <c r="P923" t="inlineStr">
        <is>
          <t>mnu</t>
        </is>
      </c>
      <c r="Q923" t="inlineStr">
        <is>
          <t>University of Minnesota pamphlets on American writers ; no. 11</t>
        </is>
      </c>
      <c r="R923" t="inlineStr">
        <is>
          <t xml:space="preserve">PS </t>
        </is>
      </c>
      <c r="S923" t="n">
        <v>3</v>
      </c>
      <c r="T923" t="n">
        <v>3</v>
      </c>
      <c r="U923" t="inlineStr">
        <is>
          <t>2004-04-14</t>
        </is>
      </c>
      <c r="V923" t="inlineStr">
        <is>
          <t>2004-04-14</t>
        </is>
      </c>
      <c r="W923" t="inlineStr">
        <is>
          <t>1991-12-11</t>
        </is>
      </c>
      <c r="X923" t="inlineStr">
        <is>
          <t>1991-12-11</t>
        </is>
      </c>
      <c r="Y923" t="n">
        <v>1129</v>
      </c>
      <c r="Z923" t="n">
        <v>993</v>
      </c>
      <c r="AA923" t="n">
        <v>1348</v>
      </c>
      <c r="AB923" t="n">
        <v>10</v>
      </c>
      <c r="AC923" t="n">
        <v>12</v>
      </c>
      <c r="AD923" t="n">
        <v>40</v>
      </c>
      <c r="AE923" t="n">
        <v>54</v>
      </c>
      <c r="AF923" t="n">
        <v>12</v>
      </c>
      <c r="AG923" t="n">
        <v>21</v>
      </c>
      <c r="AH923" t="n">
        <v>9</v>
      </c>
      <c r="AI923" t="n">
        <v>10</v>
      </c>
      <c r="AJ923" t="n">
        <v>19</v>
      </c>
      <c r="AK923" t="n">
        <v>23</v>
      </c>
      <c r="AL923" t="n">
        <v>8</v>
      </c>
      <c r="AM923" t="n">
        <v>10</v>
      </c>
      <c r="AN923" t="n">
        <v>0</v>
      </c>
      <c r="AO923" t="n">
        <v>1</v>
      </c>
      <c r="AP923" t="inlineStr">
        <is>
          <t>No</t>
        </is>
      </c>
      <c r="AQ923" t="inlineStr">
        <is>
          <t>No</t>
        </is>
      </c>
      <c r="AR923">
        <f>HYPERLINK("http://catalog.hathitrust.org/Record/001021177","HathiTrust Record")</f>
        <v/>
      </c>
      <c r="AS923">
        <f>HYPERLINK("https://creighton-primo.hosted.exlibrisgroup.com/primo-explore/search?tab=default_tab&amp;search_scope=EVERYTHING&amp;vid=01CRU&amp;lang=en_US&amp;offset=0&amp;query=any,contains,991002227909702656","Catalog Record")</f>
        <v/>
      </c>
      <c r="AT923">
        <f>HYPERLINK("http://www.worldcat.org/oclc/292263","WorldCat Record")</f>
        <v/>
      </c>
      <c r="AU923" t="inlineStr">
        <is>
          <t>506597174:eng</t>
        </is>
      </c>
      <c r="AV923" t="inlineStr">
        <is>
          <t>292263</t>
        </is>
      </c>
      <c r="AW923" t="inlineStr">
        <is>
          <t>991002227909702656</t>
        </is>
      </c>
      <c r="AX923" t="inlineStr">
        <is>
          <t>991002227909702656</t>
        </is>
      </c>
      <c r="AY923" t="inlineStr">
        <is>
          <t>2265323580002656</t>
        </is>
      </c>
      <c r="AZ923" t="inlineStr">
        <is>
          <t>BOOK</t>
        </is>
      </c>
      <c r="BC923" t="inlineStr">
        <is>
          <t>32285000849918</t>
        </is>
      </c>
      <c r="BD923" t="inlineStr">
        <is>
          <t>893257039</t>
        </is>
      </c>
    </row>
    <row r="924">
      <c r="A924" t="inlineStr">
        <is>
          <t>No</t>
        </is>
      </c>
      <c r="B924" t="inlineStr">
        <is>
          <t>PS3537.T4753 Z82 1986</t>
        </is>
      </c>
      <c r="C924" t="inlineStr">
        <is>
          <t>0                      PS 3537000T  4753               Z  82          1986</t>
        </is>
      </c>
      <c r="D924" t="inlineStr">
        <is>
          <t>Wallace Stevens : words chosen out of desire / Helen Vendler.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Vendler, Helen, 1933-</t>
        </is>
      </c>
      <c r="L924" t="inlineStr">
        <is>
          <t>Cambridge, Mass. : Harvard University Press, 1986, c1984.</t>
        </is>
      </c>
      <c r="M924" t="inlineStr">
        <is>
          <t>1986</t>
        </is>
      </c>
      <c r="O924" t="inlineStr">
        <is>
          <t>eng</t>
        </is>
      </c>
      <c r="P924" t="inlineStr">
        <is>
          <t>mau</t>
        </is>
      </c>
      <c r="R924" t="inlineStr">
        <is>
          <t xml:space="preserve">PS </t>
        </is>
      </c>
      <c r="S924" t="n">
        <v>1</v>
      </c>
      <c r="T924" t="n">
        <v>1</v>
      </c>
      <c r="U924" t="inlineStr">
        <is>
          <t>2002-11-20</t>
        </is>
      </c>
      <c r="V924" t="inlineStr">
        <is>
          <t>2002-11-20</t>
        </is>
      </c>
      <c r="W924" t="inlineStr">
        <is>
          <t>2002-11-20</t>
        </is>
      </c>
      <c r="X924" t="inlineStr">
        <is>
          <t>2002-11-20</t>
        </is>
      </c>
      <c r="Y924" t="n">
        <v>200</v>
      </c>
      <c r="Z924" t="n">
        <v>157</v>
      </c>
      <c r="AA924" t="n">
        <v>740</v>
      </c>
      <c r="AB924" t="n">
        <v>2</v>
      </c>
      <c r="AC924" t="n">
        <v>8</v>
      </c>
      <c r="AD924" t="n">
        <v>9</v>
      </c>
      <c r="AE924" t="n">
        <v>46</v>
      </c>
      <c r="AF924" t="n">
        <v>7</v>
      </c>
      <c r="AG924" t="n">
        <v>20</v>
      </c>
      <c r="AH924" t="n">
        <v>1</v>
      </c>
      <c r="AI924" t="n">
        <v>10</v>
      </c>
      <c r="AJ924" t="n">
        <v>3</v>
      </c>
      <c r="AK924" t="n">
        <v>22</v>
      </c>
      <c r="AL924" t="n">
        <v>1</v>
      </c>
      <c r="AM924" t="n">
        <v>7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HYPERLINK("https://creighton-primo.hosted.exlibrisgroup.com/primo-explore/search?tab=default_tab&amp;search_scope=EVERYTHING&amp;vid=01CRU&amp;lang=en_US&amp;offset=0&amp;query=any,contains,991003948079702656","Catalog Record")</f>
        <v/>
      </c>
      <c r="AT924">
        <f>HYPERLINK("http://www.worldcat.org/oclc/13581853","WorldCat Record")</f>
        <v/>
      </c>
      <c r="AU924" t="inlineStr">
        <is>
          <t>346064889:eng</t>
        </is>
      </c>
      <c r="AV924" t="inlineStr">
        <is>
          <t>13581853</t>
        </is>
      </c>
      <c r="AW924" t="inlineStr">
        <is>
          <t>991003948079702656</t>
        </is>
      </c>
      <c r="AX924" t="inlineStr">
        <is>
          <t>991003948079702656</t>
        </is>
      </c>
      <c r="AY924" t="inlineStr">
        <is>
          <t>2259510060002656</t>
        </is>
      </c>
      <c r="AZ924" t="inlineStr">
        <is>
          <t>BOOK</t>
        </is>
      </c>
      <c r="BB924" t="inlineStr">
        <is>
          <t>9780674945753</t>
        </is>
      </c>
      <c r="BC924" t="inlineStr">
        <is>
          <t>32285004665120</t>
        </is>
      </c>
      <c r="BD924" t="inlineStr">
        <is>
          <t>893435698</t>
        </is>
      </c>
    </row>
    <row r="925">
      <c r="A925" t="inlineStr">
        <is>
          <t>No</t>
        </is>
      </c>
      <c r="B925" t="inlineStr">
        <is>
          <t>PS3537.T4753 Z875 1985</t>
        </is>
      </c>
      <c r="C925" t="inlineStr">
        <is>
          <t>0                      PS 3537000T  4753               Z  875         1985</t>
        </is>
      </c>
      <c r="D925" t="inlineStr">
        <is>
          <t>Wallace Stevens, the poetics of modernism / edited by Albert Gelpi.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L925" t="inlineStr">
        <is>
          <t>Cambridge [Cambridgeshire] ; New York : Cambridge University Press, 1985.</t>
        </is>
      </c>
      <c r="M925" t="inlineStr">
        <is>
          <t>1985</t>
        </is>
      </c>
      <c r="O925" t="inlineStr">
        <is>
          <t>eng</t>
        </is>
      </c>
      <c r="P925" t="inlineStr">
        <is>
          <t>enk</t>
        </is>
      </c>
      <c r="Q925" t="inlineStr">
        <is>
          <t>Cambridge studies in American literature and culture</t>
        </is>
      </c>
      <c r="R925" t="inlineStr">
        <is>
          <t xml:space="preserve">PS </t>
        </is>
      </c>
      <c r="S925" t="n">
        <v>2</v>
      </c>
      <c r="T925" t="n">
        <v>2</v>
      </c>
      <c r="U925" t="inlineStr">
        <is>
          <t>1995-03-19</t>
        </is>
      </c>
      <c r="V925" t="inlineStr">
        <is>
          <t>1995-03-19</t>
        </is>
      </c>
      <c r="W925" t="inlineStr">
        <is>
          <t>1990-12-04</t>
        </is>
      </c>
      <c r="X925" t="inlineStr">
        <is>
          <t>1990-12-04</t>
        </is>
      </c>
      <c r="Y925" t="n">
        <v>740</v>
      </c>
      <c r="Z925" t="n">
        <v>583</v>
      </c>
      <c r="AA925" t="n">
        <v>611</v>
      </c>
      <c r="AB925" t="n">
        <v>6</v>
      </c>
      <c r="AC925" t="n">
        <v>6</v>
      </c>
      <c r="AD925" t="n">
        <v>30</v>
      </c>
      <c r="AE925" t="n">
        <v>32</v>
      </c>
      <c r="AF925" t="n">
        <v>11</v>
      </c>
      <c r="AG925" t="n">
        <v>12</v>
      </c>
      <c r="AH925" t="n">
        <v>6</v>
      </c>
      <c r="AI925" t="n">
        <v>7</v>
      </c>
      <c r="AJ925" t="n">
        <v>18</v>
      </c>
      <c r="AK925" t="n">
        <v>18</v>
      </c>
      <c r="AL925" t="n">
        <v>5</v>
      </c>
      <c r="AM925" t="n">
        <v>5</v>
      </c>
      <c r="AN925" t="n">
        <v>0</v>
      </c>
      <c r="AO925" t="n">
        <v>0</v>
      </c>
      <c r="AP925" t="inlineStr">
        <is>
          <t>No</t>
        </is>
      </c>
      <c r="AQ925" t="inlineStr">
        <is>
          <t>No</t>
        </is>
      </c>
      <c r="AS925">
        <f>HYPERLINK("https://creighton-primo.hosted.exlibrisgroup.com/primo-explore/search?tab=default_tab&amp;search_scope=EVERYTHING&amp;vid=01CRU&amp;lang=en_US&amp;offset=0&amp;query=any,contains,991000579169702656","Catalog Record")</f>
        <v/>
      </c>
      <c r="AT925">
        <f>HYPERLINK("http://www.worldcat.org/oclc/11726420","WorldCat Record")</f>
        <v/>
      </c>
      <c r="AU925" t="inlineStr">
        <is>
          <t>54694448:eng</t>
        </is>
      </c>
      <c r="AV925" t="inlineStr">
        <is>
          <t>11726420</t>
        </is>
      </c>
      <c r="AW925" t="inlineStr">
        <is>
          <t>991000579169702656</t>
        </is>
      </c>
      <c r="AX925" t="inlineStr">
        <is>
          <t>991000579169702656</t>
        </is>
      </c>
      <c r="AY925" t="inlineStr">
        <is>
          <t>2255097140002656</t>
        </is>
      </c>
      <c r="AZ925" t="inlineStr">
        <is>
          <t>BOOK</t>
        </is>
      </c>
      <c r="BB925" t="inlineStr">
        <is>
          <t>9780521302012</t>
        </is>
      </c>
      <c r="BC925" t="inlineStr">
        <is>
          <t>32285000418094</t>
        </is>
      </c>
      <c r="BD925" t="inlineStr">
        <is>
          <t>893345790</t>
        </is>
      </c>
    </row>
    <row r="926">
      <c r="A926" t="inlineStr">
        <is>
          <t>No</t>
        </is>
      </c>
      <c r="B926" t="inlineStr">
        <is>
          <t>PS3537.T4753 Z882 1985</t>
        </is>
      </c>
      <c r="C926" t="inlineStr">
        <is>
          <t>0                      PS 3537000T  4753               Z  882         1985</t>
        </is>
      </c>
      <c r="D926" t="inlineStr">
        <is>
          <t>Wallace Stevens, the critical heritage / edited by Charles Doyle.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L926" t="inlineStr">
        <is>
          <t>London ; Boston : Routledge &amp; K. Paul, c1985.</t>
        </is>
      </c>
      <c r="M926" t="inlineStr">
        <is>
          <t>1985</t>
        </is>
      </c>
      <c r="O926" t="inlineStr">
        <is>
          <t>eng</t>
        </is>
      </c>
      <c r="P926" t="inlineStr">
        <is>
          <t>enk</t>
        </is>
      </c>
      <c r="R926" t="inlineStr">
        <is>
          <t xml:space="preserve">PS </t>
        </is>
      </c>
      <c r="S926" t="n">
        <v>1</v>
      </c>
      <c r="T926" t="n">
        <v>1</v>
      </c>
      <c r="U926" t="inlineStr">
        <is>
          <t>1994-04-24</t>
        </is>
      </c>
      <c r="V926" t="inlineStr">
        <is>
          <t>1994-04-24</t>
        </is>
      </c>
      <c r="W926" t="inlineStr">
        <is>
          <t>1990-12-04</t>
        </is>
      </c>
      <c r="X926" t="inlineStr">
        <is>
          <t>1990-12-04</t>
        </is>
      </c>
      <c r="Y926" t="n">
        <v>553</v>
      </c>
      <c r="Z926" t="n">
        <v>414</v>
      </c>
      <c r="AA926" t="n">
        <v>439</v>
      </c>
      <c r="AB926" t="n">
        <v>5</v>
      </c>
      <c r="AC926" t="n">
        <v>5</v>
      </c>
      <c r="AD926" t="n">
        <v>25</v>
      </c>
      <c r="AE926" t="n">
        <v>26</v>
      </c>
      <c r="AF926" t="n">
        <v>10</v>
      </c>
      <c r="AG926" t="n">
        <v>11</v>
      </c>
      <c r="AH926" t="n">
        <v>6</v>
      </c>
      <c r="AI926" t="n">
        <v>6</v>
      </c>
      <c r="AJ926" t="n">
        <v>13</v>
      </c>
      <c r="AK926" t="n">
        <v>14</v>
      </c>
      <c r="AL926" t="n">
        <v>4</v>
      </c>
      <c r="AM926" t="n">
        <v>4</v>
      </c>
      <c r="AN926" t="n">
        <v>0</v>
      </c>
      <c r="AO926" t="n">
        <v>0</v>
      </c>
      <c r="AP926" t="inlineStr">
        <is>
          <t>No</t>
        </is>
      </c>
      <c r="AQ926" t="inlineStr">
        <is>
          <t>No</t>
        </is>
      </c>
      <c r="AS926">
        <f>HYPERLINK("https://creighton-primo.hosted.exlibrisgroup.com/primo-explore/search?tab=default_tab&amp;search_scope=EVERYTHING&amp;vid=01CRU&amp;lang=en_US&amp;offset=0&amp;query=any,contains,991000527229702656","Catalog Record")</f>
        <v/>
      </c>
      <c r="AT926">
        <f>HYPERLINK("http://www.worldcat.org/oclc/11371367","WorldCat Record")</f>
        <v/>
      </c>
      <c r="AU926" t="inlineStr">
        <is>
          <t>864085112:eng</t>
        </is>
      </c>
      <c r="AV926" t="inlineStr">
        <is>
          <t>11371367</t>
        </is>
      </c>
      <c r="AW926" t="inlineStr">
        <is>
          <t>991000527229702656</t>
        </is>
      </c>
      <c r="AX926" t="inlineStr">
        <is>
          <t>991000527229702656</t>
        </is>
      </c>
      <c r="AY926" t="inlineStr">
        <is>
          <t>2258896090002656</t>
        </is>
      </c>
      <c r="AZ926" t="inlineStr">
        <is>
          <t>BOOK</t>
        </is>
      </c>
      <c r="BB926" t="inlineStr">
        <is>
          <t>9780710096470</t>
        </is>
      </c>
      <c r="BC926" t="inlineStr">
        <is>
          <t>32285000418102</t>
        </is>
      </c>
      <c r="BD926" t="inlineStr">
        <is>
          <t>893255508</t>
        </is>
      </c>
    </row>
    <row r="927">
      <c r="A927" t="inlineStr">
        <is>
          <t>No</t>
        </is>
      </c>
      <c r="B927" t="inlineStr">
        <is>
          <t>PS3537.T4753 Z93 1976</t>
        </is>
      </c>
      <c r="C927" t="inlineStr">
        <is>
          <t>0                      PS 3537000T  4753               Z  93          1976</t>
        </is>
      </c>
      <c r="D927" t="inlineStr">
        <is>
          <t>Introduction to Wallace Stevens / Henry W. Wells.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Wells, Henry W., 1895-1978.</t>
        </is>
      </c>
      <c r="L927" t="inlineStr">
        <is>
          <t>Westport, Conn. : Greenwood Press, 1976, c1963.</t>
        </is>
      </c>
      <c r="M927" t="inlineStr">
        <is>
          <t>1976</t>
        </is>
      </c>
      <c r="O927" t="inlineStr">
        <is>
          <t>eng</t>
        </is>
      </c>
      <c r="P927" t="inlineStr">
        <is>
          <t>ctu</t>
        </is>
      </c>
      <c r="R927" t="inlineStr">
        <is>
          <t xml:space="preserve">PS </t>
        </is>
      </c>
      <c r="S927" t="n">
        <v>6</v>
      </c>
      <c r="T927" t="n">
        <v>6</v>
      </c>
      <c r="U927" t="inlineStr">
        <is>
          <t>1997-05-01</t>
        </is>
      </c>
      <c r="V927" t="inlineStr">
        <is>
          <t>1997-05-01</t>
        </is>
      </c>
      <c r="W927" t="inlineStr">
        <is>
          <t>1991-12-11</t>
        </is>
      </c>
      <c r="X927" t="inlineStr">
        <is>
          <t>1991-12-11</t>
        </is>
      </c>
      <c r="Y927" t="n">
        <v>157</v>
      </c>
      <c r="Z927" t="n">
        <v>136</v>
      </c>
      <c r="AA927" t="n">
        <v>908</v>
      </c>
      <c r="AB927" t="n">
        <v>1</v>
      </c>
      <c r="AC927" t="n">
        <v>7</v>
      </c>
      <c r="AD927" t="n">
        <v>2</v>
      </c>
      <c r="AE927" t="n">
        <v>45</v>
      </c>
      <c r="AF927" t="n">
        <v>1</v>
      </c>
      <c r="AG927" t="n">
        <v>19</v>
      </c>
      <c r="AH927" t="n">
        <v>0</v>
      </c>
      <c r="AI927" t="n">
        <v>10</v>
      </c>
      <c r="AJ927" t="n">
        <v>2</v>
      </c>
      <c r="AK927" t="n">
        <v>22</v>
      </c>
      <c r="AL927" t="n">
        <v>0</v>
      </c>
      <c r="AM927" t="n">
        <v>6</v>
      </c>
      <c r="AN927" t="n">
        <v>0</v>
      </c>
      <c r="AO927" t="n">
        <v>0</v>
      </c>
      <c r="AP927" t="inlineStr">
        <is>
          <t>No</t>
        </is>
      </c>
      <c r="AQ927" t="inlineStr">
        <is>
          <t>Yes</t>
        </is>
      </c>
      <c r="AR927">
        <f>HYPERLINK("http://catalog.hathitrust.org/Record/004484620","HathiTrust Record")</f>
        <v/>
      </c>
      <c r="AS927">
        <f>HYPERLINK("https://creighton-primo.hosted.exlibrisgroup.com/primo-explore/search?tab=default_tab&amp;search_scope=EVERYTHING&amp;vid=01CRU&amp;lang=en_US&amp;offset=0&amp;query=any,contains,991003970909702656","Catalog Record")</f>
        <v/>
      </c>
      <c r="AT927">
        <f>HYPERLINK("http://www.worldcat.org/oclc/1992161","WorldCat Record")</f>
        <v/>
      </c>
      <c r="AU927" t="inlineStr">
        <is>
          <t>118343044:eng</t>
        </is>
      </c>
      <c r="AV927" t="inlineStr">
        <is>
          <t>1992161</t>
        </is>
      </c>
      <c r="AW927" t="inlineStr">
        <is>
          <t>991003970909702656</t>
        </is>
      </c>
      <c r="AX927" t="inlineStr">
        <is>
          <t>991003970909702656</t>
        </is>
      </c>
      <c r="AY927" t="inlineStr">
        <is>
          <t>2262202340002656</t>
        </is>
      </c>
      <c r="AZ927" t="inlineStr">
        <is>
          <t>BOOK</t>
        </is>
      </c>
      <c r="BB927" t="inlineStr">
        <is>
          <t>9780837187365</t>
        </is>
      </c>
      <c r="BC927" t="inlineStr">
        <is>
          <t>32285000849900</t>
        </is>
      </c>
      <c r="BD927" t="inlineStr">
        <is>
          <t>893423224</t>
        </is>
      </c>
    </row>
    <row r="928">
      <c r="A928" t="inlineStr">
        <is>
          <t>No</t>
        </is>
      </c>
      <c r="B928" t="inlineStr">
        <is>
          <t>PS3539.E15 Z88 1986</t>
        </is>
      </c>
      <c r="C928" t="inlineStr">
        <is>
          <t>0                      PS 3539000E  15                 Z  88          1986</t>
        </is>
      </c>
      <c r="D928" t="inlineStr">
        <is>
          <t>Sara Teasdale / by Carol B. Schoen.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K928" t="inlineStr">
        <is>
          <t>Schoen, Carol.</t>
        </is>
      </c>
      <c r="L928" t="inlineStr">
        <is>
          <t>Boston : Twayne Publishers, c1986.</t>
        </is>
      </c>
      <c r="M928" t="inlineStr">
        <is>
          <t>1986</t>
        </is>
      </c>
      <c r="O928" t="inlineStr">
        <is>
          <t>eng</t>
        </is>
      </c>
      <c r="P928" t="inlineStr">
        <is>
          <t>mau</t>
        </is>
      </c>
      <c r="Q928" t="inlineStr">
        <is>
          <t>Twayne's United States authors series ; TUSAS 509</t>
        </is>
      </c>
      <c r="R928" t="inlineStr">
        <is>
          <t xml:space="preserve">PS </t>
        </is>
      </c>
      <c r="S928" t="n">
        <v>3</v>
      </c>
      <c r="T928" t="n">
        <v>3</v>
      </c>
      <c r="U928" t="inlineStr">
        <is>
          <t>1997-02-12</t>
        </is>
      </c>
      <c r="V928" t="inlineStr">
        <is>
          <t>1997-02-12</t>
        </is>
      </c>
      <c r="W928" t="inlineStr">
        <is>
          <t>1990-12-05</t>
        </is>
      </c>
      <c r="X928" t="inlineStr">
        <is>
          <t>1990-12-05</t>
        </is>
      </c>
      <c r="Y928" t="n">
        <v>748</v>
      </c>
      <c r="Z928" t="n">
        <v>680</v>
      </c>
      <c r="AA928" t="n">
        <v>777</v>
      </c>
      <c r="AB928" t="n">
        <v>5</v>
      </c>
      <c r="AC928" t="n">
        <v>5</v>
      </c>
      <c r="AD928" t="n">
        <v>23</v>
      </c>
      <c r="AE928" t="n">
        <v>25</v>
      </c>
      <c r="AF928" t="n">
        <v>5</v>
      </c>
      <c r="AG928" t="n">
        <v>6</v>
      </c>
      <c r="AH928" t="n">
        <v>6</v>
      </c>
      <c r="AI928" t="n">
        <v>6</v>
      </c>
      <c r="AJ928" t="n">
        <v>15</v>
      </c>
      <c r="AK928" t="n">
        <v>16</v>
      </c>
      <c r="AL928" t="n">
        <v>4</v>
      </c>
      <c r="AM928" t="n">
        <v>4</v>
      </c>
      <c r="AN928" t="n">
        <v>0</v>
      </c>
      <c r="AO928" t="n">
        <v>0</v>
      </c>
      <c r="AP928" t="inlineStr">
        <is>
          <t>No</t>
        </is>
      </c>
      <c r="AQ928" t="inlineStr">
        <is>
          <t>Yes</t>
        </is>
      </c>
      <c r="AR928">
        <f>HYPERLINK("http://catalog.hathitrust.org/Record/000441406","HathiTrust Record")</f>
        <v/>
      </c>
      <c r="AS928">
        <f>HYPERLINK("https://creighton-primo.hosted.exlibrisgroup.com/primo-explore/search?tab=default_tab&amp;search_scope=EVERYTHING&amp;vid=01CRU&amp;lang=en_US&amp;offset=0&amp;query=any,contains,991000836849702656","Catalog Record")</f>
        <v/>
      </c>
      <c r="AT928">
        <f>HYPERLINK("http://www.worldcat.org/oclc/13498086","WorldCat Record")</f>
        <v/>
      </c>
      <c r="AU928" t="inlineStr">
        <is>
          <t>7935223:eng</t>
        </is>
      </c>
      <c r="AV928" t="inlineStr">
        <is>
          <t>13498086</t>
        </is>
      </c>
      <c r="AW928" t="inlineStr">
        <is>
          <t>991000836849702656</t>
        </is>
      </c>
      <c r="AX928" t="inlineStr">
        <is>
          <t>991000836849702656</t>
        </is>
      </c>
      <c r="AY928" t="inlineStr">
        <is>
          <t>2263972600002656</t>
        </is>
      </c>
      <c r="AZ928" t="inlineStr">
        <is>
          <t>BOOK</t>
        </is>
      </c>
      <c r="BB928" t="inlineStr">
        <is>
          <t>9780805774733</t>
        </is>
      </c>
      <c r="BC928" t="inlineStr">
        <is>
          <t>32285000418318</t>
        </is>
      </c>
      <c r="BD928" t="inlineStr">
        <is>
          <t>893225357</t>
        </is>
      </c>
    </row>
    <row r="929">
      <c r="A929" t="inlineStr">
        <is>
          <t>No</t>
        </is>
      </c>
      <c r="B929" t="inlineStr">
        <is>
          <t>PS3539.O478 Z65 2002</t>
        </is>
      </c>
      <c r="C929" t="inlineStr">
        <is>
          <t>0                      PS 3539000O  478                Z  65          2002</t>
        </is>
      </c>
      <c r="D929" t="inlineStr">
        <is>
          <t>Biography of American author Jean Toomer, 1894-1967 / John Chandler Griffin.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Griffin, John Chandler, 1936-</t>
        </is>
      </c>
      <c r="L929" t="inlineStr">
        <is>
          <t>Lewiston, N.Y. : Edwin Mellen Press, c2002.</t>
        </is>
      </c>
      <c r="M929" t="inlineStr">
        <is>
          <t>2002</t>
        </is>
      </c>
      <c r="O929" t="inlineStr">
        <is>
          <t>eng</t>
        </is>
      </c>
      <c r="P929" t="inlineStr">
        <is>
          <t>nyu</t>
        </is>
      </c>
      <c r="Q929" t="inlineStr">
        <is>
          <t>Studies in American literature ; v. 52</t>
        </is>
      </c>
      <c r="R929" t="inlineStr">
        <is>
          <t xml:space="preserve">PS </t>
        </is>
      </c>
      <c r="S929" t="n">
        <v>1</v>
      </c>
      <c r="T929" t="n">
        <v>1</v>
      </c>
      <c r="U929" t="inlineStr">
        <is>
          <t>2003-11-04</t>
        </is>
      </c>
      <c r="V929" t="inlineStr">
        <is>
          <t>2003-11-04</t>
        </is>
      </c>
      <c r="W929" t="inlineStr">
        <is>
          <t>2003-09-26</t>
        </is>
      </c>
      <c r="X929" t="inlineStr">
        <is>
          <t>2003-09-26</t>
        </is>
      </c>
      <c r="Y929" t="n">
        <v>196</v>
      </c>
      <c r="Z929" t="n">
        <v>178</v>
      </c>
      <c r="AA929" t="n">
        <v>180</v>
      </c>
      <c r="AB929" t="n">
        <v>1</v>
      </c>
      <c r="AC929" t="n">
        <v>1</v>
      </c>
      <c r="AD929" t="n">
        <v>12</v>
      </c>
      <c r="AE929" t="n">
        <v>12</v>
      </c>
      <c r="AF929" t="n">
        <v>4</v>
      </c>
      <c r="AG929" t="n">
        <v>4</v>
      </c>
      <c r="AH929" t="n">
        <v>5</v>
      </c>
      <c r="AI929" t="n">
        <v>5</v>
      </c>
      <c r="AJ929" t="n">
        <v>6</v>
      </c>
      <c r="AK929" t="n">
        <v>6</v>
      </c>
      <c r="AL929" t="n">
        <v>0</v>
      </c>
      <c r="AM929" t="n">
        <v>0</v>
      </c>
      <c r="AN929" t="n">
        <v>0</v>
      </c>
      <c r="AO929" t="n">
        <v>0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HYPERLINK("http://catalog.hathitrust.org/Record/004600103","HathiTrust Record")</f>
        <v/>
      </c>
      <c r="AS929">
        <f>HYPERLINK("https://creighton-primo.hosted.exlibrisgroup.com/primo-explore/search?tab=default_tab&amp;search_scope=EVERYTHING&amp;vid=01CRU&amp;lang=en_US&amp;offset=0&amp;query=any,contains,991004137969702656","Catalog Record")</f>
        <v/>
      </c>
      <c r="AT929">
        <f>HYPERLINK("http://www.worldcat.org/oclc/49785040","WorldCat Record")</f>
        <v/>
      </c>
      <c r="AU929" t="inlineStr">
        <is>
          <t>1048939:eng</t>
        </is>
      </c>
      <c r="AV929" t="inlineStr">
        <is>
          <t>49785040</t>
        </is>
      </c>
      <c r="AW929" t="inlineStr">
        <is>
          <t>991004137969702656</t>
        </is>
      </c>
      <c r="AX929" t="inlineStr">
        <is>
          <t>991004137969702656</t>
        </is>
      </c>
      <c r="AY929" t="inlineStr">
        <is>
          <t>2256692090002656</t>
        </is>
      </c>
      <c r="AZ929" t="inlineStr">
        <is>
          <t>BOOK</t>
        </is>
      </c>
      <c r="BB929" t="inlineStr">
        <is>
          <t>9780773470880</t>
        </is>
      </c>
      <c r="BC929" t="inlineStr">
        <is>
          <t>32285004793674</t>
        </is>
      </c>
      <c r="BD929" t="inlineStr">
        <is>
          <t>893324977</t>
        </is>
      </c>
    </row>
    <row r="930">
      <c r="A930" t="inlineStr">
        <is>
          <t>No</t>
        </is>
      </c>
      <c r="B930" t="inlineStr">
        <is>
          <t>PS3539.R56 B4</t>
        </is>
      </c>
      <c r="C930" t="inlineStr">
        <is>
          <t>0                      PS 3539000R  56                 B  4</t>
        </is>
      </c>
      <c r="D930" t="inlineStr">
        <is>
          <t>Beyond culture; essays on literature and learning.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Trilling, Lionel, 1905-1975.</t>
        </is>
      </c>
      <c r="L930" t="inlineStr">
        <is>
          <t>New York, Viking Press [1965]</t>
        </is>
      </c>
      <c r="M930" t="inlineStr">
        <is>
          <t>1965</t>
        </is>
      </c>
      <c r="O930" t="inlineStr">
        <is>
          <t>eng</t>
        </is>
      </c>
      <c r="P930" t="inlineStr">
        <is>
          <t>nyu</t>
        </is>
      </c>
      <c r="R930" t="inlineStr">
        <is>
          <t xml:space="preserve">PS </t>
        </is>
      </c>
      <c r="S930" t="n">
        <v>3</v>
      </c>
      <c r="T930" t="n">
        <v>3</v>
      </c>
      <c r="U930" t="inlineStr">
        <is>
          <t>2005-09-12</t>
        </is>
      </c>
      <c r="V930" t="inlineStr">
        <is>
          <t>2005-09-12</t>
        </is>
      </c>
      <c r="W930" t="inlineStr">
        <is>
          <t>1997-06-19</t>
        </is>
      </c>
      <c r="X930" t="inlineStr">
        <is>
          <t>1997-06-19</t>
        </is>
      </c>
      <c r="Y930" t="n">
        <v>1264</v>
      </c>
      <c r="Z930" t="n">
        <v>1175</v>
      </c>
      <c r="AA930" t="n">
        <v>1402</v>
      </c>
      <c r="AB930" t="n">
        <v>9</v>
      </c>
      <c r="AC930" t="n">
        <v>10</v>
      </c>
      <c r="AD930" t="n">
        <v>44</v>
      </c>
      <c r="AE930" t="n">
        <v>53</v>
      </c>
      <c r="AF930" t="n">
        <v>16</v>
      </c>
      <c r="AG930" t="n">
        <v>23</v>
      </c>
      <c r="AH930" t="n">
        <v>10</v>
      </c>
      <c r="AI930" t="n">
        <v>10</v>
      </c>
      <c r="AJ930" t="n">
        <v>20</v>
      </c>
      <c r="AK930" t="n">
        <v>24</v>
      </c>
      <c r="AL930" t="n">
        <v>8</v>
      </c>
      <c r="AM930" t="n">
        <v>8</v>
      </c>
      <c r="AN930" t="n">
        <v>0</v>
      </c>
      <c r="AO930" t="n">
        <v>0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HYPERLINK("http://catalog.hathitrust.org/Record/001029569","HathiTrust Record")</f>
        <v/>
      </c>
      <c r="AS930">
        <f>HYPERLINK("https://creighton-primo.hosted.exlibrisgroup.com/primo-explore/search?tab=default_tab&amp;search_scope=EVERYTHING&amp;vid=01CRU&amp;lang=en_US&amp;offset=0&amp;query=any,contains,991002222169702656","Catalog Record")</f>
        <v/>
      </c>
      <c r="AT930">
        <f>HYPERLINK("http://www.worldcat.org/oclc/290518","WorldCat Record")</f>
        <v/>
      </c>
      <c r="AU930" t="inlineStr">
        <is>
          <t>413220:eng</t>
        </is>
      </c>
      <c r="AV930" t="inlineStr">
        <is>
          <t>290518</t>
        </is>
      </c>
      <c r="AW930" t="inlineStr">
        <is>
          <t>991002222169702656</t>
        </is>
      </c>
      <c r="AX930" t="inlineStr">
        <is>
          <t>991002222169702656</t>
        </is>
      </c>
      <c r="AY930" t="inlineStr">
        <is>
          <t>2270744730002656</t>
        </is>
      </c>
      <c r="AZ930" t="inlineStr">
        <is>
          <t>BOOK</t>
        </is>
      </c>
      <c r="BC930" t="inlineStr">
        <is>
          <t>32285002819901</t>
        </is>
      </c>
      <c r="BD930" t="inlineStr">
        <is>
          <t>893497849</t>
        </is>
      </c>
    </row>
    <row r="931">
      <c r="A931" t="inlineStr">
        <is>
          <t>No</t>
        </is>
      </c>
      <c r="B931" t="inlineStr">
        <is>
          <t>PS3539.R56 Z8</t>
        </is>
      </c>
      <c r="C931" t="inlineStr">
        <is>
          <t>0                      PS 3539000R  56                 Z  8</t>
        </is>
      </c>
      <c r="D931" t="inlineStr">
        <is>
          <t>Lionel Trilling, criticism and politics / William M. Chace.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Chace, William M.</t>
        </is>
      </c>
      <c r="L931" t="inlineStr">
        <is>
          <t>Stanford, Calif. : Stanford University Press, 1980.</t>
        </is>
      </c>
      <c r="M931" t="inlineStr">
        <is>
          <t>1980</t>
        </is>
      </c>
      <c r="O931" t="inlineStr">
        <is>
          <t>eng</t>
        </is>
      </c>
      <c r="P931" t="inlineStr">
        <is>
          <t>cau</t>
        </is>
      </c>
      <c r="R931" t="inlineStr">
        <is>
          <t xml:space="preserve">PS </t>
        </is>
      </c>
      <c r="S931" t="n">
        <v>2</v>
      </c>
      <c r="T931" t="n">
        <v>2</v>
      </c>
      <c r="U931" t="inlineStr">
        <is>
          <t>2005-04-07</t>
        </is>
      </c>
      <c r="V931" t="inlineStr">
        <is>
          <t>2005-04-07</t>
        </is>
      </c>
      <c r="W931" t="inlineStr">
        <is>
          <t>1990-12-05</t>
        </is>
      </c>
      <c r="X931" t="inlineStr">
        <is>
          <t>1990-12-05</t>
        </is>
      </c>
      <c r="Y931" t="n">
        <v>582</v>
      </c>
      <c r="Z931" t="n">
        <v>455</v>
      </c>
      <c r="AA931" t="n">
        <v>460</v>
      </c>
      <c r="AB931" t="n">
        <v>3</v>
      </c>
      <c r="AC931" t="n">
        <v>3</v>
      </c>
      <c r="AD931" t="n">
        <v>23</v>
      </c>
      <c r="AE931" t="n">
        <v>23</v>
      </c>
      <c r="AF931" t="n">
        <v>8</v>
      </c>
      <c r="AG931" t="n">
        <v>8</v>
      </c>
      <c r="AH931" t="n">
        <v>8</v>
      </c>
      <c r="AI931" t="n">
        <v>8</v>
      </c>
      <c r="AJ931" t="n">
        <v>13</v>
      </c>
      <c r="AK931" t="n">
        <v>13</v>
      </c>
      <c r="AL931" t="n">
        <v>2</v>
      </c>
      <c r="AM931" t="n">
        <v>2</v>
      </c>
      <c r="AN931" t="n">
        <v>0</v>
      </c>
      <c r="AO931" t="n">
        <v>0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HYPERLINK("https://creighton-primo.hosted.exlibrisgroup.com/primo-explore/search?tab=default_tab&amp;search_scope=EVERYTHING&amp;vid=01CRU&amp;lang=en_US&amp;offset=0&amp;query=any,contains,991004982049702656","Catalog Record")</f>
        <v/>
      </c>
      <c r="AT931">
        <f>HYPERLINK("http://www.worldcat.org/oclc/6423737","WorldCat Record")</f>
        <v/>
      </c>
      <c r="AU931" t="inlineStr">
        <is>
          <t>364131721:eng</t>
        </is>
      </c>
      <c r="AV931" t="inlineStr">
        <is>
          <t>6423737</t>
        </is>
      </c>
      <c r="AW931" t="inlineStr">
        <is>
          <t>991004982049702656</t>
        </is>
      </c>
      <c r="AX931" t="inlineStr">
        <is>
          <t>991004982049702656</t>
        </is>
      </c>
      <c r="AY931" t="inlineStr">
        <is>
          <t>2269470360002656</t>
        </is>
      </c>
      <c r="AZ931" t="inlineStr">
        <is>
          <t>BOOK</t>
        </is>
      </c>
      <c r="BB931" t="inlineStr">
        <is>
          <t>9780804710329</t>
        </is>
      </c>
      <c r="BC931" t="inlineStr">
        <is>
          <t>32285000418375</t>
        </is>
      </c>
      <c r="BD931" t="inlineStr">
        <is>
          <t>893254284</t>
        </is>
      </c>
    </row>
    <row r="932">
      <c r="A932" t="inlineStr">
        <is>
          <t>No</t>
        </is>
      </c>
      <c r="B932" t="inlineStr">
        <is>
          <t>PS3539.R56 Z9</t>
        </is>
      </c>
      <c r="C932" t="inlineStr">
        <is>
          <t>0                      PS 3539000R  56                 Z  9</t>
        </is>
      </c>
      <c r="D932" t="inlineStr">
        <is>
          <t>Lionel Trilling / Edward Joseph Shoben, Jr.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K932" t="inlineStr">
        <is>
          <t>Shoben, Edward Joseph.</t>
        </is>
      </c>
      <c r="L932" t="inlineStr">
        <is>
          <t>New York : F. Ungar Pub. Co., c1981.</t>
        </is>
      </c>
      <c r="M932" t="inlineStr">
        <is>
          <t>1981</t>
        </is>
      </c>
      <c r="O932" t="inlineStr">
        <is>
          <t>eng</t>
        </is>
      </c>
      <c r="P932" t="inlineStr">
        <is>
          <t>nyu</t>
        </is>
      </c>
      <c r="Q932" t="inlineStr">
        <is>
          <t>Modern literature series</t>
        </is>
      </c>
      <c r="R932" t="inlineStr">
        <is>
          <t xml:space="preserve">PS </t>
        </is>
      </c>
      <c r="S932" t="n">
        <v>2</v>
      </c>
      <c r="T932" t="n">
        <v>2</v>
      </c>
      <c r="U932" t="inlineStr">
        <is>
          <t>2005-04-07</t>
        </is>
      </c>
      <c r="V932" t="inlineStr">
        <is>
          <t>2005-04-07</t>
        </is>
      </c>
      <c r="W932" t="inlineStr">
        <is>
          <t>1990-12-05</t>
        </is>
      </c>
      <c r="X932" t="inlineStr">
        <is>
          <t>1990-12-05</t>
        </is>
      </c>
      <c r="Y932" t="n">
        <v>527</v>
      </c>
      <c r="Z932" t="n">
        <v>469</v>
      </c>
      <c r="AA932" t="n">
        <v>475</v>
      </c>
      <c r="AB932" t="n">
        <v>5</v>
      </c>
      <c r="AC932" t="n">
        <v>5</v>
      </c>
      <c r="AD932" t="n">
        <v>20</v>
      </c>
      <c r="AE932" t="n">
        <v>20</v>
      </c>
      <c r="AF932" t="n">
        <v>7</v>
      </c>
      <c r="AG932" t="n">
        <v>7</v>
      </c>
      <c r="AH932" t="n">
        <v>6</v>
      </c>
      <c r="AI932" t="n">
        <v>6</v>
      </c>
      <c r="AJ932" t="n">
        <v>10</v>
      </c>
      <c r="AK932" t="n">
        <v>10</v>
      </c>
      <c r="AL932" t="n">
        <v>4</v>
      </c>
      <c r="AM932" t="n">
        <v>4</v>
      </c>
      <c r="AN932" t="n">
        <v>0</v>
      </c>
      <c r="AO932" t="n">
        <v>0</v>
      </c>
      <c r="AP932" t="inlineStr">
        <is>
          <t>No</t>
        </is>
      </c>
      <c r="AQ932" t="inlineStr">
        <is>
          <t>Yes</t>
        </is>
      </c>
      <c r="AR932">
        <f>HYPERLINK("http://catalog.hathitrust.org/Record/000226556","HathiTrust Record")</f>
        <v/>
      </c>
      <c r="AS932">
        <f>HYPERLINK("https://creighton-primo.hosted.exlibrisgroup.com/primo-explore/search?tab=default_tab&amp;search_scope=EVERYTHING&amp;vid=01CRU&amp;lang=en_US&amp;offset=0&amp;query=any,contains,991005161499702656","Catalog Record")</f>
        <v/>
      </c>
      <c r="AT932">
        <f>HYPERLINK("http://www.worldcat.org/oclc/7795193","WorldCat Record")</f>
        <v/>
      </c>
      <c r="AU932" t="inlineStr">
        <is>
          <t>457944:eng</t>
        </is>
      </c>
      <c r="AV932" t="inlineStr">
        <is>
          <t>7795193</t>
        </is>
      </c>
      <c r="AW932" t="inlineStr">
        <is>
          <t>991005161499702656</t>
        </is>
      </c>
      <c r="AX932" t="inlineStr">
        <is>
          <t>991005161499702656</t>
        </is>
      </c>
      <c r="AY932" t="inlineStr">
        <is>
          <t>2267931420002656</t>
        </is>
      </c>
      <c r="AZ932" t="inlineStr">
        <is>
          <t>BOOK</t>
        </is>
      </c>
      <c r="BB932" t="inlineStr">
        <is>
          <t>9780804428156</t>
        </is>
      </c>
      <c r="BC932" t="inlineStr">
        <is>
          <t>32285000418391</t>
        </is>
      </c>
      <c r="BD932" t="inlineStr">
        <is>
          <t>893332498</t>
        </is>
      </c>
    </row>
    <row r="933">
      <c r="A933" t="inlineStr">
        <is>
          <t>No</t>
        </is>
      </c>
      <c r="B933" t="inlineStr">
        <is>
          <t>PS3541.P47 Z62 1982</t>
        </is>
      </c>
      <c r="C933" t="inlineStr">
        <is>
          <t>0                      PS 3541000P  47                 Z  62          1982</t>
        </is>
      </c>
      <c r="D933" t="inlineStr">
        <is>
          <t>Critical essays on John Updike / [compiled by] William R. Macnaughton.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L933" t="inlineStr">
        <is>
          <t>Boston : G.K. Hall, c1982.</t>
        </is>
      </c>
      <c r="M933" t="inlineStr">
        <is>
          <t>1982</t>
        </is>
      </c>
      <c r="O933" t="inlineStr">
        <is>
          <t>eng</t>
        </is>
      </c>
      <c r="P933" t="inlineStr">
        <is>
          <t>mau</t>
        </is>
      </c>
      <c r="Q933" t="inlineStr">
        <is>
          <t>Critical essays on American literature</t>
        </is>
      </c>
      <c r="R933" t="inlineStr">
        <is>
          <t xml:space="preserve">PS </t>
        </is>
      </c>
      <c r="S933" t="n">
        <v>10</v>
      </c>
      <c r="T933" t="n">
        <v>10</v>
      </c>
      <c r="U933" t="inlineStr">
        <is>
          <t>2005-02-23</t>
        </is>
      </c>
      <c r="V933" t="inlineStr">
        <is>
          <t>2005-02-23</t>
        </is>
      </c>
      <c r="W933" t="inlineStr">
        <is>
          <t>1990-08-07</t>
        </is>
      </c>
      <c r="X933" t="inlineStr">
        <is>
          <t>1990-08-07</t>
        </is>
      </c>
      <c r="Y933" t="n">
        <v>890</v>
      </c>
      <c r="Z933" t="n">
        <v>797</v>
      </c>
      <c r="AA933" t="n">
        <v>801</v>
      </c>
      <c r="AB933" t="n">
        <v>9</v>
      </c>
      <c r="AC933" t="n">
        <v>9</v>
      </c>
      <c r="AD933" t="n">
        <v>36</v>
      </c>
      <c r="AE933" t="n">
        <v>36</v>
      </c>
      <c r="AF933" t="n">
        <v>16</v>
      </c>
      <c r="AG933" t="n">
        <v>16</v>
      </c>
      <c r="AH933" t="n">
        <v>7</v>
      </c>
      <c r="AI933" t="n">
        <v>7</v>
      </c>
      <c r="AJ933" t="n">
        <v>17</v>
      </c>
      <c r="AK933" t="n">
        <v>17</v>
      </c>
      <c r="AL933" t="n">
        <v>8</v>
      </c>
      <c r="AM933" t="n">
        <v>8</v>
      </c>
      <c r="AN933" t="n">
        <v>0</v>
      </c>
      <c r="AO933" t="n">
        <v>0</v>
      </c>
      <c r="AP933" t="inlineStr">
        <is>
          <t>No</t>
        </is>
      </c>
      <c r="AQ933" t="inlineStr">
        <is>
          <t>No</t>
        </is>
      </c>
      <c r="AS933">
        <f>HYPERLINK("https://creighton-primo.hosted.exlibrisgroup.com/primo-explore/search?tab=default_tab&amp;search_scope=EVERYTHING&amp;vid=01CRU&amp;lang=en_US&amp;offset=0&amp;query=any,contains,991005181389702656","Catalog Record")</f>
        <v/>
      </c>
      <c r="AT933">
        <f>HYPERLINK("http://www.worldcat.org/oclc/7946198","WorldCat Record")</f>
        <v/>
      </c>
      <c r="AU933" t="inlineStr">
        <is>
          <t>479045:eng</t>
        </is>
      </c>
      <c r="AV933" t="inlineStr">
        <is>
          <t>7946198</t>
        </is>
      </c>
      <c r="AW933" t="inlineStr">
        <is>
          <t>991005181389702656</t>
        </is>
      </c>
      <c r="AX933" t="inlineStr">
        <is>
          <t>991005181389702656</t>
        </is>
      </c>
      <c r="AY933" t="inlineStr">
        <is>
          <t>2272452520002656</t>
        </is>
      </c>
      <c r="AZ933" t="inlineStr">
        <is>
          <t>BOOK</t>
        </is>
      </c>
      <c r="BC933" t="inlineStr">
        <is>
          <t>32285000262682</t>
        </is>
      </c>
      <c r="BD933" t="inlineStr">
        <is>
          <t>893776981</t>
        </is>
      </c>
    </row>
    <row r="934">
      <c r="A934" t="inlineStr">
        <is>
          <t>No</t>
        </is>
      </c>
      <c r="B934" t="inlineStr">
        <is>
          <t>PS3541.P47 Z64 1984</t>
        </is>
      </c>
      <c r="C934" t="inlineStr">
        <is>
          <t>0                      PS 3541000P  47                 Z  64          1984</t>
        </is>
      </c>
      <c r="D934" t="inlineStr">
        <is>
          <t>John Updike / by Robert Detweiler.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Detweiler, Robert.</t>
        </is>
      </c>
      <c r="L934" t="inlineStr">
        <is>
          <t>Boston : Twayne Publishers, 1984.</t>
        </is>
      </c>
      <c r="M934" t="inlineStr">
        <is>
          <t>1984</t>
        </is>
      </c>
      <c r="N934" t="inlineStr">
        <is>
          <t>Rev. ed.</t>
        </is>
      </c>
      <c r="O934" t="inlineStr">
        <is>
          <t>eng</t>
        </is>
      </c>
      <c r="P934" t="inlineStr">
        <is>
          <t>mau</t>
        </is>
      </c>
      <c r="Q934" t="inlineStr">
        <is>
          <t>Twayne's United States authors series ; TUSAS 481</t>
        </is>
      </c>
      <c r="R934" t="inlineStr">
        <is>
          <t xml:space="preserve">PS </t>
        </is>
      </c>
      <c r="S934" t="n">
        <v>9</v>
      </c>
      <c r="T934" t="n">
        <v>9</v>
      </c>
      <c r="U934" t="inlineStr">
        <is>
          <t>1996-04-04</t>
        </is>
      </c>
      <c r="V934" t="inlineStr">
        <is>
          <t>1996-04-04</t>
        </is>
      </c>
      <c r="W934" t="inlineStr">
        <is>
          <t>1990-08-02</t>
        </is>
      </c>
      <c r="X934" t="inlineStr">
        <is>
          <t>1990-08-02</t>
        </is>
      </c>
      <c r="Y934" t="n">
        <v>1217</v>
      </c>
      <c r="Z934" t="n">
        <v>1105</v>
      </c>
      <c r="AA934" t="n">
        <v>1195</v>
      </c>
      <c r="AB934" t="n">
        <v>8</v>
      </c>
      <c r="AC934" t="n">
        <v>8</v>
      </c>
      <c r="AD934" t="n">
        <v>36</v>
      </c>
      <c r="AE934" t="n">
        <v>37</v>
      </c>
      <c r="AF934" t="n">
        <v>15</v>
      </c>
      <c r="AG934" t="n">
        <v>16</v>
      </c>
      <c r="AH934" t="n">
        <v>5</v>
      </c>
      <c r="AI934" t="n">
        <v>5</v>
      </c>
      <c r="AJ934" t="n">
        <v>18</v>
      </c>
      <c r="AK934" t="n">
        <v>19</v>
      </c>
      <c r="AL934" t="n">
        <v>6</v>
      </c>
      <c r="AM934" t="n">
        <v>6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HYPERLINK("http://catalog.hathitrust.org/Record/000779573","HathiTrust Record")</f>
        <v/>
      </c>
      <c r="AS934">
        <f>HYPERLINK("https://creighton-primo.hosted.exlibrisgroup.com/primo-explore/search?tab=default_tab&amp;search_scope=EVERYTHING&amp;vid=01CRU&amp;lang=en_US&amp;offset=0&amp;query=any,contains,991000287229702656","Catalog Record")</f>
        <v/>
      </c>
      <c r="AT934">
        <f>HYPERLINK("http://www.worldcat.org/oclc/9945027","WorldCat Record")</f>
        <v/>
      </c>
      <c r="AU934" t="inlineStr">
        <is>
          <t>5090428713:eng</t>
        </is>
      </c>
      <c r="AV934" t="inlineStr">
        <is>
          <t>9945027</t>
        </is>
      </c>
      <c r="AW934" t="inlineStr">
        <is>
          <t>991000287229702656</t>
        </is>
      </c>
      <c r="AX934" t="inlineStr">
        <is>
          <t>991000287229702656</t>
        </is>
      </c>
      <c r="AY934" t="inlineStr">
        <is>
          <t>2264231250002656</t>
        </is>
      </c>
      <c r="AZ934" t="inlineStr">
        <is>
          <t>BOOK</t>
        </is>
      </c>
      <c r="BB934" t="inlineStr">
        <is>
          <t>9780805774290</t>
        </is>
      </c>
      <c r="BC934" t="inlineStr">
        <is>
          <t>32285000262690</t>
        </is>
      </c>
      <c r="BD934" t="inlineStr">
        <is>
          <t>893589319</t>
        </is>
      </c>
    </row>
    <row r="935">
      <c r="A935" t="inlineStr">
        <is>
          <t>No</t>
        </is>
      </c>
      <c r="B935" t="inlineStr">
        <is>
          <t>PS3543.E57 D6 1929</t>
        </is>
      </c>
      <c r="C935" t="inlineStr">
        <is>
          <t>0                      PS 3543000E  57                 D  6           1929</t>
        </is>
      </c>
      <c r="D935" t="inlineStr">
        <is>
          <t>'Dobe walls : a story of Kit Carson's Southwest / by Stanley Vestal.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Vestal, Stanley, 1887-1957.</t>
        </is>
      </c>
      <c r="L935" t="inlineStr">
        <is>
          <t>Boston ; New York : Houghton Mifflin Company, 1929.</t>
        </is>
      </c>
      <c r="M935" t="inlineStr">
        <is>
          <t>1929</t>
        </is>
      </c>
      <c r="O935" t="inlineStr">
        <is>
          <t>eng</t>
        </is>
      </c>
      <c r="P935" t="inlineStr">
        <is>
          <t>mau</t>
        </is>
      </c>
      <c r="R935" t="inlineStr">
        <is>
          <t xml:space="preserve">PS </t>
        </is>
      </c>
      <c r="S935" t="n">
        <v>1</v>
      </c>
      <c r="T935" t="n">
        <v>1</v>
      </c>
      <c r="U935" t="inlineStr">
        <is>
          <t>2003-05-28</t>
        </is>
      </c>
      <c r="V935" t="inlineStr">
        <is>
          <t>2003-05-28</t>
        </is>
      </c>
      <c r="W935" t="inlineStr">
        <is>
          <t>2003-05-28</t>
        </is>
      </c>
      <c r="X935" t="inlineStr">
        <is>
          <t>2003-05-28</t>
        </is>
      </c>
      <c r="Y935" t="n">
        <v>132</v>
      </c>
      <c r="Z935" t="n">
        <v>131</v>
      </c>
      <c r="AA935" t="n">
        <v>133</v>
      </c>
      <c r="AB935" t="n">
        <v>2</v>
      </c>
      <c r="AC935" t="n">
        <v>2</v>
      </c>
      <c r="AD935" t="n">
        <v>3</v>
      </c>
      <c r="AE935" t="n">
        <v>3</v>
      </c>
      <c r="AF935" t="n">
        <v>0</v>
      </c>
      <c r="AG935" t="n">
        <v>0</v>
      </c>
      <c r="AH935" t="n">
        <v>0</v>
      </c>
      <c r="AI935" t="n">
        <v>0</v>
      </c>
      <c r="AJ935" t="n">
        <v>1</v>
      </c>
      <c r="AK935" t="n">
        <v>1</v>
      </c>
      <c r="AL935" t="n">
        <v>1</v>
      </c>
      <c r="AM935" t="n">
        <v>1</v>
      </c>
      <c r="AN935" t="n">
        <v>1</v>
      </c>
      <c r="AO935" t="n">
        <v>1</v>
      </c>
      <c r="AP935" t="inlineStr">
        <is>
          <t>No</t>
        </is>
      </c>
      <c r="AQ935" t="inlineStr">
        <is>
          <t>Yes</t>
        </is>
      </c>
      <c r="AR935">
        <f>HYPERLINK("http://catalog.hathitrust.org/Record/006541661","HathiTrust Record")</f>
        <v/>
      </c>
      <c r="AS935">
        <f>HYPERLINK("https://creighton-primo.hosted.exlibrisgroup.com/primo-explore/search?tab=default_tab&amp;search_scope=EVERYTHING&amp;vid=01CRU&amp;lang=en_US&amp;offset=0&amp;query=any,contains,991004065249702656","Catalog Record")</f>
        <v/>
      </c>
      <c r="AT935">
        <f>HYPERLINK("http://www.worldcat.org/oclc/1836437","WorldCat Record")</f>
        <v/>
      </c>
      <c r="AU935" t="inlineStr">
        <is>
          <t>2752598:eng</t>
        </is>
      </c>
      <c r="AV935" t="inlineStr">
        <is>
          <t>1836437</t>
        </is>
      </c>
      <c r="AW935" t="inlineStr">
        <is>
          <t>991004065249702656</t>
        </is>
      </c>
      <c r="AX935" t="inlineStr">
        <is>
          <t>991004065249702656</t>
        </is>
      </c>
      <c r="AY935" t="inlineStr">
        <is>
          <t>2257546880002656</t>
        </is>
      </c>
      <c r="AZ935" t="inlineStr">
        <is>
          <t>BOOK</t>
        </is>
      </c>
      <c r="BC935" t="inlineStr">
        <is>
          <t>32285004749205</t>
        </is>
      </c>
      <c r="BD935" t="inlineStr">
        <is>
          <t>893331171</t>
        </is>
      </c>
    </row>
    <row r="936">
      <c r="A936" t="inlineStr">
        <is>
          <t>No</t>
        </is>
      </c>
      <c r="B936" t="inlineStr">
        <is>
          <t>PS3543.I32 Z7</t>
        </is>
      </c>
      <c r="C936" t="inlineStr">
        <is>
          <t>0                      PS 3543000I  32                 Z  7</t>
        </is>
      </c>
      <c r="D936" t="inlineStr">
        <is>
          <t>George Sylvester Viereck, German-American propagandist [by] Niel M. Johnson.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K936" t="inlineStr">
        <is>
          <t>Johnson, Niel M.</t>
        </is>
      </c>
      <c r="L936" t="inlineStr">
        <is>
          <t>Urbana, University of Illinois Press [1972]</t>
        </is>
      </c>
      <c r="M936" t="inlineStr">
        <is>
          <t>1972</t>
        </is>
      </c>
      <c r="O936" t="inlineStr">
        <is>
          <t>eng</t>
        </is>
      </c>
      <c r="P936" t="inlineStr">
        <is>
          <t>ilu</t>
        </is>
      </c>
      <c r="R936" t="inlineStr">
        <is>
          <t xml:space="preserve">PS </t>
        </is>
      </c>
      <c r="S936" t="n">
        <v>0</v>
      </c>
      <c r="T936" t="n">
        <v>0</v>
      </c>
      <c r="U936" t="inlineStr">
        <is>
          <t>2005-12-13</t>
        </is>
      </c>
      <c r="V936" t="inlineStr">
        <is>
          <t>2005-12-13</t>
        </is>
      </c>
      <c r="W936" t="inlineStr">
        <is>
          <t>1997-06-19</t>
        </is>
      </c>
      <c r="X936" t="inlineStr">
        <is>
          <t>1997-06-19</t>
        </is>
      </c>
      <c r="Y936" t="n">
        <v>454</v>
      </c>
      <c r="Z936" t="n">
        <v>407</v>
      </c>
      <c r="AA936" t="n">
        <v>410</v>
      </c>
      <c r="AB936" t="n">
        <v>2</v>
      </c>
      <c r="AC936" t="n">
        <v>2</v>
      </c>
      <c r="AD936" t="n">
        <v>18</v>
      </c>
      <c r="AE936" t="n">
        <v>18</v>
      </c>
      <c r="AF936" t="n">
        <v>4</v>
      </c>
      <c r="AG936" t="n">
        <v>4</v>
      </c>
      <c r="AH936" t="n">
        <v>6</v>
      </c>
      <c r="AI936" t="n">
        <v>6</v>
      </c>
      <c r="AJ936" t="n">
        <v>12</v>
      </c>
      <c r="AK936" t="n">
        <v>12</v>
      </c>
      <c r="AL936" t="n">
        <v>1</v>
      </c>
      <c r="AM936" t="n">
        <v>1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HYPERLINK("http://catalog.hathitrust.org/Record/001187729","HathiTrust Record")</f>
        <v/>
      </c>
      <c r="AS936">
        <f>HYPERLINK("https://creighton-primo.hosted.exlibrisgroup.com/primo-explore/search?tab=default_tab&amp;search_scope=EVERYTHING&amp;vid=01CRU&amp;lang=en_US&amp;offset=0&amp;query=any,contains,991002432959702656","Catalog Record")</f>
        <v/>
      </c>
      <c r="AT936">
        <f>HYPERLINK("http://www.worldcat.org/oclc/347782","WorldCat Record")</f>
        <v/>
      </c>
      <c r="AU936" t="inlineStr">
        <is>
          <t>1501040:eng</t>
        </is>
      </c>
      <c r="AV936" t="inlineStr">
        <is>
          <t>347782</t>
        </is>
      </c>
      <c r="AW936" t="inlineStr">
        <is>
          <t>991002432959702656</t>
        </is>
      </c>
      <c r="AX936" t="inlineStr">
        <is>
          <t>991002432959702656</t>
        </is>
      </c>
      <c r="AY936" t="inlineStr">
        <is>
          <t>2272649810002656</t>
        </is>
      </c>
      <c r="AZ936" t="inlineStr">
        <is>
          <t>BOOK</t>
        </is>
      </c>
      <c r="BB936" t="inlineStr">
        <is>
          <t>9780252002229</t>
        </is>
      </c>
      <c r="BC936" t="inlineStr">
        <is>
          <t>32285002845211</t>
        </is>
      </c>
      <c r="BD936" t="inlineStr">
        <is>
          <t>893347488</t>
        </is>
      </c>
    </row>
    <row r="937">
      <c r="A937" t="inlineStr">
        <is>
          <t>No</t>
        </is>
      </c>
      <c r="B937" t="inlineStr">
        <is>
          <t>PS3545 .O76 1906</t>
        </is>
      </c>
      <c r="C937" t="inlineStr">
        <is>
          <t>0                      PS 3545000O  76          1906</t>
        </is>
      </c>
      <c r="D937" t="inlineStr">
        <is>
          <t>The Beauties of friendship / edited by Samuel Francis Woolard.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Woolard, Samuel Francis.</t>
        </is>
      </c>
      <c r="L937" t="inlineStr">
        <is>
          <t>Wichita, Kan. : Goldsmith Book &amp; Stationary, 1906.</t>
        </is>
      </c>
      <c r="M937" t="inlineStr">
        <is>
          <t>1906</t>
        </is>
      </c>
      <c r="O937" t="inlineStr">
        <is>
          <t>eng</t>
        </is>
      </c>
      <c r="P937" t="inlineStr">
        <is>
          <t>ksu</t>
        </is>
      </c>
      <c r="R937" t="inlineStr">
        <is>
          <t xml:space="preserve">PS </t>
        </is>
      </c>
      <c r="S937" t="n">
        <v>2</v>
      </c>
      <c r="T937" t="n">
        <v>2</v>
      </c>
      <c r="U937" t="inlineStr">
        <is>
          <t>1999-10-22</t>
        </is>
      </c>
      <c r="V937" t="inlineStr">
        <is>
          <t>1999-10-22</t>
        </is>
      </c>
      <c r="W937" t="inlineStr">
        <is>
          <t>1997-06-25</t>
        </is>
      </c>
      <c r="X937" t="inlineStr">
        <is>
          <t>1997-06-25</t>
        </is>
      </c>
      <c r="Y937" t="n">
        <v>26</v>
      </c>
      <c r="Z937" t="n">
        <v>26</v>
      </c>
      <c r="AA937" t="n">
        <v>64</v>
      </c>
      <c r="AB937" t="n">
        <v>1</v>
      </c>
      <c r="AC937" t="n">
        <v>1</v>
      </c>
      <c r="AD937" t="n">
        <v>1</v>
      </c>
      <c r="AE937" t="n">
        <v>2</v>
      </c>
      <c r="AF937" t="n">
        <v>1</v>
      </c>
      <c r="AG937" t="n">
        <v>1</v>
      </c>
      <c r="AH937" t="n">
        <v>0</v>
      </c>
      <c r="AI937" t="n">
        <v>0</v>
      </c>
      <c r="AJ937" t="n">
        <v>0</v>
      </c>
      <c r="AK937" t="n">
        <v>1</v>
      </c>
      <c r="AL937" t="n">
        <v>0</v>
      </c>
      <c r="AM937" t="n">
        <v>0</v>
      </c>
      <c r="AN937" t="n">
        <v>0</v>
      </c>
      <c r="AO937" t="n">
        <v>0</v>
      </c>
      <c r="AP937" t="inlineStr">
        <is>
          <t>No</t>
        </is>
      </c>
      <c r="AQ937" t="inlineStr">
        <is>
          <t>No</t>
        </is>
      </c>
      <c r="AS937">
        <f>HYPERLINK("https://creighton-primo.hosted.exlibrisgroup.com/primo-explore/search?tab=default_tab&amp;search_scope=EVERYTHING&amp;vid=01CRU&amp;lang=en_US&amp;offset=0&amp;query=any,contains,991000727819702656","Catalog Record")</f>
        <v/>
      </c>
      <c r="AT937">
        <f>HYPERLINK("http://www.worldcat.org/oclc/12714766","WorldCat Record")</f>
        <v/>
      </c>
      <c r="AU937" t="inlineStr">
        <is>
          <t>5438346:eng</t>
        </is>
      </c>
      <c r="AV937" t="inlineStr">
        <is>
          <t>12714766</t>
        </is>
      </c>
      <c r="AW937" t="inlineStr">
        <is>
          <t>991000727819702656</t>
        </is>
      </c>
      <c r="AX937" t="inlineStr">
        <is>
          <t>991000727819702656</t>
        </is>
      </c>
      <c r="AY937" t="inlineStr">
        <is>
          <t>2265872470002656</t>
        </is>
      </c>
      <c r="AZ937" t="inlineStr">
        <is>
          <t>BOOK</t>
        </is>
      </c>
      <c r="BC937" t="inlineStr">
        <is>
          <t>32285002846854</t>
        </is>
      </c>
      <c r="BD937" t="inlineStr">
        <is>
          <t>893614451</t>
        </is>
      </c>
    </row>
    <row r="938">
      <c r="A938" t="inlineStr">
        <is>
          <t>No</t>
        </is>
      </c>
      <c r="B938" t="inlineStr">
        <is>
          <t>PS3545.A748 Z66</t>
        </is>
      </c>
      <c r="C938" t="inlineStr">
        <is>
          <t>0                      PS 3545000A  748                Z  66</t>
        </is>
      </c>
      <c r="D938" t="inlineStr">
        <is>
          <t>Critical essays on Robert Penn Warren / [compiled by] William Bedford Clark.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L938" t="inlineStr">
        <is>
          <t>Boston, Mass. : G.K. Hall, c1981.</t>
        </is>
      </c>
      <c r="M938" t="inlineStr">
        <is>
          <t>1981</t>
        </is>
      </c>
      <c r="O938" t="inlineStr">
        <is>
          <t>eng</t>
        </is>
      </c>
      <c r="P938" t="inlineStr">
        <is>
          <t>mau</t>
        </is>
      </c>
      <c r="Q938" t="inlineStr">
        <is>
          <t>Critical essays on American literature</t>
        </is>
      </c>
      <c r="R938" t="inlineStr">
        <is>
          <t xml:space="preserve">PS </t>
        </is>
      </c>
      <c r="S938" t="n">
        <v>2</v>
      </c>
      <c r="T938" t="n">
        <v>2</v>
      </c>
      <c r="U938" t="inlineStr">
        <is>
          <t>1992-02-13</t>
        </is>
      </c>
      <c r="V938" t="inlineStr">
        <is>
          <t>1992-02-13</t>
        </is>
      </c>
      <c r="W938" t="inlineStr">
        <is>
          <t>1990-12-10</t>
        </is>
      </c>
      <c r="X938" t="inlineStr">
        <is>
          <t>1990-12-10</t>
        </is>
      </c>
      <c r="Y938" t="n">
        <v>730</v>
      </c>
      <c r="Z938" t="n">
        <v>664</v>
      </c>
      <c r="AA938" t="n">
        <v>669</v>
      </c>
      <c r="AB938" t="n">
        <v>7</v>
      </c>
      <c r="AC938" t="n">
        <v>7</v>
      </c>
      <c r="AD938" t="n">
        <v>35</v>
      </c>
      <c r="AE938" t="n">
        <v>35</v>
      </c>
      <c r="AF938" t="n">
        <v>17</v>
      </c>
      <c r="AG938" t="n">
        <v>17</v>
      </c>
      <c r="AH938" t="n">
        <v>10</v>
      </c>
      <c r="AI938" t="n">
        <v>10</v>
      </c>
      <c r="AJ938" t="n">
        <v>13</v>
      </c>
      <c r="AK938" t="n">
        <v>13</v>
      </c>
      <c r="AL938" t="n">
        <v>6</v>
      </c>
      <c r="AM938" t="n">
        <v>6</v>
      </c>
      <c r="AN938" t="n">
        <v>0</v>
      </c>
      <c r="AO938" t="n">
        <v>0</v>
      </c>
      <c r="AP938" t="inlineStr">
        <is>
          <t>No</t>
        </is>
      </c>
      <c r="AQ938" t="inlineStr">
        <is>
          <t>No</t>
        </is>
      </c>
      <c r="AS938">
        <f>HYPERLINK("https://creighton-primo.hosted.exlibrisgroup.com/primo-explore/search?tab=default_tab&amp;search_scope=EVERYTHING&amp;vid=01CRU&amp;lang=en_US&amp;offset=0&amp;query=any,contains,991005081799702656","Catalog Record")</f>
        <v/>
      </c>
      <c r="AT938">
        <f>HYPERLINK("http://www.worldcat.org/oclc/7173082","WorldCat Record")</f>
        <v/>
      </c>
      <c r="AU938" t="inlineStr">
        <is>
          <t>26017498:eng</t>
        </is>
      </c>
      <c r="AV938" t="inlineStr">
        <is>
          <t>7173082</t>
        </is>
      </c>
      <c r="AW938" t="inlineStr">
        <is>
          <t>991005081799702656</t>
        </is>
      </c>
      <c r="AX938" t="inlineStr">
        <is>
          <t>991005081799702656</t>
        </is>
      </c>
      <c r="AY938" t="inlineStr">
        <is>
          <t>2256894400002656</t>
        </is>
      </c>
      <c r="AZ938" t="inlineStr">
        <is>
          <t>BOOK</t>
        </is>
      </c>
      <c r="BB938" t="inlineStr">
        <is>
          <t>9780816184248</t>
        </is>
      </c>
      <c r="BC938" t="inlineStr">
        <is>
          <t>32285000418631</t>
        </is>
      </c>
      <c r="BD938" t="inlineStr">
        <is>
          <t>893782988</t>
        </is>
      </c>
    </row>
    <row r="939">
      <c r="A939" t="inlineStr">
        <is>
          <t>No</t>
        </is>
      </c>
      <c r="B939" t="inlineStr">
        <is>
          <t>PS3545.A748 Z77</t>
        </is>
      </c>
      <c r="C939" t="inlineStr">
        <is>
          <t>0                      PS 3545000A  748                Z  77</t>
        </is>
      </c>
      <c r="D939" t="inlineStr">
        <is>
          <t>Robert Penn Warren : a collection of critical essays.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K939" t="inlineStr">
        <is>
          <t>Longley, John Lewis, editor.</t>
        </is>
      </c>
      <c r="L939" t="inlineStr">
        <is>
          <t>[New York] : New York University Press, 1965.</t>
        </is>
      </c>
      <c r="M939" t="inlineStr">
        <is>
          <t>1965</t>
        </is>
      </c>
      <c r="O939" t="inlineStr">
        <is>
          <t>eng</t>
        </is>
      </c>
      <c r="P939" t="inlineStr">
        <is>
          <t>nyu</t>
        </is>
      </c>
      <c r="R939" t="inlineStr">
        <is>
          <t xml:space="preserve">PS </t>
        </is>
      </c>
      <c r="S939" t="n">
        <v>2</v>
      </c>
      <c r="T939" t="n">
        <v>2</v>
      </c>
      <c r="U939" t="inlineStr">
        <is>
          <t>1992-02-13</t>
        </is>
      </c>
      <c r="V939" t="inlineStr">
        <is>
          <t>1992-02-13</t>
        </is>
      </c>
      <c r="W939" t="inlineStr">
        <is>
          <t>1991-05-15</t>
        </is>
      </c>
      <c r="X939" t="inlineStr">
        <is>
          <t>1991-05-15</t>
        </is>
      </c>
      <c r="Y939" t="n">
        <v>1133</v>
      </c>
      <c r="Z939" t="n">
        <v>1028</v>
      </c>
      <c r="AA939" t="n">
        <v>1079</v>
      </c>
      <c r="AB939" t="n">
        <v>8</v>
      </c>
      <c r="AC939" t="n">
        <v>8</v>
      </c>
      <c r="AD939" t="n">
        <v>41</v>
      </c>
      <c r="AE939" t="n">
        <v>43</v>
      </c>
      <c r="AF939" t="n">
        <v>16</v>
      </c>
      <c r="AG939" t="n">
        <v>18</v>
      </c>
      <c r="AH939" t="n">
        <v>9</v>
      </c>
      <c r="AI939" t="n">
        <v>9</v>
      </c>
      <c r="AJ939" t="n">
        <v>21</v>
      </c>
      <c r="AK939" t="n">
        <v>22</v>
      </c>
      <c r="AL939" t="n">
        <v>6</v>
      </c>
      <c r="AM939" t="n">
        <v>6</v>
      </c>
      <c r="AN939" t="n">
        <v>0</v>
      </c>
      <c r="AO939" t="n">
        <v>0</v>
      </c>
      <c r="AP939" t="inlineStr">
        <is>
          <t>No</t>
        </is>
      </c>
      <c r="AQ939" t="inlineStr">
        <is>
          <t>No</t>
        </is>
      </c>
      <c r="AS939">
        <f>HYPERLINK("https://creighton-primo.hosted.exlibrisgroup.com/primo-explore/search?tab=default_tab&amp;search_scope=EVERYTHING&amp;vid=01CRU&amp;lang=en_US&amp;offset=0&amp;query=any,contains,991001372709702656","Catalog Record")</f>
        <v/>
      </c>
      <c r="AT939">
        <f>HYPERLINK("http://www.worldcat.org/oclc/224105","WorldCat Record")</f>
        <v/>
      </c>
      <c r="AU939" t="inlineStr">
        <is>
          <t>3856350295:eng</t>
        </is>
      </c>
      <c r="AV939" t="inlineStr">
        <is>
          <t>224105</t>
        </is>
      </c>
      <c r="AW939" t="inlineStr">
        <is>
          <t>991001372709702656</t>
        </is>
      </c>
      <c r="AX939" t="inlineStr">
        <is>
          <t>991001372709702656</t>
        </is>
      </c>
      <c r="AY939" t="inlineStr">
        <is>
          <t>2264084670002656</t>
        </is>
      </c>
      <c r="AZ939" t="inlineStr">
        <is>
          <t>BOOK</t>
        </is>
      </c>
      <c r="BC939" t="inlineStr">
        <is>
          <t>32285000595412</t>
        </is>
      </c>
      <c r="BD939" t="inlineStr">
        <is>
          <t>893696692</t>
        </is>
      </c>
    </row>
    <row r="940">
      <c r="A940" t="inlineStr">
        <is>
          <t>No</t>
        </is>
      </c>
      <c r="B940" t="inlineStr">
        <is>
          <t>PS3545.E6 Z75</t>
        </is>
      </c>
      <c r="C940" t="inlineStr">
        <is>
          <t>0                      PS 3545000E  6                  Z  75</t>
        </is>
      </c>
      <c r="D940" t="inlineStr">
        <is>
          <t>Eudora Welty's achievement of order / Michael Kreyling.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Kreyling, Michael, 1948-</t>
        </is>
      </c>
      <c r="L940" t="inlineStr">
        <is>
          <t>Baton Rouge : Louisiana State University Press, c1979.</t>
        </is>
      </c>
      <c r="M940" t="inlineStr">
        <is>
          <t>1979</t>
        </is>
      </c>
      <c r="O940" t="inlineStr">
        <is>
          <t>eng</t>
        </is>
      </c>
      <c r="P940" t="inlineStr">
        <is>
          <t>lau</t>
        </is>
      </c>
      <c r="Q940" t="inlineStr">
        <is>
          <t>Southern literary studies</t>
        </is>
      </c>
      <c r="R940" t="inlineStr">
        <is>
          <t xml:space="preserve">PS </t>
        </is>
      </c>
      <c r="S940" t="n">
        <v>1</v>
      </c>
      <c r="T940" t="n">
        <v>1</v>
      </c>
      <c r="U940" t="inlineStr">
        <is>
          <t>2001-04-20</t>
        </is>
      </c>
      <c r="V940" t="inlineStr">
        <is>
          <t>2001-04-20</t>
        </is>
      </c>
      <c r="W940" t="inlineStr">
        <is>
          <t>1990-12-10</t>
        </is>
      </c>
      <c r="X940" t="inlineStr">
        <is>
          <t>1990-12-10</t>
        </is>
      </c>
      <c r="Y940" t="n">
        <v>952</v>
      </c>
      <c r="Z940" t="n">
        <v>854</v>
      </c>
      <c r="AA940" t="n">
        <v>875</v>
      </c>
      <c r="AB940" t="n">
        <v>7</v>
      </c>
      <c r="AC940" t="n">
        <v>8</v>
      </c>
      <c r="AD940" t="n">
        <v>38</v>
      </c>
      <c r="AE940" t="n">
        <v>39</v>
      </c>
      <c r="AF940" t="n">
        <v>16</v>
      </c>
      <c r="AG940" t="n">
        <v>16</v>
      </c>
      <c r="AH940" t="n">
        <v>8</v>
      </c>
      <c r="AI940" t="n">
        <v>8</v>
      </c>
      <c r="AJ940" t="n">
        <v>16</v>
      </c>
      <c r="AK940" t="n">
        <v>16</v>
      </c>
      <c r="AL940" t="n">
        <v>6</v>
      </c>
      <c r="AM940" t="n">
        <v>7</v>
      </c>
      <c r="AN940" t="n">
        <v>0</v>
      </c>
      <c r="AO940" t="n">
        <v>0</v>
      </c>
      <c r="AP940" t="inlineStr">
        <is>
          <t>No</t>
        </is>
      </c>
      <c r="AQ940" t="inlineStr">
        <is>
          <t>No</t>
        </is>
      </c>
      <c r="AS940">
        <f>HYPERLINK("https://creighton-primo.hosted.exlibrisgroup.com/primo-explore/search?tab=default_tab&amp;search_scope=EVERYTHING&amp;vid=01CRU&amp;lang=en_US&amp;offset=0&amp;query=any,contains,991004754639702656","Catalog Record")</f>
        <v/>
      </c>
      <c r="AT940">
        <f>HYPERLINK("http://www.worldcat.org/oclc/4957184","WorldCat Record")</f>
        <v/>
      </c>
      <c r="AU940" t="inlineStr">
        <is>
          <t>15140079:eng</t>
        </is>
      </c>
      <c r="AV940" t="inlineStr">
        <is>
          <t>4957184</t>
        </is>
      </c>
      <c r="AW940" t="inlineStr">
        <is>
          <t>991004754639702656</t>
        </is>
      </c>
      <c r="AX940" t="inlineStr">
        <is>
          <t>991004754639702656</t>
        </is>
      </c>
      <c r="AY940" t="inlineStr">
        <is>
          <t>2270611710002656</t>
        </is>
      </c>
      <c r="AZ940" t="inlineStr">
        <is>
          <t>BOOK</t>
        </is>
      </c>
      <c r="BB940" t="inlineStr">
        <is>
          <t>9780807105535</t>
        </is>
      </c>
      <c r="BC940" t="inlineStr">
        <is>
          <t>32285000418748</t>
        </is>
      </c>
      <c r="BD940" t="inlineStr">
        <is>
          <t>893882900</t>
        </is>
      </c>
    </row>
    <row r="941">
      <c r="A941" t="inlineStr">
        <is>
          <t>No</t>
        </is>
      </c>
      <c r="B941" t="inlineStr">
        <is>
          <t>PS3545.E6 Z775 1996</t>
        </is>
      </c>
      <c r="C941" t="inlineStr">
        <is>
          <t>0                      PS 3545000E  6                  Z  775         1996</t>
        </is>
      </c>
      <c r="D941" t="inlineStr">
        <is>
          <t>More conversations with Eudora Welty / edited by Peggy Whitman Prenshaw.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L941" t="inlineStr">
        <is>
          <t>Jackson, MS : University Press of Mississippi, 1996.</t>
        </is>
      </c>
      <c r="M941" t="inlineStr">
        <is>
          <t>1996</t>
        </is>
      </c>
      <c r="O941" t="inlineStr">
        <is>
          <t>eng</t>
        </is>
      </c>
      <c r="P941" t="inlineStr">
        <is>
          <t>msu</t>
        </is>
      </c>
      <c r="Q941" t="inlineStr">
        <is>
          <t>Literary conversations series</t>
        </is>
      </c>
      <c r="R941" t="inlineStr">
        <is>
          <t xml:space="preserve">PS </t>
        </is>
      </c>
      <c r="S941" t="n">
        <v>3</v>
      </c>
      <c r="T941" t="n">
        <v>3</v>
      </c>
      <c r="U941" t="inlineStr">
        <is>
          <t>2001-04-20</t>
        </is>
      </c>
      <c r="V941" t="inlineStr">
        <is>
          <t>2001-04-20</t>
        </is>
      </c>
      <c r="W941" t="inlineStr">
        <is>
          <t>1996-06-12</t>
        </is>
      </c>
      <c r="X941" t="inlineStr">
        <is>
          <t>1996-06-12</t>
        </is>
      </c>
      <c r="Y941" t="n">
        <v>577</v>
      </c>
      <c r="Z941" t="n">
        <v>527</v>
      </c>
      <c r="AA941" t="n">
        <v>534</v>
      </c>
      <c r="AB941" t="n">
        <v>4</v>
      </c>
      <c r="AC941" t="n">
        <v>4</v>
      </c>
      <c r="AD941" t="n">
        <v>26</v>
      </c>
      <c r="AE941" t="n">
        <v>26</v>
      </c>
      <c r="AF941" t="n">
        <v>11</v>
      </c>
      <c r="AG941" t="n">
        <v>11</v>
      </c>
      <c r="AH941" t="n">
        <v>4</v>
      </c>
      <c r="AI941" t="n">
        <v>4</v>
      </c>
      <c r="AJ941" t="n">
        <v>14</v>
      </c>
      <c r="AK941" t="n">
        <v>14</v>
      </c>
      <c r="AL941" t="n">
        <v>3</v>
      </c>
      <c r="AM941" t="n">
        <v>3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HYPERLINK("http://catalog.hathitrust.org/Record/003071370","HathiTrust Record")</f>
        <v/>
      </c>
      <c r="AS941">
        <f>HYPERLINK("https://creighton-primo.hosted.exlibrisgroup.com/primo-explore/search?tab=default_tab&amp;search_scope=EVERYTHING&amp;vid=01CRU&amp;lang=en_US&amp;offset=0&amp;query=any,contains,991002560009702656","Catalog Record")</f>
        <v/>
      </c>
      <c r="AT941">
        <f>HYPERLINK("http://www.worldcat.org/oclc/33276779","WorldCat Record")</f>
        <v/>
      </c>
      <c r="AU941" t="inlineStr">
        <is>
          <t>3856700927:eng</t>
        </is>
      </c>
      <c r="AV941" t="inlineStr">
        <is>
          <t>33276779</t>
        </is>
      </c>
      <c r="AW941" t="inlineStr">
        <is>
          <t>991002560009702656</t>
        </is>
      </c>
      <c r="AX941" t="inlineStr">
        <is>
          <t>991002560009702656</t>
        </is>
      </c>
      <c r="AY941" t="inlineStr">
        <is>
          <t>2257804520002656</t>
        </is>
      </c>
      <c r="AZ941" t="inlineStr">
        <is>
          <t>BOOK</t>
        </is>
      </c>
      <c r="BB941" t="inlineStr">
        <is>
          <t>9780878058648</t>
        </is>
      </c>
      <c r="BC941" t="inlineStr">
        <is>
          <t>32285002191657</t>
        </is>
      </c>
      <c r="BD941" t="inlineStr">
        <is>
          <t>893804742</t>
        </is>
      </c>
    </row>
    <row r="942">
      <c r="A942" t="inlineStr">
        <is>
          <t>No</t>
        </is>
      </c>
      <c r="B942" t="inlineStr">
        <is>
          <t>PS3545.E6 Z9</t>
        </is>
      </c>
      <c r="C942" t="inlineStr">
        <is>
          <t>0                      PS 3545000E  6                  Z  9</t>
        </is>
      </c>
      <c r="D942" t="inlineStr">
        <is>
          <t>Eudora Welty.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Yes</t>
        </is>
      </c>
      <c r="J942" t="inlineStr">
        <is>
          <t>0</t>
        </is>
      </c>
      <c r="K942" t="inlineStr">
        <is>
          <t>Vande Kieft, Ruth M. (Ruth Marguerite), 1925-</t>
        </is>
      </c>
      <c r="L942" t="inlineStr">
        <is>
          <t>New York : Twayne Publishers, [1962]</t>
        </is>
      </c>
      <c r="M942" t="inlineStr">
        <is>
          <t>1962</t>
        </is>
      </c>
      <c r="O942" t="inlineStr">
        <is>
          <t>eng</t>
        </is>
      </c>
      <c r="P942" t="inlineStr">
        <is>
          <t>nyu</t>
        </is>
      </c>
      <c r="Q942" t="inlineStr">
        <is>
          <t>Twayne's United States authors series, 15</t>
        </is>
      </c>
      <c r="R942" t="inlineStr">
        <is>
          <t xml:space="preserve">PS </t>
        </is>
      </c>
      <c r="S942" t="n">
        <v>3</v>
      </c>
      <c r="T942" t="n">
        <v>3</v>
      </c>
      <c r="U942" t="inlineStr">
        <is>
          <t>2001-04-20</t>
        </is>
      </c>
      <c r="V942" t="inlineStr">
        <is>
          <t>2001-04-20</t>
        </is>
      </c>
      <c r="W942" t="inlineStr">
        <is>
          <t>1994-08-29</t>
        </is>
      </c>
      <c r="X942" t="inlineStr">
        <is>
          <t>1994-08-29</t>
        </is>
      </c>
      <c r="Y942" t="n">
        <v>1692</v>
      </c>
      <c r="Z942" t="n">
        <v>1576</v>
      </c>
      <c r="AA942" t="n">
        <v>2179</v>
      </c>
      <c r="AB942" t="n">
        <v>14</v>
      </c>
      <c r="AC942" t="n">
        <v>17</v>
      </c>
      <c r="AD942" t="n">
        <v>50</v>
      </c>
      <c r="AE942" t="n">
        <v>62</v>
      </c>
      <c r="AF942" t="n">
        <v>21</v>
      </c>
      <c r="AG942" t="n">
        <v>27</v>
      </c>
      <c r="AH942" t="n">
        <v>7</v>
      </c>
      <c r="AI942" t="n">
        <v>9</v>
      </c>
      <c r="AJ942" t="n">
        <v>20</v>
      </c>
      <c r="AK942" t="n">
        <v>26</v>
      </c>
      <c r="AL942" t="n">
        <v>12</v>
      </c>
      <c r="AM942" t="n">
        <v>13</v>
      </c>
      <c r="AN942" t="n">
        <v>0</v>
      </c>
      <c r="AO942" t="n">
        <v>0</v>
      </c>
      <c r="AP942" t="inlineStr">
        <is>
          <t>No</t>
        </is>
      </c>
      <c r="AQ942" t="inlineStr">
        <is>
          <t>No</t>
        </is>
      </c>
      <c r="AR942">
        <f>HYPERLINK("http://catalog.hathitrust.org/Record/001029653","HathiTrust Record")</f>
        <v/>
      </c>
      <c r="AS942">
        <f>HYPERLINK("https://creighton-primo.hosted.exlibrisgroup.com/primo-explore/search?tab=default_tab&amp;search_scope=EVERYTHING&amp;vid=01CRU&amp;lang=en_US&amp;offset=0&amp;query=any,contains,991002223679702656","Catalog Record")</f>
        <v/>
      </c>
      <c r="AT942">
        <f>HYPERLINK("http://www.worldcat.org/oclc/290963","WorldCat Record")</f>
        <v/>
      </c>
      <c r="AU942" t="inlineStr">
        <is>
          <t>1472903:eng</t>
        </is>
      </c>
      <c r="AV942" t="inlineStr">
        <is>
          <t>290963</t>
        </is>
      </c>
      <c r="AW942" t="inlineStr">
        <is>
          <t>991002223679702656</t>
        </is>
      </c>
      <c r="AX942" t="inlineStr">
        <is>
          <t>991002223679702656</t>
        </is>
      </c>
      <c r="AY942" t="inlineStr">
        <is>
          <t>2270673540002656</t>
        </is>
      </c>
      <c r="AZ942" t="inlineStr">
        <is>
          <t>BOOK</t>
        </is>
      </c>
      <c r="BB942" t="inlineStr">
        <is>
          <t>9780805707762</t>
        </is>
      </c>
      <c r="BC942" t="inlineStr">
        <is>
          <t>32285001938637</t>
        </is>
      </c>
      <c r="BD942" t="inlineStr">
        <is>
          <t>893523339</t>
        </is>
      </c>
    </row>
    <row r="943">
      <c r="A943" t="inlineStr">
        <is>
          <t>No</t>
        </is>
      </c>
      <c r="B943" t="inlineStr">
        <is>
          <t>PS3545.E6 Z9 1987</t>
        </is>
      </c>
      <c r="C943" t="inlineStr">
        <is>
          <t>0                      PS 3545000E  6                  Z  9           1987</t>
        </is>
      </c>
      <c r="D943" t="inlineStr">
        <is>
          <t>Eudora Welty / by Ruth M. Vande Kieft.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Yes</t>
        </is>
      </c>
      <c r="J943" t="inlineStr">
        <is>
          <t>0</t>
        </is>
      </c>
      <c r="K943" t="inlineStr">
        <is>
          <t>Vande Kieft, Ruth M. (Ruth Marguerite), 1925-</t>
        </is>
      </c>
      <c r="L943" t="inlineStr">
        <is>
          <t>Boston, Mass. : Twayne Publishers, c1987.</t>
        </is>
      </c>
      <c r="M943" t="inlineStr">
        <is>
          <t>1987</t>
        </is>
      </c>
      <c r="N943" t="inlineStr">
        <is>
          <t>Rev. ed.</t>
        </is>
      </c>
      <c r="O943" t="inlineStr">
        <is>
          <t>eng</t>
        </is>
      </c>
      <c r="P943" t="inlineStr">
        <is>
          <t>mau</t>
        </is>
      </c>
      <c r="Q943" t="inlineStr">
        <is>
          <t>Twayne's United States authors series ; TUSAS 15</t>
        </is>
      </c>
      <c r="R943" t="inlineStr">
        <is>
          <t xml:space="preserve">PS </t>
        </is>
      </c>
      <c r="S943" t="n">
        <v>3</v>
      </c>
      <c r="T943" t="n">
        <v>3</v>
      </c>
      <c r="U943" t="inlineStr">
        <is>
          <t>2001-04-20</t>
        </is>
      </c>
      <c r="V943" t="inlineStr">
        <is>
          <t>2001-04-20</t>
        </is>
      </c>
      <c r="W943" t="inlineStr">
        <is>
          <t>1990-12-10</t>
        </is>
      </c>
      <c r="X943" t="inlineStr">
        <is>
          <t>1990-12-10</t>
        </is>
      </c>
      <c r="Y943" t="n">
        <v>1276</v>
      </c>
      <c r="Z943" t="n">
        <v>1175</v>
      </c>
      <c r="AA943" t="n">
        <v>2179</v>
      </c>
      <c r="AB943" t="n">
        <v>8</v>
      </c>
      <c r="AC943" t="n">
        <v>17</v>
      </c>
      <c r="AD943" t="n">
        <v>37</v>
      </c>
      <c r="AE943" t="n">
        <v>62</v>
      </c>
      <c r="AF943" t="n">
        <v>17</v>
      </c>
      <c r="AG943" t="n">
        <v>27</v>
      </c>
      <c r="AH943" t="n">
        <v>6</v>
      </c>
      <c r="AI943" t="n">
        <v>9</v>
      </c>
      <c r="AJ943" t="n">
        <v>19</v>
      </c>
      <c r="AK943" t="n">
        <v>26</v>
      </c>
      <c r="AL943" t="n">
        <v>5</v>
      </c>
      <c r="AM943" t="n">
        <v>13</v>
      </c>
      <c r="AN943" t="n">
        <v>0</v>
      </c>
      <c r="AO943" t="n">
        <v>0</v>
      </c>
      <c r="AP943" t="inlineStr">
        <is>
          <t>No</t>
        </is>
      </c>
      <c r="AQ943" t="inlineStr">
        <is>
          <t>Yes</t>
        </is>
      </c>
      <c r="AR943">
        <f>HYPERLINK("http://catalog.hathitrust.org/Record/000849623","HathiTrust Record")</f>
        <v/>
      </c>
      <c r="AS943">
        <f>HYPERLINK("https://creighton-primo.hosted.exlibrisgroup.com/primo-explore/search?tab=default_tab&amp;search_scope=EVERYTHING&amp;vid=01CRU&amp;lang=en_US&amp;offset=0&amp;query=any,contains,991000926709702656","Catalog Record")</f>
        <v/>
      </c>
      <c r="AT943">
        <f>HYPERLINK("http://www.worldcat.org/oclc/14240715","WorldCat Record")</f>
        <v/>
      </c>
      <c r="AU943" t="inlineStr">
        <is>
          <t>1472903:eng</t>
        </is>
      </c>
      <c r="AV943" t="inlineStr">
        <is>
          <t>14240715</t>
        </is>
      </c>
      <c r="AW943" t="inlineStr">
        <is>
          <t>991000926709702656</t>
        </is>
      </c>
      <c r="AX943" t="inlineStr">
        <is>
          <t>991000926709702656</t>
        </is>
      </c>
      <c r="AY943" t="inlineStr">
        <is>
          <t>2258756140002656</t>
        </is>
      </c>
      <c r="AZ943" t="inlineStr">
        <is>
          <t>BOOK</t>
        </is>
      </c>
      <c r="BB943" t="inlineStr">
        <is>
          <t>9780805774870</t>
        </is>
      </c>
      <c r="BC943" t="inlineStr">
        <is>
          <t>32285000418722</t>
        </is>
      </c>
      <c r="BD943" t="inlineStr">
        <is>
          <t>893891149</t>
        </is>
      </c>
    </row>
    <row r="944">
      <c r="A944" t="inlineStr">
        <is>
          <t>No</t>
        </is>
      </c>
      <c r="B944" t="inlineStr">
        <is>
          <t>PS3545.E6 Z934 1998</t>
        </is>
      </c>
      <c r="C944" t="inlineStr">
        <is>
          <t>0                      PS 3545000E  6                  Z  934         1998</t>
        </is>
      </c>
      <c r="D944" t="inlineStr">
        <is>
          <t>Eudora : a writer's life / Ann Waldron.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K944" t="inlineStr">
        <is>
          <t>Waldron, Ann.</t>
        </is>
      </c>
      <c r="L944" t="inlineStr">
        <is>
          <t>New York : Doubleday, 1998.</t>
        </is>
      </c>
      <c r="M944" t="inlineStr">
        <is>
          <t>1998</t>
        </is>
      </c>
      <c r="N944" t="inlineStr">
        <is>
          <t>1st ed.</t>
        </is>
      </c>
      <c r="O944" t="inlineStr">
        <is>
          <t>eng</t>
        </is>
      </c>
      <c r="P944" t="inlineStr">
        <is>
          <t>nyu</t>
        </is>
      </c>
      <c r="R944" t="inlineStr">
        <is>
          <t xml:space="preserve">PS </t>
        </is>
      </c>
      <c r="S944" t="n">
        <v>4</v>
      </c>
      <c r="T944" t="n">
        <v>4</v>
      </c>
      <c r="U944" t="inlineStr">
        <is>
          <t>2002-04-04</t>
        </is>
      </c>
      <c r="V944" t="inlineStr">
        <is>
          <t>2002-04-04</t>
        </is>
      </c>
      <c r="W944" t="inlineStr">
        <is>
          <t>1999-01-05</t>
        </is>
      </c>
      <c r="X944" t="inlineStr">
        <is>
          <t>1999-01-05</t>
        </is>
      </c>
      <c r="Y944" t="n">
        <v>925</v>
      </c>
      <c r="Z944" t="n">
        <v>865</v>
      </c>
      <c r="AA944" t="n">
        <v>963</v>
      </c>
      <c r="AB944" t="n">
        <v>5</v>
      </c>
      <c r="AC944" t="n">
        <v>6</v>
      </c>
      <c r="AD944" t="n">
        <v>31</v>
      </c>
      <c r="AE944" t="n">
        <v>34</v>
      </c>
      <c r="AF944" t="n">
        <v>15</v>
      </c>
      <c r="AG944" t="n">
        <v>16</v>
      </c>
      <c r="AH944" t="n">
        <v>6</v>
      </c>
      <c r="AI944" t="n">
        <v>7</v>
      </c>
      <c r="AJ944" t="n">
        <v>17</v>
      </c>
      <c r="AK944" t="n">
        <v>17</v>
      </c>
      <c r="AL944" t="n">
        <v>4</v>
      </c>
      <c r="AM944" t="n">
        <v>5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HYPERLINK("http://catalog.hathitrust.org/Record/004007924","HathiTrust Record")</f>
        <v/>
      </c>
      <c r="AS944">
        <f>HYPERLINK("https://creighton-primo.hosted.exlibrisgroup.com/primo-explore/search?tab=default_tab&amp;search_scope=EVERYTHING&amp;vid=01CRU&amp;lang=en_US&amp;offset=0&amp;query=any,contains,991002908179702656","Catalog Record")</f>
        <v/>
      </c>
      <c r="AT944">
        <f>HYPERLINK("http://www.worldcat.org/oclc/38430865","WorldCat Record")</f>
        <v/>
      </c>
      <c r="AU944" t="inlineStr">
        <is>
          <t>15553518:eng</t>
        </is>
      </c>
      <c r="AV944" t="inlineStr">
        <is>
          <t>38430865</t>
        </is>
      </c>
      <c r="AW944" t="inlineStr">
        <is>
          <t>991002908179702656</t>
        </is>
      </c>
      <c r="AX944" t="inlineStr">
        <is>
          <t>991002908179702656</t>
        </is>
      </c>
      <c r="AY944" t="inlineStr">
        <is>
          <t>2257512280002656</t>
        </is>
      </c>
      <c r="AZ944" t="inlineStr">
        <is>
          <t>BOOK</t>
        </is>
      </c>
      <c r="BB944" t="inlineStr">
        <is>
          <t>9780385476478</t>
        </is>
      </c>
      <c r="BC944" t="inlineStr">
        <is>
          <t>32285003509162</t>
        </is>
      </c>
      <c r="BD944" t="inlineStr">
        <is>
          <t>893698417</t>
        </is>
      </c>
    </row>
    <row r="945">
      <c r="A945" t="inlineStr">
        <is>
          <t>No</t>
        </is>
      </c>
      <c r="B945" t="inlineStr">
        <is>
          <t>PS3545.E8334 Z459 1976</t>
        </is>
      </c>
      <c r="C945" t="inlineStr">
        <is>
          <t>0                      PS 3545000E  8334               Z  459         1976</t>
        </is>
      </c>
      <c r="D945" t="inlineStr">
        <is>
          <t>Nathanael West : an annotated bibliography of the scholarship and works / by Dennis P. Vannatta ; with a foreword by Jay Martin.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K945" t="inlineStr">
        <is>
          <t>Vannatta, Dennis P.</t>
        </is>
      </c>
      <c r="L945" t="inlineStr">
        <is>
          <t>New York : Garland Pub., 1976.</t>
        </is>
      </c>
      <c r="M945" t="inlineStr">
        <is>
          <t>1976</t>
        </is>
      </c>
      <c r="O945" t="inlineStr">
        <is>
          <t>eng</t>
        </is>
      </c>
      <c r="P945" t="inlineStr">
        <is>
          <t>nyu</t>
        </is>
      </c>
      <c r="Q945" t="inlineStr">
        <is>
          <t>Garland reference library in the humanities ; v. 34</t>
        </is>
      </c>
      <c r="R945" t="inlineStr">
        <is>
          <t xml:space="preserve">PS </t>
        </is>
      </c>
      <c r="S945" t="n">
        <v>1</v>
      </c>
      <c r="T945" t="n">
        <v>1</v>
      </c>
      <c r="U945" t="inlineStr">
        <is>
          <t>1994-04-30</t>
        </is>
      </c>
      <c r="V945" t="inlineStr">
        <is>
          <t>1994-04-30</t>
        </is>
      </c>
      <c r="W945" t="inlineStr">
        <is>
          <t>1990-12-10</t>
        </is>
      </c>
      <c r="X945" t="inlineStr">
        <is>
          <t>1990-12-10</t>
        </is>
      </c>
      <c r="Y945" t="n">
        <v>325</v>
      </c>
      <c r="Z945" t="n">
        <v>250</v>
      </c>
      <c r="AA945" t="n">
        <v>256</v>
      </c>
      <c r="AB945" t="n">
        <v>3</v>
      </c>
      <c r="AC945" t="n">
        <v>3</v>
      </c>
      <c r="AD945" t="n">
        <v>12</v>
      </c>
      <c r="AE945" t="n">
        <v>12</v>
      </c>
      <c r="AF945" t="n">
        <v>2</v>
      </c>
      <c r="AG945" t="n">
        <v>2</v>
      </c>
      <c r="AH945" t="n">
        <v>3</v>
      </c>
      <c r="AI945" t="n">
        <v>3</v>
      </c>
      <c r="AJ945" t="n">
        <v>8</v>
      </c>
      <c r="AK945" t="n">
        <v>8</v>
      </c>
      <c r="AL945" t="n">
        <v>2</v>
      </c>
      <c r="AM945" t="n">
        <v>2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HYPERLINK("http://catalog.hathitrust.org/Record/000683461","HathiTrust Record")</f>
        <v/>
      </c>
      <c r="AS945">
        <f>HYPERLINK("https://creighton-primo.hosted.exlibrisgroup.com/primo-explore/search?tab=default_tab&amp;search_scope=EVERYTHING&amp;vid=01CRU&amp;lang=en_US&amp;offset=0&amp;query=any,contains,991003987149702656","Catalog Record")</f>
        <v/>
      </c>
      <c r="AT945">
        <f>HYPERLINK("http://www.worldcat.org/oclc/2034722","WorldCat Record")</f>
        <v/>
      </c>
      <c r="AU945" t="inlineStr">
        <is>
          <t>309078339:eng</t>
        </is>
      </c>
      <c r="AV945" t="inlineStr">
        <is>
          <t>2034722</t>
        </is>
      </c>
      <c r="AW945" t="inlineStr">
        <is>
          <t>991003987149702656</t>
        </is>
      </c>
      <c r="AX945" t="inlineStr">
        <is>
          <t>991003987149702656</t>
        </is>
      </c>
      <c r="AY945" t="inlineStr">
        <is>
          <t>2270158660002656</t>
        </is>
      </c>
      <c r="AZ945" t="inlineStr">
        <is>
          <t>BOOK</t>
        </is>
      </c>
      <c r="BB945" t="inlineStr">
        <is>
          <t>9780824099787</t>
        </is>
      </c>
      <c r="BC945" t="inlineStr">
        <is>
          <t>32285000418797</t>
        </is>
      </c>
      <c r="BD945" t="inlineStr">
        <is>
          <t>893781724</t>
        </is>
      </c>
    </row>
    <row r="946">
      <c r="A946" t="inlineStr">
        <is>
          <t>No</t>
        </is>
      </c>
      <c r="B946" t="inlineStr">
        <is>
          <t>PS3545.E8334 Z68</t>
        </is>
      </c>
      <c r="C946" t="inlineStr">
        <is>
          <t>0                      PS 3545000E  8334               Z  68</t>
        </is>
      </c>
      <c r="D946" t="inlineStr">
        <is>
          <t>Nathanael West.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Hyman, Stanley Edgar, 1919-1970.</t>
        </is>
      </c>
      <c r="L946" t="inlineStr">
        <is>
          <t>Minneapolis : University of Minnesota Press, [1962]</t>
        </is>
      </c>
      <c r="M946" t="inlineStr">
        <is>
          <t>1962</t>
        </is>
      </c>
      <c r="O946" t="inlineStr">
        <is>
          <t>eng</t>
        </is>
      </c>
      <c r="P946" t="inlineStr">
        <is>
          <t>mnu</t>
        </is>
      </c>
      <c r="Q946" t="inlineStr">
        <is>
          <t>University of Minnesota pamphlets on American writers ; no. 21</t>
        </is>
      </c>
      <c r="R946" t="inlineStr">
        <is>
          <t xml:space="preserve">PS </t>
        </is>
      </c>
      <c r="S946" t="n">
        <v>1</v>
      </c>
      <c r="T946" t="n">
        <v>1</v>
      </c>
      <c r="U946" t="inlineStr">
        <is>
          <t>1993-08-14</t>
        </is>
      </c>
      <c r="V946" t="inlineStr">
        <is>
          <t>1993-08-14</t>
        </is>
      </c>
      <c r="W946" t="inlineStr">
        <is>
          <t>1992-12-16</t>
        </is>
      </c>
      <c r="X946" t="inlineStr">
        <is>
          <t>1992-12-16</t>
        </is>
      </c>
      <c r="Y946" t="n">
        <v>1250</v>
      </c>
      <c r="Z946" t="n">
        <v>1100</v>
      </c>
      <c r="AA946" t="n">
        <v>1104</v>
      </c>
      <c r="AB946" t="n">
        <v>11</v>
      </c>
      <c r="AC946" t="n">
        <v>11</v>
      </c>
      <c r="AD946" t="n">
        <v>36</v>
      </c>
      <c r="AE946" t="n">
        <v>36</v>
      </c>
      <c r="AF946" t="n">
        <v>10</v>
      </c>
      <c r="AG946" t="n">
        <v>10</v>
      </c>
      <c r="AH946" t="n">
        <v>6</v>
      </c>
      <c r="AI946" t="n">
        <v>6</v>
      </c>
      <c r="AJ946" t="n">
        <v>17</v>
      </c>
      <c r="AK946" t="n">
        <v>17</v>
      </c>
      <c r="AL946" t="n">
        <v>9</v>
      </c>
      <c r="AM946" t="n">
        <v>9</v>
      </c>
      <c r="AN946" t="n">
        <v>0</v>
      </c>
      <c r="AO946" t="n">
        <v>0</v>
      </c>
      <c r="AP946" t="inlineStr">
        <is>
          <t>No</t>
        </is>
      </c>
      <c r="AQ946" t="inlineStr">
        <is>
          <t>No</t>
        </is>
      </c>
      <c r="AS946">
        <f>HYPERLINK("https://creighton-primo.hosted.exlibrisgroup.com/primo-explore/search?tab=default_tab&amp;search_scope=EVERYTHING&amp;vid=01CRU&amp;lang=en_US&amp;offset=0&amp;query=any,contains,991002231629702656","Catalog Record")</f>
        <v/>
      </c>
      <c r="AT946">
        <f>HYPERLINK("http://www.worldcat.org/oclc/294158","WorldCat Record")</f>
        <v/>
      </c>
      <c r="AU946" t="inlineStr">
        <is>
          <t>480101:eng</t>
        </is>
      </c>
      <c r="AV946" t="inlineStr">
        <is>
          <t>294158</t>
        </is>
      </c>
      <c r="AW946" t="inlineStr">
        <is>
          <t>991002231629702656</t>
        </is>
      </c>
      <c r="AX946" t="inlineStr">
        <is>
          <t>991002231629702656</t>
        </is>
      </c>
      <c r="AY946" t="inlineStr">
        <is>
          <t>2268281510002656</t>
        </is>
      </c>
      <c r="AZ946" t="inlineStr">
        <is>
          <t>BOOK</t>
        </is>
      </c>
      <c r="BC946" t="inlineStr">
        <is>
          <t>32285001441939</t>
        </is>
      </c>
      <c r="BD946" t="inlineStr">
        <is>
          <t>893529702</t>
        </is>
      </c>
    </row>
    <row r="947">
      <c r="A947" t="inlineStr">
        <is>
          <t>No</t>
        </is>
      </c>
      <c r="B947" t="inlineStr">
        <is>
          <t>PS3545.E8334 Z75 1971</t>
        </is>
      </c>
      <c r="C947" t="inlineStr">
        <is>
          <t>0                      PS 3545000E  8334               Z  75          1971</t>
        </is>
      </c>
      <c r="D947" t="inlineStr">
        <is>
          <t>Nathanael West : an interpretative study / by James F. Light.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K947" t="inlineStr">
        <is>
          <t>Light, James F.</t>
        </is>
      </c>
      <c r="L947" t="inlineStr">
        <is>
          <t>Evanston, [Ill.] : Northwestern University Press, 1971.</t>
        </is>
      </c>
      <c r="M947" t="inlineStr">
        <is>
          <t>1971</t>
        </is>
      </c>
      <c r="N947" t="inlineStr">
        <is>
          <t>2d ed.</t>
        </is>
      </c>
      <c r="O947" t="inlineStr">
        <is>
          <t>eng</t>
        </is>
      </c>
      <c r="P947" t="inlineStr">
        <is>
          <t>ilu</t>
        </is>
      </c>
      <c r="R947" t="inlineStr">
        <is>
          <t xml:space="preserve">PS </t>
        </is>
      </c>
      <c r="S947" t="n">
        <v>1</v>
      </c>
      <c r="T947" t="n">
        <v>1</v>
      </c>
      <c r="U947" t="inlineStr">
        <is>
          <t>1994-04-30</t>
        </is>
      </c>
      <c r="V947" t="inlineStr">
        <is>
          <t>1994-04-30</t>
        </is>
      </c>
      <c r="W947" t="inlineStr">
        <is>
          <t>1992-12-16</t>
        </is>
      </c>
      <c r="X947" t="inlineStr">
        <is>
          <t>1992-12-16</t>
        </is>
      </c>
      <c r="Y947" t="n">
        <v>565</v>
      </c>
      <c r="Z947" t="n">
        <v>499</v>
      </c>
      <c r="AA947" t="n">
        <v>881</v>
      </c>
      <c r="AB947" t="n">
        <v>4</v>
      </c>
      <c r="AC947" t="n">
        <v>6</v>
      </c>
      <c r="AD947" t="n">
        <v>24</v>
      </c>
      <c r="AE947" t="n">
        <v>39</v>
      </c>
      <c r="AF947" t="n">
        <v>10</v>
      </c>
      <c r="AG947" t="n">
        <v>15</v>
      </c>
      <c r="AH947" t="n">
        <v>6</v>
      </c>
      <c r="AI947" t="n">
        <v>8</v>
      </c>
      <c r="AJ947" t="n">
        <v>11</v>
      </c>
      <c r="AK947" t="n">
        <v>20</v>
      </c>
      <c r="AL947" t="n">
        <v>3</v>
      </c>
      <c r="AM947" t="n">
        <v>5</v>
      </c>
      <c r="AN947" t="n">
        <v>0</v>
      </c>
      <c r="AO947" t="n">
        <v>0</v>
      </c>
      <c r="AP947" t="inlineStr">
        <is>
          <t>No</t>
        </is>
      </c>
      <c r="AQ947" t="inlineStr">
        <is>
          <t>Yes</t>
        </is>
      </c>
      <c r="AR947">
        <f>HYPERLINK("http://catalog.hathitrust.org/Record/001188182","HathiTrust Record")</f>
        <v/>
      </c>
      <c r="AS947">
        <f>HYPERLINK("https://creighton-primo.hosted.exlibrisgroup.com/primo-explore/search?tab=default_tab&amp;search_scope=EVERYTHING&amp;vid=01CRU&amp;lang=en_US&amp;offset=0&amp;query=any,contains,991000777839702656","Catalog Record")</f>
        <v/>
      </c>
      <c r="AT947">
        <f>HYPERLINK("http://www.worldcat.org/oclc/133846","WorldCat Record")</f>
        <v/>
      </c>
      <c r="AU947" t="inlineStr">
        <is>
          <t>1316106:eng</t>
        </is>
      </c>
      <c r="AV947" t="inlineStr">
        <is>
          <t>133846</t>
        </is>
      </c>
      <c r="AW947" t="inlineStr">
        <is>
          <t>991000777839702656</t>
        </is>
      </c>
      <c r="AX947" t="inlineStr">
        <is>
          <t>991000777839702656</t>
        </is>
      </c>
      <c r="AY947" t="inlineStr">
        <is>
          <t>2255708600002656</t>
        </is>
      </c>
      <c r="AZ947" t="inlineStr">
        <is>
          <t>BOOK</t>
        </is>
      </c>
      <c r="BB947" t="inlineStr">
        <is>
          <t>9780810103375</t>
        </is>
      </c>
      <c r="BC947" t="inlineStr">
        <is>
          <t>32285001441921</t>
        </is>
      </c>
      <c r="BD947" t="inlineStr">
        <is>
          <t>893522003</t>
        </is>
      </c>
    </row>
    <row r="948">
      <c r="A948" t="inlineStr">
        <is>
          <t>No</t>
        </is>
      </c>
      <c r="B948" t="inlineStr">
        <is>
          <t>PS3545.E8334 Z83</t>
        </is>
      </c>
      <c r="C948" t="inlineStr">
        <is>
          <t>0                      PS 3545000E  8334               Z  83</t>
        </is>
      </c>
      <c r="D948" t="inlineStr">
        <is>
          <t>Nathanael West : the cheaters and the cheated; a collection of critical essays / edited by David Madden.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L948" t="inlineStr">
        <is>
          <t>De Land, Fla. : Everett/Edwards, [1973]</t>
        </is>
      </c>
      <c r="M948" t="inlineStr">
        <is>
          <t>1973</t>
        </is>
      </c>
      <c r="O948" t="inlineStr">
        <is>
          <t>eng</t>
        </is>
      </c>
      <c r="P948" t="inlineStr">
        <is>
          <t>flu</t>
        </is>
      </c>
      <c r="R948" t="inlineStr">
        <is>
          <t xml:space="preserve">PS </t>
        </is>
      </c>
      <c r="S948" t="n">
        <v>1</v>
      </c>
      <c r="T948" t="n">
        <v>1</v>
      </c>
      <c r="U948" t="inlineStr">
        <is>
          <t>1994-04-30</t>
        </is>
      </c>
      <c r="V948" t="inlineStr">
        <is>
          <t>1994-04-30</t>
        </is>
      </c>
      <c r="W948" t="inlineStr">
        <is>
          <t>1992-12-16</t>
        </is>
      </c>
      <c r="X948" t="inlineStr">
        <is>
          <t>1992-12-16</t>
        </is>
      </c>
      <c r="Y948" t="n">
        <v>788</v>
      </c>
      <c r="Z948" t="n">
        <v>707</v>
      </c>
      <c r="AA948" t="n">
        <v>713</v>
      </c>
      <c r="AB948" t="n">
        <v>8</v>
      </c>
      <c r="AC948" t="n">
        <v>8</v>
      </c>
      <c r="AD948" t="n">
        <v>30</v>
      </c>
      <c r="AE948" t="n">
        <v>30</v>
      </c>
      <c r="AF948" t="n">
        <v>9</v>
      </c>
      <c r="AG948" t="n">
        <v>9</v>
      </c>
      <c r="AH948" t="n">
        <v>4</v>
      </c>
      <c r="AI948" t="n">
        <v>4</v>
      </c>
      <c r="AJ948" t="n">
        <v>15</v>
      </c>
      <c r="AK948" t="n">
        <v>15</v>
      </c>
      <c r="AL948" t="n">
        <v>7</v>
      </c>
      <c r="AM948" t="n">
        <v>7</v>
      </c>
      <c r="AN948" t="n">
        <v>0</v>
      </c>
      <c r="AO948" t="n">
        <v>0</v>
      </c>
      <c r="AP948" t="inlineStr">
        <is>
          <t>No</t>
        </is>
      </c>
      <c r="AQ948" t="inlineStr">
        <is>
          <t>Yes</t>
        </is>
      </c>
      <c r="AR948">
        <f>HYPERLINK("http://catalog.hathitrust.org/Record/001188184","HathiTrust Record")</f>
        <v/>
      </c>
      <c r="AS948">
        <f>HYPERLINK("https://creighton-primo.hosted.exlibrisgroup.com/primo-explore/search?tab=default_tab&amp;search_scope=EVERYTHING&amp;vid=01CRU&amp;lang=en_US&amp;offset=0&amp;query=any,contains,991003298199702656","Catalog Record")</f>
        <v/>
      </c>
      <c r="AT948">
        <f>HYPERLINK("http://www.worldcat.org/oclc/820873","WorldCat Record")</f>
        <v/>
      </c>
      <c r="AU948" t="inlineStr">
        <is>
          <t>807243001:eng</t>
        </is>
      </c>
      <c r="AV948" t="inlineStr">
        <is>
          <t>820873</t>
        </is>
      </c>
      <c r="AW948" t="inlineStr">
        <is>
          <t>991003298199702656</t>
        </is>
      </c>
      <c r="AX948" t="inlineStr">
        <is>
          <t>991003298199702656</t>
        </is>
      </c>
      <c r="AY948" t="inlineStr">
        <is>
          <t>2259128420002656</t>
        </is>
      </c>
      <c r="AZ948" t="inlineStr">
        <is>
          <t>BOOK</t>
        </is>
      </c>
      <c r="BB948" t="inlineStr">
        <is>
          <t>9780912112015</t>
        </is>
      </c>
      <c r="BC948" t="inlineStr">
        <is>
          <t>32285001441905</t>
        </is>
      </c>
      <c r="BD948" t="inlineStr">
        <is>
          <t>893317854</t>
        </is>
      </c>
    </row>
    <row r="949">
      <c r="A949" t="inlineStr">
        <is>
          <t>No</t>
        </is>
      </c>
      <c r="B949" t="inlineStr">
        <is>
          <t>PS3545.E8334 Z94 1982</t>
        </is>
      </c>
      <c r="C949" t="inlineStr">
        <is>
          <t>0                      PS 3545000E  8334               Z  94          1982</t>
        </is>
      </c>
      <c r="D949" t="inlineStr">
        <is>
          <t>Nathanael West / by Kingsley Widmer.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K949" t="inlineStr">
        <is>
          <t>Widmer, Kingsley, 1925-2009.</t>
        </is>
      </c>
      <c r="L949" t="inlineStr">
        <is>
          <t>Boston : Twayne Publishers, c1982.</t>
        </is>
      </c>
      <c r="M949" t="inlineStr">
        <is>
          <t>1982</t>
        </is>
      </c>
      <c r="O949" t="inlineStr">
        <is>
          <t>eng</t>
        </is>
      </c>
      <c r="P949" t="inlineStr">
        <is>
          <t>mau</t>
        </is>
      </c>
      <c r="Q949" t="inlineStr">
        <is>
          <t>Twayne's United States authors series ; TUSAS 423</t>
        </is>
      </c>
      <c r="R949" t="inlineStr">
        <is>
          <t xml:space="preserve">PS </t>
        </is>
      </c>
      <c r="S949" t="n">
        <v>1</v>
      </c>
      <c r="T949" t="n">
        <v>1</v>
      </c>
      <c r="U949" t="inlineStr">
        <is>
          <t>1994-04-30</t>
        </is>
      </c>
      <c r="V949" t="inlineStr">
        <is>
          <t>1994-04-30</t>
        </is>
      </c>
      <c r="W949" t="inlineStr">
        <is>
          <t>1990-12-10</t>
        </is>
      </c>
      <c r="X949" t="inlineStr">
        <is>
          <t>1990-12-10</t>
        </is>
      </c>
      <c r="Y949" t="n">
        <v>773</v>
      </c>
      <c r="Z949" t="n">
        <v>686</v>
      </c>
      <c r="AA949" t="n">
        <v>775</v>
      </c>
      <c r="AB949" t="n">
        <v>7</v>
      </c>
      <c r="AC949" t="n">
        <v>7</v>
      </c>
      <c r="AD949" t="n">
        <v>26</v>
      </c>
      <c r="AE949" t="n">
        <v>28</v>
      </c>
      <c r="AF949" t="n">
        <v>8</v>
      </c>
      <c r="AG949" t="n">
        <v>9</v>
      </c>
      <c r="AH949" t="n">
        <v>5</v>
      </c>
      <c r="AI949" t="n">
        <v>5</v>
      </c>
      <c r="AJ949" t="n">
        <v>15</v>
      </c>
      <c r="AK949" t="n">
        <v>16</v>
      </c>
      <c r="AL949" t="n">
        <v>6</v>
      </c>
      <c r="AM949" t="n">
        <v>6</v>
      </c>
      <c r="AN949" t="n">
        <v>0</v>
      </c>
      <c r="AO949" t="n">
        <v>0</v>
      </c>
      <c r="AP949" t="inlineStr">
        <is>
          <t>No</t>
        </is>
      </c>
      <c r="AQ949" t="inlineStr">
        <is>
          <t>Yes</t>
        </is>
      </c>
      <c r="AR949">
        <f>HYPERLINK("http://catalog.hathitrust.org/Record/000113285","HathiTrust Record")</f>
        <v/>
      </c>
      <c r="AS949">
        <f>HYPERLINK("https://creighton-primo.hosted.exlibrisgroup.com/primo-explore/search?tab=default_tab&amp;search_scope=EVERYTHING&amp;vid=01CRU&amp;lang=en_US&amp;offset=0&amp;query=any,contains,991000034079702656","Catalog Record")</f>
        <v/>
      </c>
      <c r="AT949">
        <f>HYPERLINK("http://www.worldcat.org/oclc/8626914","WorldCat Record")</f>
        <v/>
      </c>
      <c r="AU949" t="inlineStr">
        <is>
          <t>17684045:eng</t>
        </is>
      </c>
      <c r="AV949" t="inlineStr">
        <is>
          <t>8626914</t>
        </is>
      </c>
      <c r="AW949" t="inlineStr">
        <is>
          <t>991000034079702656</t>
        </is>
      </c>
      <c r="AX949" t="inlineStr">
        <is>
          <t>991000034079702656</t>
        </is>
      </c>
      <c r="AY949" t="inlineStr">
        <is>
          <t>2261137320002656</t>
        </is>
      </c>
      <c r="AZ949" t="inlineStr">
        <is>
          <t>BOOK</t>
        </is>
      </c>
      <c r="BB949" t="inlineStr">
        <is>
          <t>9780805773569</t>
        </is>
      </c>
      <c r="BC949" t="inlineStr">
        <is>
          <t>32285000418805</t>
        </is>
      </c>
      <c r="BD949" t="inlineStr">
        <is>
          <t>893514941</t>
        </is>
      </c>
    </row>
    <row r="950">
      <c r="A950" t="inlineStr">
        <is>
          <t>No</t>
        </is>
      </c>
      <c r="B950" t="inlineStr">
        <is>
          <t>PS3545.H16 Z459 1976</t>
        </is>
      </c>
      <c r="C950" t="inlineStr">
        <is>
          <t>0                      PS 3545000H  16                 Z  459         1976</t>
        </is>
      </c>
      <c r="D950" t="inlineStr">
        <is>
          <t>Edith Wharton and Kate Chopin : a reference guide / Marlene Springer.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K950" t="inlineStr">
        <is>
          <t>Springer, Marlene.</t>
        </is>
      </c>
      <c r="L950" t="inlineStr">
        <is>
          <t>Boston : G. K. Hall, c1976.</t>
        </is>
      </c>
      <c r="M950" t="inlineStr">
        <is>
          <t>1976</t>
        </is>
      </c>
      <c r="O950" t="inlineStr">
        <is>
          <t>eng</t>
        </is>
      </c>
      <c r="P950" t="inlineStr">
        <is>
          <t>mau</t>
        </is>
      </c>
      <c r="Q950" t="inlineStr">
        <is>
          <t>Reference guides in literature ; no. 5</t>
        </is>
      </c>
      <c r="R950" t="inlineStr">
        <is>
          <t xml:space="preserve">PS </t>
        </is>
      </c>
      <c r="S950" t="n">
        <v>3</v>
      </c>
      <c r="T950" t="n">
        <v>3</v>
      </c>
      <c r="U950" t="inlineStr">
        <is>
          <t>1998-01-27</t>
        </is>
      </c>
      <c r="V950" t="inlineStr">
        <is>
          <t>1998-01-27</t>
        </is>
      </c>
      <c r="W950" t="inlineStr">
        <is>
          <t>1997-06-24</t>
        </is>
      </c>
      <c r="X950" t="inlineStr">
        <is>
          <t>1997-06-24</t>
        </is>
      </c>
      <c r="Y950" t="n">
        <v>578</v>
      </c>
      <c r="Z950" t="n">
        <v>513</v>
      </c>
      <c r="AA950" t="n">
        <v>521</v>
      </c>
      <c r="AB950" t="n">
        <v>4</v>
      </c>
      <c r="AC950" t="n">
        <v>4</v>
      </c>
      <c r="AD950" t="n">
        <v>21</v>
      </c>
      <c r="AE950" t="n">
        <v>21</v>
      </c>
      <c r="AF950" t="n">
        <v>7</v>
      </c>
      <c r="AG950" t="n">
        <v>7</v>
      </c>
      <c r="AH950" t="n">
        <v>5</v>
      </c>
      <c r="AI950" t="n">
        <v>5</v>
      </c>
      <c r="AJ950" t="n">
        <v>13</v>
      </c>
      <c r="AK950" t="n">
        <v>13</v>
      </c>
      <c r="AL950" t="n">
        <v>3</v>
      </c>
      <c r="AM950" t="n">
        <v>3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HYPERLINK("http://catalog.hathitrust.org/Record/000710364","HathiTrust Record")</f>
        <v/>
      </c>
      <c r="AS950">
        <f>HYPERLINK("https://creighton-primo.hosted.exlibrisgroup.com/primo-explore/search?tab=default_tab&amp;search_scope=EVERYTHING&amp;vid=01CRU&amp;lang=en_US&amp;offset=0&amp;query=any,contains,991003981679702656","Catalog Record")</f>
        <v/>
      </c>
      <c r="AT950">
        <f>HYPERLINK("http://www.worldcat.org/oclc/2020497","WorldCat Record")</f>
        <v/>
      </c>
      <c r="AU950" t="inlineStr">
        <is>
          <t>223041466:eng</t>
        </is>
      </c>
      <c r="AV950" t="inlineStr">
        <is>
          <t>2020497</t>
        </is>
      </c>
      <c r="AW950" t="inlineStr">
        <is>
          <t>991003981679702656</t>
        </is>
      </c>
      <c r="AX950" t="inlineStr">
        <is>
          <t>991003981679702656</t>
        </is>
      </c>
      <c r="AY950" t="inlineStr">
        <is>
          <t>2271558200002656</t>
        </is>
      </c>
      <c r="AZ950" t="inlineStr">
        <is>
          <t>BOOK</t>
        </is>
      </c>
      <c r="BB950" t="inlineStr">
        <is>
          <t>9780816110995</t>
        </is>
      </c>
      <c r="BC950" t="inlineStr">
        <is>
          <t>32285002845963</t>
        </is>
      </c>
      <c r="BD950" t="inlineStr">
        <is>
          <t>893687208</t>
        </is>
      </c>
    </row>
    <row r="951">
      <c r="A951" t="inlineStr">
        <is>
          <t>No</t>
        </is>
      </c>
      <c r="B951" t="inlineStr">
        <is>
          <t>PS3545.H16 Z68</t>
        </is>
      </c>
      <c r="C951" t="inlineStr">
        <is>
          <t>0                      PS 3545000H  16                 Z  68</t>
        </is>
      </c>
      <c r="D951" t="inlineStr">
        <is>
          <t>Edith Wharton : a collection of critical essays.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Howe, Irving editor.</t>
        </is>
      </c>
      <c r="L951" t="inlineStr">
        <is>
          <t>Englewood Cliffs, N.J. : Prentice-Hall, [1962]</t>
        </is>
      </c>
      <c r="M951" t="inlineStr">
        <is>
          <t>1962</t>
        </is>
      </c>
      <c r="O951" t="inlineStr">
        <is>
          <t>eng</t>
        </is>
      </c>
      <c r="P951" t="inlineStr">
        <is>
          <t>nju</t>
        </is>
      </c>
      <c r="Q951" t="inlineStr">
        <is>
          <t>A Spectrum book, S-TC-20.</t>
        </is>
      </c>
      <c r="R951" t="inlineStr">
        <is>
          <t xml:space="preserve">PS </t>
        </is>
      </c>
      <c r="S951" t="n">
        <v>9</v>
      </c>
      <c r="T951" t="n">
        <v>9</v>
      </c>
      <c r="U951" t="inlineStr">
        <is>
          <t>1998-04-22</t>
        </is>
      </c>
      <c r="V951" t="inlineStr">
        <is>
          <t>1998-04-22</t>
        </is>
      </c>
      <c r="W951" t="inlineStr">
        <is>
          <t>1993-05-11</t>
        </is>
      </c>
      <c r="X951" t="inlineStr">
        <is>
          <t>1993-05-11</t>
        </is>
      </c>
      <c r="Y951" t="n">
        <v>2061</v>
      </c>
      <c r="Z951" t="n">
        <v>1871</v>
      </c>
      <c r="AA951" t="n">
        <v>1882</v>
      </c>
      <c r="AB951" t="n">
        <v>18</v>
      </c>
      <c r="AC951" t="n">
        <v>18</v>
      </c>
      <c r="AD951" t="n">
        <v>55</v>
      </c>
      <c r="AE951" t="n">
        <v>55</v>
      </c>
      <c r="AF951" t="n">
        <v>23</v>
      </c>
      <c r="AG951" t="n">
        <v>23</v>
      </c>
      <c r="AH951" t="n">
        <v>8</v>
      </c>
      <c r="AI951" t="n">
        <v>8</v>
      </c>
      <c r="AJ951" t="n">
        <v>24</v>
      </c>
      <c r="AK951" t="n">
        <v>24</v>
      </c>
      <c r="AL951" t="n">
        <v>12</v>
      </c>
      <c r="AM951" t="n">
        <v>12</v>
      </c>
      <c r="AN951" t="n">
        <v>0</v>
      </c>
      <c r="AO951" t="n">
        <v>0</v>
      </c>
      <c r="AP951" t="inlineStr">
        <is>
          <t>No</t>
        </is>
      </c>
      <c r="AQ951" t="inlineStr">
        <is>
          <t>Yes</t>
        </is>
      </c>
      <c r="AR951">
        <f>HYPERLINK("http://catalog.hathitrust.org/Record/001029681","HathiTrust Record")</f>
        <v/>
      </c>
      <c r="AS951">
        <f>HYPERLINK("https://creighton-primo.hosted.exlibrisgroup.com/primo-explore/search?tab=default_tab&amp;search_scope=EVERYTHING&amp;vid=01CRU&amp;lang=en_US&amp;offset=0&amp;query=any,contains,991002224519702656","Catalog Record")</f>
        <v/>
      </c>
      <c r="AT951">
        <f>HYPERLINK("http://www.worldcat.org/oclc/291105","WorldCat Record")</f>
        <v/>
      </c>
      <c r="AU951" t="inlineStr">
        <is>
          <t>366727309:eng</t>
        </is>
      </c>
      <c r="AV951" t="inlineStr">
        <is>
          <t>291105</t>
        </is>
      </c>
      <c r="AW951" t="inlineStr">
        <is>
          <t>991002224519702656</t>
        </is>
      </c>
      <c r="AX951" t="inlineStr">
        <is>
          <t>991002224519702656</t>
        </is>
      </c>
      <c r="AY951" t="inlineStr">
        <is>
          <t>2267962290002656</t>
        </is>
      </c>
      <c r="AZ951" t="inlineStr">
        <is>
          <t>BOOK</t>
        </is>
      </c>
      <c r="BC951" t="inlineStr">
        <is>
          <t>32285001653020</t>
        </is>
      </c>
      <c r="BD951" t="inlineStr">
        <is>
          <t>893439905</t>
        </is>
      </c>
    </row>
    <row r="952">
      <c r="A952" t="inlineStr">
        <is>
          <t>No</t>
        </is>
      </c>
      <c r="B952" t="inlineStr">
        <is>
          <t>PS3545.H16 Z75</t>
        </is>
      </c>
      <c r="C952" t="inlineStr">
        <is>
          <t>0                      PS 3545000H  16                 Z  75</t>
        </is>
      </c>
      <c r="D952" t="inlineStr">
        <is>
          <t>Edith Wharton : a study of her fiction.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Nevius, Blake.</t>
        </is>
      </c>
      <c r="L952" t="inlineStr">
        <is>
          <t>Berkeley : University of California Press, 1953.</t>
        </is>
      </c>
      <c r="M952" t="inlineStr">
        <is>
          <t>1953</t>
        </is>
      </c>
      <c r="O952" t="inlineStr">
        <is>
          <t>eng</t>
        </is>
      </c>
      <c r="P952" t="inlineStr">
        <is>
          <t>cau</t>
        </is>
      </c>
      <c r="R952" t="inlineStr">
        <is>
          <t xml:space="preserve">PS </t>
        </is>
      </c>
      <c r="S952" t="n">
        <v>3</v>
      </c>
      <c r="T952" t="n">
        <v>3</v>
      </c>
      <c r="U952" t="inlineStr">
        <is>
          <t>1995-11-05</t>
        </is>
      </c>
      <c r="V952" t="inlineStr">
        <is>
          <t>1995-11-05</t>
        </is>
      </c>
      <c r="W952" t="inlineStr">
        <is>
          <t>1994-10-05</t>
        </is>
      </c>
      <c r="X952" t="inlineStr">
        <is>
          <t>1994-10-05</t>
        </is>
      </c>
      <c r="Y952" t="n">
        <v>897</v>
      </c>
      <c r="Z952" t="n">
        <v>814</v>
      </c>
      <c r="AA952" t="n">
        <v>1318</v>
      </c>
      <c r="AB952" t="n">
        <v>5</v>
      </c>
      <c r="AC952" t="n">
        <v>9</v>
      </c>
      <c r="AD952" t="n">
        <v>32</v>
      </c>
      <c r="AE952" t="n">
        <v>53</v>
      </c>
      <c r="AF952" t="n">
        <v>16</v>
      </c>
      <c r="AG952" t="n">
        <v>24</v>
      </c>
      <c r="AH952" t="n">
        <v>5</v>
      </c>
      <c r="AI952" t="n">
        <v>8</v>
      </c>
      <c r="AJ952" t="n">
        <v>16</v>
      </c>
      <c r="AK952" t="n">
        <v>24</v>
      </c>
      <c r="AL952" t="n">
        <v>4</v>
      </c>
      <c r="AM952" t="n">
        <v>8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HYPERLINK("http://catalog.hathitrust.org/Record/001029683","HathiTrust Record")</f>
        <v/>
      </c>
      <c r="AS952">
        <f>HYPERLINK("https://creighton-primo.hosted.exlibrisgroup.com/primo-explore/search?tab=default_tab&amp;search_scope=EVERYTHING&amp;vid=01CRU&amp;lang=en_US&amp;offset=0&amp;query=any,contains,991003933659702656","Catalog Record")</f>
        <v/>
      </c>
      <c r="AT952">
        <f>HYPERLINK("http://www.worldcat.org/oclc/1906398","WorldCat Record")</f>
        <v/>
      </c>
      <c r="AU952" t="inlineStr">
        <is>
          <t>501320:eng</t>
        </is>
      </c>
      <c r="AV952" t="inlineStr">
        <is>
          <t>1906398</t>
        </is>
      </c>
      <c r="AW952" t="inlineStr">
        <is>
          <t>991003933659702656</t>
        </is>
      </c>
      <c r="AX952" t="inlineStr">
        <is>
          <t>991003933659702656</t>
        </is>
      </c>
      <c r="AY952" t="inlineStr">
        <is>
          <t>2257504620002656</t>
        </is>
      </c>
      <c r="AZ952" t="inlineStr">
        <is>
          <t>BOOK</t>
        </is>
      </c>
      <c r="BC952" t="inlineStr">
        <is>
          <t>32285001953859</t>
        </is>
      </c>
      <c r="BD952" t="inlineStr">
        <is>
          <t>893894374</t>
        </is>
      </c>
    </row>
    <row r="953">
      <c r="A953" t="inlineStr">
        <is>
          <t>No</t>
        </is>
      </c>
      <c r="B953" t="inlineStr">
        <is>
          <t>PS3545.H16 Z94</t>
        </is>
      </c>
      <c r="C953" t="inlineStr">
        <is>
          <t>0                      PS 3545000H  16                 Z  94</t>
        </is>
      </c>
      <c r="D953" t="inlineStr">
        <is>
          <t>A feast of words : the triumph of Edith Wharton / Cynthia Griffin Wolff.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K953" t="inlineStr">
        <is>
          <t>Wolff, Cynthia Griffin.</t>
        </is>
      </c>
      <c r="L953" t="inlineStr">
        <is>
          <t>New York : Oxford University Press, 1977.</t>
        </is>
      </c>
      <c r="M953" t="inlineStr">
        <is>
          <t>1977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PS </t>
        </is>
      </c>
      <c r="S953" t="n">
        <v>2</v>
      </c>
      <c r="T953" t="n">
        <v>2</v>
      </c>
      <c r="U953" t="inlineStr">
        <is>
          <t>2001-04-11</t>
        </is>
      </c>
      <c r="V953" t="inlineStr">
        <is>
          <t>2001-04-11</t>
        </is>
      </c>
      <c r="W953" t="inlineStr">
        <is>
          <t>1997-06-24</t>
        </is>
      </c>
      <c r="X953" t="inlineStr">
        <is>
          <t>1997-06-24</t>
        </is>
      </c>
      <c r="Y953" t="n">
        <v>1312</v>
      </c>
      <c r="Z953" t="n">
        <v>1144</v>
      </c>
      <c r="AA953" t="n">
        <v>1240</v>
      </c>
      <c r="AB953" t="n">
        <v>9</v>
      </c>
      <c r="AC953" t="n">
        <v>10</v>
      </c>
      <c r="AD953" t="n">
        <v>43</v>
      </c>
      <c r="AE953" t="n">
        <v>46</v>
      </c>
      <c r="AF953" t="n">
        <v>18</v>
      </c>
      <c r="AG953" t="n">
        <v>19</v>
      </c>
      <c r="AH953" t="n">
        <v>11</v>
      </c>
      <c r="AI953" t="n">
        <v>11</v>
      </c>
      <c r="AJ953" t="n">
        <v>20</v>
      </c>
      <c r="AK953" t="n">
        <v>22</v>
      </c>
      <c r="AL953" t="n">
        <v>5</v>
      </c>
      <c r="AM953" t="n">
        <v>5</v>
      </c>
      <c r="AN953" t="n">
        <v>0</v>
      </c>
      <c r="AO953" t="n">
        <v>0</v>
      </c>
      <c r="AP953" t="inlineStr">
        <is>
          <t>No</t>
        </is>
      </c>
      <c r="AQ953" t="inlineStr">
        <is>
          <t>Yes</t>
        </is>
      </c>
      <c r="AR953">
        <f>HYPERLINK("http://catalog.hathitrust.org/Record/000210998","HathiTrust Record")</f>
        <v/>
      </c>
      <c r="AS953">
        <f>HYPERLINK("https://creighton-primo.hosted.exlibrisgroup.com/primo-explore/search?tab=default_tab&amp;search_scope=EVERYTHING&amp;vid=01CRU&amp;lang=en_US&amp;offset=0&amp;query=any,contains,991004256839702656","Catalog Record")</f>
        <v/>
      </c>
      <c r="AT953">
        <f>HYPERLINK("http://www.worldcat.org/oclc/2828345","WorldCat Record")</f>
        <v/>
      </c>
      <c r="AU953" t="inlineStr">
        <is>
          <t>414903:eng</t>
        </is>
      </c>
      <c r="AV953" t="inlineStr">
        <is>
          <t>2828345</t>
        </is>
      </c>
      <c r="AW953" t="inlineStr">
        <is>
          <t>991004256839702656</t>
        </is>
      </c>
      <c r="AX953" t="inlineStr">
        <is>
          <t>991004256839702656</t>
        </is>
      </c>
      <c r="AY953" t="inlineStr">
        <is>
          <t>2257606070002656</t>
        </is>
      </c>
      <c r="AZ953" t="inlineStr">
        <is>
          <t>BOOK</t>
        </is>
      </c>
      <c r="BB953" t="inlineStr">
        <is>
          <t>9780195021172</t>
        </is>
      </c>
      <c r="BC953" t="inlineStr">
        <is>
          <t>32285002846011</t>
        </is>
      </c>
      <c r="BD953" t="inlineStr">
        <is>
          <t>893706162</t>
        </is>
      </c>
    </row>
    <row r="954">
      <c r="A954" t="inlineStr">
        <is>
          <t>No</t>
        </is>
      </c>
      <c r="B954" t="inlineStr">
        <is>
          <t>PS3545.I32165 Z69</t>
        </is>
      </c>
      <c r="C954" t="inlineStr">
        <is>
          <t>0                      PS 3545000I  32165              Z  69</t>
        </is>
      </c>
      <c r="D954" t="inlineStr">
        <is>
          <t>Richard Wilbur / by Donald L. Hill.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Hill, Donald L. (Donald Louis), 1914-</t>
        </is>
      </c>
      <c r="L954" t="inlineStr">
        <is>
          <t>New York : Twayne Publishers, [1967]</t>
        </is>
      </c>
      <c r="M954" t="inlineStr">
        <is>
          <t>1967</t>
        </is>
      </c>
      <c r="O954" t="inlineStr">
        <is>
          <t>eng</t>
        </is>
      </c>
      <c r="P954" t="inlineStr">
        <is>
          <t>nyu</t>
        </is>
      </c>
      <c r="Q954" t="inlineStr">
        <is>
          <t>Twayne's United States authors series ; TUSAS 117</t>
        </is>
      </c>
      <c r="R954" t="inlineStr">
        <is>
          <t xml:space="preserve">PS </t>
        </is>
      </c>
      <c r="S954" t="n">
        <v>1</v>
      </c>
      <c r="T954" t="n">
        <v>1</v>
      </c>
      <c r="U954" t="inlineStr">
        <is>
          <t>1997-02-18</t>
        </is>
      </c>
      <c r="V954" t="inlineStr">
        <is>
          <t>1997-02-18</t>
        </is>
      </c>
      <c r="W954" t="inlineStr">
        <is>
          <t>1991-05-17</t>
        </is>
      </c>
      <c r="X954" t="inlineStr">
        <is>
          <t>1991-05-17</t>
        </is>
      </c>
      <c r="Y954" t="n">
        <v>1210</v>
      </c>
      <c r="Z954" t="n">
        <v>1098</v>
      </c>
      <c r="AA954" t="n">
        <v>1158</v>
      </c>
      <c r="AB954" t="n">
        <v>11</v>
      </c>
      <c r="AC954" t="n">
        <v>12</v>
      </c>
      <c r="AD954" t="n">
        <v>51</v>
      </c>
      <c r="AE954" t="n">
        <v>52</v>
      </c>
      <c r="AF954" t="n">
        <v>20</v>
      </c>
      <c r="AG954" t="n">
        <v>21</v>
      </c>
      <c r="AH954" t="n">
        <v>8</v>
      </c>
      <c r="AI954" t="n">
        <v>8</v>
      </c>
      <c r="AJ954" t="n">
        <v>24</v>
      </c>
      <c r="AK954" t="n">
        <v>25</v>
      </c>
      <c r="AL954" t="n">
        <v>10</v>
      </c>
      <c r="AM954" t="n">
        <v>10</v>
      </c>
      <c r="AN954" t="n">
        <v>0</v>
      </c>
      <c r="AO954" t="n">
        <v>0</v>
      </c>
      <c r="AP954" t="inlineStr">
        <is>
          <t>No</t>
        </is>
      </c>
      <c r="AQ954" t="inlineStr">
        <is>
          <t>Yes</t>
        </is>
      </c>
      <c r="AR954">
        <f>HYPERLINK("http://catalog.hathitrust.org/Record/001188499","HathiTrust Record")</f>
        <v/>
      </c>
      <c r="AS954">
        <f>HYPERLINK("https://creighton-primo.hosted.exlibrisgroup.com/primo-explore/search?tab=default_tab&amp;search_scope=EVERYTHING&amp;vid=01CRU&amp;lang=en_US&amp;offset=0&amp;query=any,contains,991002403149702656","Catalog Record")</f>
        <v/>
      </c>
      <c r="AT954">
        <f>HYPERLINK("http://www.worldcat.org/oclc/337765","WorldCat Record")</f>
        <v/>
      </c>
      <c r="AU954" t="inlineStr">
        <is>
          <t>118447081:eng</t>
        </is>
      </c>
      <c r="AV954" t="inlineStr">
        <is>
          <t>337765</t>
        </is>
      </c>
      <c r="AW954" t="inlineStr">
        <is>
          <t>991002403149702656</t>
        </is>
      </c>
      <c r="AX954" t="inlineStr">
        <is>
          <t>991002403149702656</t>
        </is>
      </c>
      <c r="AY954" t="inlineStr">
        <is>
          <t>2256005010002656</t>
        </is>
      </c>
      <c r="AZ954" t="inlineStr">
        <is>
          <t>BOOK</t>
        </is>
      </c>
      <c r="BC954" t="inlineStr">
        <is>
          <t>32285000596170</t>
        </is>
      </c>
      <c r="BD954" t="inlineStr">
        <is>
          <t>893440115</t>
        </is>
      </c>
    </row>
    <row r="955">
      <c r="A955" t="inlineStr">
        <is>
          <t>No</t>
        </is>
      </c>
      <c r="B955" t="inlineStr">
        <is>
          <t>PS3545.I337 E4 1977</t>
        </is>
      </c>
      <c r="C955" t="inlineStr">
        <is>
          <t>0                      PS 3545000I  337                E  4           1977</t>
        </is>
      </c>
      <c r="D955" t="inlineStr">
        <is>
          <t>Eight comedies for little theatres / by Percival Wilde.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K955" t="inlineStr">
        <is>
          <t>Wilde, Percival, 1887-1953.</t>
        </is>
      </c>
      <c r="L955" t="inlineStr">
        <is>
          <t>Great Neck, N.Y. : Core Collection Books, [1977]</t>
        </is>
      </c>
      <c r="M955" t="inlineStr">
        <is>
          <t>1977</t>
        </is>
      </c>
      <c r="O955" t="inlineStr">
        <is>
          <t>eng</t>
        </is>
      </c>
      <c r="P955" t="inlineStr">
        <is>
          <t>nyu</t>
        </is>
      </c>
      <c r="Q955" t="inlineStr">
        <is>
          <t>One-act plays in reprint</t>
        </is>
      </c>
      <c r="R955" t="inlineStr">
        <is>
          <t xml:space="preserve">PS </t>
        </is>
      </c>
      <c r="S955" t="n">
        <v>7</v>
      </c>
      <c r="T955" t="n">
        <v>7</v>
      </c>
      <c r="U955" t="inlineStr">
        <is>
          <t>2004-02-03</t>
        </is>
      </c>
      <c r="V955" t="inlineStr">
        <is>
          <t>2004-02-03</t>
        </is>
      </c>
      <c r="W955" t="inlineStr">
        <is>
          <t>1990-12-11</t>
        </is>
      </c>
      <c r="X955" t="inlineStr">
        <is>
          <t>1990-12-11</t>
        </is>
      </c>
      <c r="Y955" t="n">
        <v>86</v>
      </c>
      <c r="Z955" t="n">
        <v>74</v>
      </c>
      <c r="AA955" t="n">
        <v>239</v>
      </c>
      <c r="AB955" t="n">
        <v>1</v>
      </c>
      <c r="AC955" t="n">
        <v>5</v>
      </c>
      <c r="AD955" t="n">
        <v>3</v>
      </c>
      <c r="AE955" t="n">
        <v>12</v>
      </c>
      <c r="AF955" t="n">
        <v>3</v>
      </c>
      <c r="AG955" t="n">
        <v>3</v>
      </c>
      <c r="AH955" t="n">
        <v>0</v>
      </c>
      <c r="AI955" t="n">
        <v>3</v>
      </c>
      <c r="AJ955" t="n">
        <v>0</v>
      </c>
      <c r="AK955" t="n">
        <v>4</v>
      </c>
      <c r="AL955" t="n">
        <v>0</v>
      </c>
      <c r="AM955" t="n">
        <v>3</v>
      </c>
      <c r="AN955" t="n">
        <v>0</v>
      </c>
      <c r="AO955" t="n">
        <v>0</v>
      </c>
      <c r="AP955" t="inlineStr">
        <is>
          <t>No</t>
        </is>
      </c>
      <c r="AQ955" t="inlineStr">
        <is>
          <t>Yes</t>
        </is>
      </c>
      <c r="AR955">
        <f>HYPERLINK("http://catalog.hathitrust.org/Record/006242333","HathiTrust Record")</f>
        <v/>
      </c>
      <c r="AS955">
        <f>HYPERLINK("https://creighton-primo.hosted.exlibrisgroup.com/primo-explore/search?tab=default_tab&amp;search_scope=EVERYTHING&amp;vid=01CRU&amp;lang=en_US&amp;offset=0&amp;query=any,contains,991004376599702656","Catalog Record")</f>
        <v/>
      </c>
      <c r="AT955">
        <f>HYPERLINK("http://www.worldcat.org/oclc/3205386","WorldCat Record")</f>
        <v/>
      </c>
      <c r="AU955" t="inlineStr">
        <is>
          <t>2691481:eng</t>
        </is>
      </c>
      <c r="AV955" t="inlineStr">
        <is>
          <t>3205386</t>
        </is>
      </c>
      <c r="AW955" t="inlineStr">
        <is>
          <t>991004376599702656</t>
        </is>
      </c>
      <c r="AX955" t="inlineStr">
        <is>
          <t>991004376599702656</t>
        </is>
      </c>
      <c r="AY955" t="inlineStr">
        <is>
          <t>2269251870002656</t>
        </is>
      </c>
      <c r="AZ955" t="inlineStr">
        <is>
          <t>BOOK</t>
        </is>
      </c>
      <c r="BB955" t="inlineStr">
        <is>
          <t>9780848620257</t>
        </is>
      </c>
      <c r="BC955" t="inlineStr">
        <is>
          <t>32285000418912</t>
        </is>
      </c>
      <c r="BD955" t="inlineStr">
        <is>
          <t>893417546</t>
        </is>
      </c>
    </row>
    <row r="956">
      <c r="A956" t="inlineStr">
        <is>
          <t>No</t>
        </is>
      </c>
      <c r="B956" t="inlineStr">
        <is>
          <t>PS3545.I345 A8</t>
        </is>
      </c>
      <c r="C956" t="inlineStr">
        <is>
          <t>0                      PS 3545000I  345                A  8</t>
        </is>
      </c>
      <c r="D956" t="inlineStr">
        <is>
          <t>The angel that troubled the waters, and other plays, by Thornton Wilder.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K956" t="inlineStr">
        <is>
          <t>Wilder, Thornton, 1897-1975.</t>
        </is>
      </c>
      <c r="L956" t="inlineStr">
        <is>
          <t>New York, Coward-McCann, inc., 1928.</t>
        </is>
      </c>
      <c r="M956" t="inlineStr">
        <is>
          <t>1928</t>
        </is>
      </c>
      <c r="O956" t="inlineStr">
        <is>
          <t>eng</t>
        </is>
      </c>
      <c r="P956" t="inlineStr">
        <is>
          <t>nyu</t>
        </is>
      </c>
      <c r="R956" t="inlineStr">
        <is>
          <t xml:space="preserve">PS </t>
        </is>
      </c>
      <c r="S956" t="n">
        <v>3</v>
      </c>
      <c r="T956" t="n">
        <v>3</v>
      </c>
      <c r="U956" t="inlineStr">
        <is>
          <t>2000-04-09</t>
        </is>
      </c>
      <c r="V956" t="inlineStr">
        <is>
          <t>2000-04-09</t>
        </is>
      </c>
      <c r="W956" t="inlineStr">
        <is>
          <t>1997-06-24</t>
        </is>
      </c>
      <c r="X956" t="inlineStr">
        <is>
          <t>1997-06-24</t>
        </is>
      </c>
      <c r="Y956" t="n">
        <v>547</v>
      </c>
      <c r="Z956" t="n">
        <v>517</v>
      </c>
      <c r="AA956" t="n">
        <v>739</v>
      </c>
      <c r="AB956" t="n">
        <v>4</v>
      </c>
      <c r="AC956" t="n">
        <v>5</v>
      </c>
      <c r="AD956" t="n">
        <v>24</v>
      </c>
      <c r="AE956" t="n">
        <v>30</v>
      </c>
      <c r="AF956" t="n">
        <v>3</v>
      </c>
      <c r="AG956" t="n">
        <v>7</v>
      </c>
      <c r="AH956" t="n">
        <v>6</v>
      </c>
      <c r="AI956" t="n">
        <v>7</v>
      </c>
      <c r="AJ956" t="n">
        <v>16</v>
      </c>
      <c r="AK956" t="n">
        <v>19</v>
      </c>
      <c r="AL956" t="n">
        <v>3</v>
      </c>
      <c r="AM956" t="n">
        <v>4</v>
      </c>
      <c r="AN956" t="n">
        <v>0</v>
      </c>
      <c r="AO956" t="n">
        <v>0</v>
      </c>
      <c r="AP956" t="inlineStr">
        <is>
          <t>No</t>
        </is>
      </c>
      <c r="AQ956" t="inlineStr">
        <is>
          <t>Yes</t>
        </is>
      </c>
      <c r="AR956">
        <f>HYPERLINK("http://catalog.hathitrust.org/Record/001374092","HathiTrust Record")</f>
        <v/>
      </c>
      <c r="AS956">
        <f>HYPERLINK("https://creighton-primo.hosted.exlibrisgroup.com/primo-explore/search?tab=default_tab&amp;search_scope=EVERYTHING&amp;vid=01CRU&amp;lang=en_US&amp;offset=0&amp;query=any,contains,991003087749702656","Catalog Record")</f>
        <v/>
      </c>
      <c r="AT956">
        <f>HYPERLINK("http://www.worldcat.org/oclc/637965","WorldCat Record")</f>
        <v/>
      </c>
      <c r="AU956" t="inlineStr">
        <is>
          <t>1748703:eng</t>
        </is>
      </c>
      <c r="AV956" t="inlineStr">
        <is>
          <t>637965</t>
        </is>
      </c>
      <c r="AW956" t="inlineStr">
        <is>
          <t>991003087749702656</t>
        </is>
      </c>
      <c r="AX956" t="inlineStr">
        <is>
          <t>991003087749702656</t>
        </is>
      </c>
      <c r="AY956" t="inlineStr">
        <is>
          <t>2256484640002656</t>
        </is>
      </c>
      <c r="AZ956" t="inlineStr">
        <is>
          <t>BOOK</t>
        </is>
      </c>
      <c r="BC956" t="inlineStr">
        <is>
          <t>32285002846268</t>
        </is>
      </c>
      <c r="BD956" t="inlineStr">
        <is>
          <t>893233814</t>
        </is>
      </c>
    </row>
    <row r="957">
      <c r="A957" t="inlineStr">
        <is>
          <t>No</t>
        </is>
      </c>
      <c r="B957" t="inlineStr">
        <is>
          <t>PS3545.I5365 Z64 1962</t>
        </is>
      </c>
      <c r="C957" t="inlineStr">
        <is>
          <t>0                      PS 3545000I  5365               Z  64          1962</t>
        </is>
      </c>
      <c r="D957" t="inlineStr">
        <is>
          <t>Tennessee Williams / Signi Lenea Falk.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Yes</t>
        </is>
      </c>
      <c r="J957" t="inlineStr">
        <is>
          <t>0</t>
        </is>
      </c>
      <c r="K957" t="inlineStr">
        <is>
          <t>Falk, Signi Lenea, 1906-1997.</t>
        </is>
      </c>
      <c r="L957" t="inlineStr">
        <is>
          <t>New York : Twayne Publishers, [1962, c1961]</t>
        </is>
      </c>
      <c r="M957" t="inlineStr">
        <is>
          <t>1962</t>
        </is>
      </c>
      <c r="O957" t="inlineStr">
        <is>
          <t>eng</t>
        </is>
      </c>
      <c r="P957" t="inlineStr">
        <is>
          <t>nyu</t>
        </is>
      </c>
      <c r="Q957" t="inlineStr">
        <is>
          <t>Twayne's United States authors series, 10</t>
        </is>
      </c>
      <c r="R957" t="inlineStr">
        <is>
          <t xml:space="preserve">PS </t>
        </is>
      </c>
      <c r="S957" t="n">
        <v>5</v>
      </c>
      <c r="T957" t="n">
        <v>5</v>
      </c>
      <c r="U957" t="inlineStr">
        <is>
          <t>1999-04-27</t>
        </is>
      </c>
      <c r="V957" t="inlineStr">
        <is>
          <t>1999-04-27</t>
        </is>
      </c>
      <c r="W957" t="inlineStr">
        <is>
          <t>1996-04-10</t>
        </is>
      </c>
      <c r="X957" t="inlineStr">
        <is>
          <t>1996-04-10</t>
        </is>
      </c>
      <c r="Y957" t="n">
        <v>1349</v>
      </c>
      <c r="Z957" t="n">
        <v>1259</v>
      </c>
      <c r="AA957" t="n">
        <v>2464</v>
      </c>
      <c r="AB957" t="n">
        <v>10</v>
      </c>
      <c r="AC957" t="n">
        <v>18</v>
      </c>
      <c r="AD957" t="n">
        <v>33</v>
      </c>
      <c r="AE957" t="n">
        <v>59</v>
      </c>
      <c r="AF957" t="n">
        <v>14</v>
      </c>
      <c r="AG957" t="n">
        <v>27</v>
      </c>
      <c r="AH957" t="n">
        <v>5</v>
      </c>
      <c r="AI957" t="n">
        <v>9</v>
      </c>
      <c r="AJ957" t="n">
        <v>14</v>
      </c>
      <c r="AK957" t="n">
        <v>23</v>
      </c>
      <c r="AL957" t="n">
        <v>7</v>
      </c>
      <c r="AM957" t="n">
        <v>12</v>
      </c>
      <c r="AN957" t="n">
        <v>0</v>
      </c>
      <c r="AO957" t="n">
        <v>0</v>
      </c>
      <c r="AP957" t="inlineStr">
        <is>
          <t>No</t>
        </is>
      </c>
      <c r="AQ957" t="inlineStr">
        <is>
          <t>No</t>
        </is>
      </c>
      <c r="AS957">
        <f>HYPERLINK("https://creighton-primo.hosted.exlibrisgroup.com/primo-explore/search?tab=default_tab&amp;search_scope=EVERYTHING&amp;vid=01CRU&amp;lang=en_US&amp;offset=0&amp;query=any,contains,991003510469702656","Catalog Record")</f>
        <v/>
      </c>
      <c r="AT957">
        <f>HYPERLINK("http://www.worldcat.org/oclc/1064864","WorldCat Record")</f>
        <v/>
      </c>
      <c r="AU957" t="inlineStr">
        <is>
          <t>4916453924:eng</t>
        </is>
      </c>
      <c r="AV957" t="inlineStr">
        <is>
          <t>1064864</t>
        </is>
      </c>
      <c r="AW957" t="inlineStr">
        <is>
          <t>991003510469702656</t>
        </is>
      </c>
      <c r="AX957" t="inlineStr">
        <is>
          <t>991003510469702656</t>
        </is>
      </c>
      <c r="AY957" t="inlineStr">
        <is>
          <t>2257470010002656</t>
        </is>
      </c>
      <c r="AZ957" t="inlineStr">
        <is>
          <t>BOOK</t>
        </is>
      </c>
      <c r="BC957" t="inlineStr">
        <is>
          <t>32285000949320</t>
        </is>
      </c>
      <c r="BD957" t="inlineStr">
        <is>
          <t>893410350</t>
        </is>
      </c>
    </row>
    <row r="958">
      <c r="A958" t="inlineStr">
        <is>
          <t>No</t>
        </is>
      </c>
      <c r="B958" t="inlineStr">
        <is>
          <t>PS3545.I5365 Z84514 2002</t>
        </is>
      </c>
      <c r="C958" t="inlineStr">
        <is>
          <t>0                      PS 3545000I  5365               Z  84514       2002</t>
        </is>
      </c>
      <c r="D958" t="inlineStr">
        <is>
          <t>Tennessee Williams : a casebook / edited by Robert F. Gross.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L958" t="inlineStr">
        <is>
          <t>New York : Routledge, 2002.</t>
        </is>
      </c>
      <c r="M958" t="inlineStr">
        <is>
          <t>2002</t>
        </is>
      </c>
      <c r="O958" t="inlineStr">
        <is>
          <t>eng</t>
        </is>
      </c>
      <c r="P958" t="inlineStr">
        <is>
          <t>nyu</t>
        </is>
      </c>
      <c r="Q958" t="inlineStr">
        <is>
          <t>Casebooks on modern dramatists ; v. 31</t>
        </is>
      </c>
      <c r="R958" t="inlineStr">
        <is>
          <t xml:space="preserve">PS </t>
        </is>
      </c>
      <c r="S958" t="n">
        <v>2</v>
      </c>
      <c r="T958" t="n">
        <v>2</v>
      </c>
      <c r="U958" t="inlineStr">
        <is>
          <t>2005-09-29</t>
        </is>
      </c>
      <c r="V958" t="inlineStr">
        <is>
          <t>2005-09-29</t>
        </is>
      </c>
      <c r="W958" t="inlineStr">
        <is>
          <t>2005-04-12</t>
        </is>
      </c>
      <c r="X958" t="inlineStr">
        <is>
          <t>2005-04-12</t>
        </is>
      </c>
      <c r="Y958" t="n">
        <v>512</v>
      </c>
      <c r="Z958" t="n">
        <v>420</v>
      </c>
      <c r="AA958" t="n">
        <v>448</v>
      </c>
      <c r="AB958" t="n">
        <v>4</v>
      </c>
      <c r="AC958" t="n">
        <v>4</v>
      </c>
      <c r="AD958" t="n">
        <v>24</v>
      </c>
      <c r="AE958" t="n">
        <v>26</v>
      </c>
      <c r="AF958" t="n">
        <v>11</v>
      </c>
      <c r="AG958" t="n">
        <v>11</v>
      </c>
      <c r="AH958" t="n">
        <v>6</v>
      </c>
      <c r="AI958" t="n">
        <v>7</v>
      </c>
      <c r="AJ958" t="n">
        <v>11</v>
      </c>
      <c r="AK958" t="n">
        <v>11</v>
      </c>
      <c r="AL958" t="n">
        <v>3</v>
      </c>
      <c r="AM958" t="n">
        <v>3</v>
      </c>
      <c r="AN958" t="n">
        <v>0</v>
      </c>
      <c r="AO958" t="n">
        <v>1</v>
      </c>
      <c r="AP958" t="inlineStr">
        <is>
          <t>No</t>
        </is>
      </c>
      <c r="AQ958" t="inlineStr">
        <is>
          <t>No</t>
        </is>
      </c>
      <c r="AS958">
        <f>HYPERLINK("https://creighton-primo.hosted.exlibrisgroup.com/primo-explore/search?tab=default_tab&amp;search_scope=EVERYTHING&amp;vid=01CRU&amp;lang=en_US&amp;offset=0&amp;query=any,contains,991004515099702656","Catalog Record")</f>
        <v/>
      </c>
      <c r="AT958">
        <f>HYPERLINK("http://www.worldcat.org/oclc/45804816","WorldCat Record")</f>
        <v/>
      </c>
      <c r="AU958" t="inlineStr">
        <is>
          <t>837019955:eng</t>
        </is>
      </c>
      <c r="AV958" t="inlineStr">
        <is>
          <t>45804816</t>
        </is>
      </c>
      <c r="AW958" t="inlineStr">
        <is>
          <t>991004515099702656</t>
        </is>
      </c>
      <c r="AX958" t="inlineStr">
        <is>
          <t>991004515099702656</t>
        </is>
      </c>
      <c r="AY958" t="inlineStr">
        <is>
          <t>2257833630002656</t>
        </is>
      </c>
      <c r="AZ958" t="inlineStr">
        <is>
          <t>BOOK</t>
        </is>
      </c>
      <c r="BB958" t="inlineStr">
        <is>
          <t>9780815331742</t>
        </is>
      </c>
      <c r="BC958" t="inlineStr">
        <is>
          <t>32285005049969</t>
        </is>
      </c>
      <c r="BD958" t="inlineStr">
        <is>
          <t>893442704</t>
        </is>
      </c>
    </row>
    <row r="959">
      <c r="A959" t="inlineStr">
        <is>
          <t>No</t>
        </is>
      </c>
      <c r="B959" t="inlineStr">
        <is>
          <t>PS3545.I5365 Z857 1988</t>
        </is>
      </c>
      <c r="C959" t="inlineStr">
        <is>
          <t>0                      PS 3545000I  5365               Z  857         1988</t>
        </is>
      </c>
      <c r="D959" t="inlineStr">
        <is>
          <t>Tennessee Williams : a study of the short fiction / Dennis Vannatta.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K959" t="inlineStr">
        <is>
          <t>Vannatta, Dennis P.</t>
        </is>
      </c>
      <c r="L959" t="inlineStr">
        <is>
          <t>Boston : Twayne Publishers, c1988.</t>
        </is>
      </c>
      <c r="M959" t="inlineStr">
        <is>
          <t>1988</t>
        </is>
      </c>
      <c r="O959" t="inlineStr">
        <is>
          <t>eng</t>
        </is>
      </c>
      <c r="P959" t="inlineStr">
        <is>
          <t>mau</t>
        </is>
      </c>
      <c r="Q959" t="inlineStr">
        <is>
          <t>Twayne's studies in short fiction ; TSSF 4</t>
        </is>
      </c>
      <c r="R959" t="inlineStr">
        <is>
          <t xml:space="preserve">PS </t>
        </is>
      </c>
      <c r="S959" t="n">
        <v>3</v>
      </c>
      <c r="T959" t="n">
        <v>3</v>
      </c>
      <c r="U959" t="inlineStr">
        <is>
          <t>1993-07-07</t>
        </is>
      </c>
      <c r="V959" t="inlineStr">
        <is>
          <t>1993-07-07</t>
        </is>
      </c>
      <c r="W959" t="inlineStr">
        <is>
          <t>1990-12-11</t>
        </is>
      </c>
      <c r="X959" t="inlineStr">
        <is>
          <t>1990-12-11</t>
        </is>
      </c>
      <c r="Y959" t="n">
        <v>691</v>
      </c>
      <c r="Z959" t="n">
        <v>624</v>
      </c>
      <c r="AA959" t="n">
        <v>629</v>
      </c>
      <c r="AB959" t="n">
        <v>3</v>
      </c>
      <c r="AC959" t="n">
        <v>3</v>
      </c>
      <c r="AD959" t="n">
        <v>16</v>
      </c>
      <c r="AE959" t="n">
        <v>16</v>
      </c>
      <c r="AF959" t="n">
        <v>4</v>
      </c>
      <c r="AG959" t="n">
        <v>4</v>
      </c>
      <c r="AH959" t="n">
        <v>5</v>
      </c>
      <c r="AI959" t="n">
        <v>5</v>
      </c>
      <c r="AJ959" t="n">
        <v>11</v>
      </c>
      <c r="AK959" t="n">
        <v>11</v>
      </c>
      <c r="AL959" t="n">
        <v>2</v>
      </c>
      <c r="AM959" t="n">
        <v>2</v>
      </c>
      <c r="AN959" t="n">
        <v>0</v>
      </c>
      <c r="AO959" t="n">
        <v>0</v>
      </c>
      <c r="AP959" t="inlineStr">
        <is>
          <t>No</t>
        </is>
      </c>
      <c r="AQ959" t="inlineStr">
        <is>
          <t>No</t>
        </is>
      </c>
      <c r="AS959">
        <f>HYPERLINK("https://creighton-primo.hosted.exlibrisgroup.com/primo-explore/search?tab=default_tab&amp;search_scope=EVERYTHING&amp;vid=01CRU&amp;lang=en_US&amp;offset=0&amp;query=any,contains,991001261279702656","Catalog Record")</f>
        <v/>
      </c>
      <c r="AT959">
        <f>HYPERLINK("http://www.worldcat.org/oclc/17768500","WorldCat Record")</f>
        <v/>
      </c>
      <c r="AU959" t="inlineStr">
        <is>
          <t>1862565893:eng</t>
        </is>
      </c>
      <c r="AV959" t="inlineStr">
        <is>
          <t>17768500</t>
        </is>
      </c>
      <c r="AW959" t="inlineStr">
        <is>
          <t>991001261279702656</t>
        </is>
      </c>
      <c r="AX959" t="inlineStr">
        <is>
          <t>991001261279702656</t>
        </is>
      </c>
      <c r="AY959" t="inlineStr">
        <is>
          <t>2258978160002656</t>
        </is>
      </c>
      <c r="AZ959" t="inlineStr">
        <is>
          <t>BOOK</t>
        </is>
      </c>
      <c r="BB959" t="inlineStr">
        <is>
          <t>9780805783049</t>
        </is>
      </c>
      <c r="BC959" t="inlineStr">
        <is>
          <t>32285000419134</t>
        </is>
      </c>
      <c r="BD959" t="inlineStr">
        <is>
          <t>893778685</t>
        </is>
      </c>
    </row>
    <row r="960">
      <c r="A960" t="inlineStr">
        <is>
          <t>No</t>
        </is>
      </c>
      <c r="B960" t="inlineStr">
        <is>
          <t>PS3545.I5365 Z95 1977</t>
        </is>
      </c>
      <c r="C960" t="inlineStr">
        <is>
          <t>0                      PS 3545000I  5365               Z  95          1977</t>
        </is>
      </c>
      <c r="D960" t="inlineStr">
        <is>
          <t>Tennessee Williams and film / Maurice Yacowar.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K960" t="inlineStr">
        <is>
          <t>Yacowar, Maurice.</t>
        </is>
      </c>
      <c r="L960" t="inlineStr">
        <is>
          <t>New York : F. Ungar Pub. Co., c1977.</t>
        </is>
      </c>
      <c r="M960" t="inlineStr">
        <is>
          <t>1977</t>
        </is>
      </c>
      <c r="O960" t="inlineStr">
        <is>
          <t>eng</t>
        </is>
      </c>
      <c r="P960" t="inlineStr">
        <is>
          <t>nyu</t>
        </is>
      </c>
      <c r="Q960" t="inlineStr">
        <is>
          <t>Ungar film library</t>
        </is>
      </c>
      <c r="R960" t="inlineStr">
        <is>
          <t xml:space="preserve">PS </t>
        </is>
      </c>
      <c r="S960" t="n">
        <v>3</v>
      </c>
      <c r="T960" t="n">
        <v>3</v>
      </c>
      <c r="U960" t="inlineStr">
        <is>
          <t>2005-10-23</t>
        </is>
      </c>
      <c r="V960" t="inlineStr">
        <is>
          <t>2005-10-23</t>
        </is>
      </c>
      <c r="W960" t="inlineStr">
        <is>
          <t>2002-11-20</t>
        </is>
      </c>
      <c r="X960" t="inlineStr">
        <is>
          <t>2002-11-20</t>
        </is>
      </c>
      <c r="Y960" t="n">
        <v>676</v>
      </c>
      <c r="Z960" t="n">
        <v>554</v>
      </c>
      <c r="AA960" t="n">
        <v>561</v>
      </c>
      <c r="AB960" t="n">
        <v>4</v>
      </c>
      <c r="AC960" t="n">
        <v>4</v>
      </c>
      <c r="AD960" t="n">
        <v>18</v>
      </c>
      <c r="AE960" t="n">
        <v>18</v>
      </c>
      <c r="AF960" t="n">
        <v>6</v>
      </c>
      <c r="AG960" t="n">
        <v>6</v>
      </c>
      <c r="AH960" t="n">
        <v>4</v>
      </c>
      <c r="AI960" t="n">
        <v>4</v>
      </c>
      <c r="AJ960" t="n">
        <v>10</v>
      </c>
      <c r="AK960" t="n">
        <v>10</v>
      </c>
      <c r="AL960" t="n">
        <v>3</v>
      </c>
      <c r="AM960" t="n">
        <v>3</v>
      </c>
      <c r="AN960" t="n">
        <v>0</v>
      </c>
      <c r="AO960" t="n">
        <v>0</v>
      </c>
      <c r="AP960" t="inlineStr">
        <is>
          <t>No</t>
        </is>
      </c>
      <c r="AQ960" t="inlineStr">
        <is>
          <t>Yes</t>
        </is>
      </c>
      <c r="AR960">
        <f>HYPERLINK("http://catalog.hathitrust.org/Record/000213820","HathiTrust Record")</f>
        <v/>
      </c>
      <c r="AS960">
        <f>HYPERLINK("https://creighton-primo.hosted.exlibrisgroup.com/primo-explore/search?tab=default_tab&amp;search_scope=EVERYTHING&amp;vid=01CRU&amp;lang=en_US&amp;offset=0&amp;query=any,contains,991003948019702656","Catalog Record")</f>
        <v/>
      </c>
      <c r="AT960">
        <f>HYPERLINK("http://www.worldcat.org/oclc/2966217","WorldCat Record")</f>
        <v/>
      </c>
      <c r="AU960" t="inlineStr">
        <is>
          <t>457985:eng</t>
        </is>
      </c>
      <c r="AV960" t="inlineStr">
        <is>
          <t>2966217</t>
        </is>
      </c>
      <c r="AW960" t="inlineStr">
        <is>
          <t>991003948019702656</t>
        </is>
      </c>
      <c r="AX960" t="inlineStr">
        <is>
          <t>991003948019702656</t>
        </is>
      </c>
      <c r="AY960" t="inlineStr">
        <is>
          <t>2267597450002656</t>
        </is>
      </c>
      <c r="AZ960" t="inlineStr">
        <is>
          <t>BOOK</t>
        </is>
      </c>
      <c r="BB960" t="inlineStr">
        <is>
          <t>9780804429924</t>
        </is>
      </c>
      <c r="BC960" t="inlineStr">
        <is>
          <t>32285004665112</t>
        </is>
      </c>
      <c r="BD960" t="inlineStr">
        <is>
          <t>893259116</t>
        </is>
      </c>
    </row>
    <row r="961">
      <c r="A961" t="inlineStr">
        <is>
          <t>No</t>
        </is>
      </c>
      <c r="B961" t="inlineStr">
        <is>
          <t>PS3545.I544 D735 1983</t>
        </is>
      </c>
      <c r="C961" t="inlineStr">
        <is>
          <t>0                      PS 3545000I  544                D  735         1983</t>
        </is>
      </c>
      <c r="D961" t="inlineStr">
        <is>
          <t>William Carlos Williams's A dream of love / by Steven Ross Loevy.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K961" t="inlineStr">
        <is>
          <t>Loevy, Steven Ross.</t>
        </is>
      </c>
      <c r="L961" t="inlineStr">
        <is>
          <t>Ann Arbor, Mich. : UMI Research Press, c1983.</t>
        </is>
      </c>
      <c r="M961" t="inlineStr">
        <is>
          <t>1983</t>
        </is>
      </c>
      <c r="O961" t="inlineStr">
        <is>
          <t>eng</t>
        </is>
      </c>
      <c r="P961" t="inlineStr">
        <is>
          <t>miu</t>
        </is>
      </c>
      <c r="Q961" t="inlineStr">
        <is>
          <t>Studies in modern literature ; no. 22</t>
        </is>
      </c>
      <c r="R961" t="inlineStr">
        <is>
          <t xml:space="preserve">PS </t>
        </is>
      </c>
      <c r="S961" t="n">
        <v>3</v>
      </c>
      <c r="T961" t="n">
        <v>3</v>
      </c>
      <c r="U961" t="inlineStr">
        <is>
          <t>1999-09-15</t>
        </is>
      </c>
      <c r="V961" t="inlineStr">
        <is>
          <t>1999-09-15</t>
        </is>
      </c>
      <c r="W961" t="inlineStr">
        <is>
          <t>1990-12-11</t>
        </is>
      </c>
      <c r="X961" t="inlineStr">
        <is>
          <t>1990-12-11</t>
        </is>
      </c>
      <c r="Y961" t="n">
        <v>193</v>
      </c>
      <c r="Z961" t="n">
        <v>154</v>
      </c>
      <c r="AA961" t="n">
        <v>161</v>
      </c>
      <c r="AB961" t="n">
        <v>2</v>
      </c>
      <c r="AC961" t="n">
        <v>2</v>
      </c>
      <c r="AD961" t="n">
        <v>6</v>
      </c>
      <c r="AE961" t="n">
        <v>6</v>
      </c>
      <c r="AF961" t="n">
        <v>1</v>
      </c>
      <c r="AG961" t="n">
        <v>1</v>
      </c>
      <c r="AH961" t="n">
        <v>2</v>
      </c>
      <c r="AI961" t="n">
        <v>2</v>
      </c>
      <c r="AJ961" t="n">
        <v>5</v>
      </c>
      <c r="AK961" t="n">
        <v>5</v>
      </c>
      <c r="AL961" t="n">
        <v>1</v>
      </c>
      <c r="AM961" t="n">
        <v>1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HYPERLINK("http://catalog.hathitrust.org/Record/000203987","HathiTrust Record")</f>
        <v/>
      </c>
      <c r="AS961">
        <f>HYPERLINK("https://creighton-primo.hosted.exlibrisgroup.com/primo-explore/search?tab=default_tab&amp;search_scope=EVERYTHING&amp;vid=01CRU&amp;lang=en_US&amp;offset=0&amp;query=any,contains,991000212709702656","Catalog Record")</f>
        <v/>
      </c>
      <c r="AT961">
        <f>HYPERLINK("http://www.worldcat.org/oclc/9555749","WorldCat Record")</f>
        <v/>
      </c>
      <c r="AU961" t="inlineStr">
        <is>
          <t>4933609:eng</t>
        </is>
      </c>
      <c r="AV961" t="inlineStr">
        <is>
          <t>9555749</t>
        </is>
      </c>
      <c r="AW961" t="inlineStr">
        <is>
          <t>991000212709702656</t>
        </is>
      </c>
      <c r="AX961" t="inlineStr">
        <is>
          <t>991000212709702656</t>
        </is>
      </c>
      <c r="AY961" t="inlineStr">
        <is>
          <t>2268108120002656</t>
        </is>
      </c>
      <c r="AZ961" t="inlineStr">
        <is>
          <t>BOOK</t>
        </is>
      </c>
      <c r="BB961" t="inlineStr">
        <is>
          <t>9780835714501</t>
        </is>
      </c>
      <c r="BC961" t="inlineStr">
        <is>
          <t>32285000419159</t>
        </is>
      </c>
      <c r="BD961" t="inlineStr">
        <is>
          <t>893333308</t>
        </is>
      </c>
    </row>
    <row r="962">
      <c r="A962" t="inlineStr">
        <is>
          <t>No</t>
        </is>
      </c>
      <c r="B962" t="inlineStr">
        <is>
          <t>PS3545.I544 K636 1983</t>
        </is>
      </c>
      <c r="C962" t="inlineStr">
        <is>
          <t>0                      PS 3545000I  544                K  636         1983</t>
        </is>
      </c>
      <c r="D962" t="inlineStr">
        <is>
          <t>The prepoetics of William Carlos Williams : Kora in Hell / by Roy Miki.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Miki, Roy.</t>
        </is>
      </c>
      <c r="L962" t="inlineStr">
        <is>
          <t>Ann Arbor, Mich. : UMI Research Press, c1983.</t>
        </is>
      </c>
      <c r="M962" t="inlineStr">
        <is>
          <t>1983</t>
        </is>
      </c>
      <c r="O962" t="inlineStr">
        <is>
          <t>eng</t>
        </is>
      </c>
      <c r="P962" t="inlineStr">
        <is>
          <t>miu</t>
        </is>
      </c>
      <c r="Q962" t="inlineStr">
        <is>
          <t>Studies in modern literature ; no. 32</t>
        </is>
      </c>
      <c r="R962" t="inlineStr">
        <is>
          <t xml:space="preserve">PS </t>
        </is>
      </c>
      <c r="S962" t="n">
        <v>1</v>
      </c>
      <c r="T962" t="n">
        <v>1</v>
      </c>
      <c r="U962" t="inlineStr">
        <is>
          <t>1995-03-09</t>
        </is>
      </c>
      <c r="V962" t="inlineStr">
        <is>
          <t>1995-03-09</t>
        </is>
      </c>
      <c r="W962" t="inlineStr">
        <is>
          <t>1990-12-11</t>
        </is>
      </c>
      <c r="X962" t="inlineStr">
        <is>
          <t>1990-12-11</t>
        </is>
      </c>
      <c r="Y962" t="n">
        <v>212</v>
      </c>
      <c r="Z962" t="n">
        <v>151</v>
      </c>
      <c r="AA962" t="n">
        <v>158</v>
      </c>
      <c r="AB962" t="n">
        <v>2</v>
      </c>
      <c r="AC962" t="n">
        <v>2</v>
      </c>
      <c r="AD962" t="n">
        <v>7</v>
      </c>
      <c r="AE962" t="n">
        <v>7</v>
      </c>
      <c r="AF962" t="n">
        <v>1</v>
      </c>
      <c r="AG962" t="n">
        <v>1</v>
      </c>
      <c r="AH962" t="n">
        <v>2</v>
      </c>
      <c r="AI962" t="n">
        <v>2</v>
      </c>
      <c r="AJ962" t="n">
        <v>6</v>
      </c>
      <c r="AK962" t="n">
        <v>6</v>
      </c>
      <c r="AL962" t="n">
        <v>1</v>
      </c>
      <c r="AM962" t="n">
        <v>1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HYPERLINK("http://catalog.hathitrust.org/Record/000160389","HathiTrust Record")</f>
        <v/>
      </c>
      <c r="AS962">
        <f>HYPERLINK("https://creighton-primo.hosted.exlibrisgroup.com/primo-explore/search?tab=default_tab&amp;search_scope=EVERYTHING&amp;vid=01CRU&amp;lang=en_US&amp;offset=0&amp;query=any,contains,991000264729702656","Catalog Record")</f>
        <v/>
      </c>
      <c r="AT962">
        <f>HYPERLINK("http://www.worldcat.org/oclc/9828468","WorldCat Record")</f>
        <v/>
      </c>
      <c r="AU962" t="inlineStr">
        <is>
          <t>21010806:eng</t>
        </is>
      </c>
      <c r="AV962" t="inlineStr">
        <is>
          <t>9828468</t>
        </is>
      </c>
      <c r="AW962" t="inlineStr">
        <is>
          <t>991000264729702656</t>
        </is>
      </c>
      <c r="AX962" t="inlineStr">
        <is>
          <t>991000264729702656</t>
        </is>
      </c>
      <c r="AY962" t="inlineStr">
        <is>
          <t>2269598650002656</t>
        </is>
      </c>
      <c r="AZ962" t="inlineStr">
        <is>
          <t>BOOK</t>
        </is>
      </c>
      <c r="BB962" t="inlineStr">
        <is>
          <t>9780835714761</t>
        </is>
      </c>
      <c r="BC962" t="inlineStr">
        <is>
          <t>32285000419167</t>
        </is>
      </c>
      <c r="BD962" t="inlineStr">
        <is>
          <t>893502373</t>
        </is>
      </c>
    </row>
    <row r="963">
      <c r="A963" t="inlineStr">
        <is>
          <t>No</t>
        </is>
      </c>
      <c r="B963" t="inlineStr">
        <is>
          <t>PS3545.I544 Z577</t>
        </is>
      </c>
      <c r="C963" t="inlineStr">
        <is>
          <t>0                      PS 3545000I  544                Z  577</t>
        </is>
      </c>
      <c r="D963" t="inlineStr">
        <is>
          <t>William Carlos Williams, an American artist / [by] James E. Breslin.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Breslin, James E. B., 1935-</t>
        </is>
      </c>
      <c r="L963" t="inlineStr">
        <is>
          <t>New York : Oxford University Press, 1970.</t>
        </is>
      </c>
      <c r="M963" t="inlineStr">
        <is>
          <t>1970</t>
        </is>
      </c>
      <c r="O963" t="inlineStr">
        <is>
          <t>eng</t>
        </is>
      </c>
      <c r="P963" t="inlineStr">
        <is>
          <t>nyu</t>
        </is>
      </c>
      <c r="R963" t="inlineStr">
        <is>
          <t xml:space="preserve">PS </t>
        </is>
      </c>
      <c r="S963" t="n">
        <v>4</v>
      </c>
      <c r="T963" t="n">
        <v>4</v>
      </c>
      <c r="U963" t="inlineStr">
        <is>
          <t>1994-05-15</t>
        </is>
      </c>
      <c r="V963" t="inlineStr">
        <is>
          <t>1994-05-15</t>
        </is>
      </c>
      <c r="W963" t="inlineStr">
        <is>
          <t>1993-03-01</t>
        </is>
      </c>
      <c r="X963" t="inlineStr">
        <is>
          <t>1993-03-01</t>
        </is>
      </c>
      <c r="Y963" t="n">
        <v>1238</v>
      </c>
      <c r="Z963" t="n">
        <v>1075</v>
      </c>
      <c r="AA963" t="n">
        <v>1171</v>
      </c>
      <c r="AB963" t="n">
        <v>9</v>
      </c>
      <c r="AC963" t="n">
        <v>9</v>
      </c>
      <c r="AD963" t="n">
        <v>43</v>
      </c>
      <c r="AE963" t="n">
        <v>46</v>
      </c>
      <c r="AF963" t="n">
        <v>18</v>
      </c>
      <c r="AG963" t="n">
        <v>20</v>
      </c>
      <c r="AH963" t="n">
        <v>9</v>
      </c>
      <c r="AI963" t="n">
        <v>10</v>
      </c>
      <c r="AJ963" t="n">
        <v>22</v>
      </c>
      <c r="AK963" t="n">
        <v>22</v>
      </c>
      <c r="AL963" t="n">
        <v>7</v>
      </c>
      <c r="AM963" t="n">
        <v>7</v>
      </c>
      <c r="AN963" t="n">
        <v>0</v>
      </c>
      <c r="AO963" t="n">
        <v>0</v>
      </c>
      <c r="AP963" t="inlineStr">
        <is>
          <t>No</t>
        </is>
      </c>
      <c r="AQ963" t="inlineStr">
        <is>
          <t>No</t>
        </is>
      </c>
      <c r="AS963">
        <f>HYPERLINK("https://creighton-primo.hosted.exlibrisgroup.com/primo-explore/search?tab=default_tab&amp;search_scope=EVERYTHING&amp;vid=01CRU&amp;lang=en_US&amp;offset=0&amp;query=any,contains,991000615079702656","Catalog Record")</f>
        <v/>
      </c>
      <c r="AT963">
        <f>HYPERLINK("http://www.worldcat.org/oclc/101488","WorldCat Record")</f>
        <v/>
      </c>
      <c r="AU963" t="inlineStr">
        <is>
          <t>1862266940:eng</t>
        </is>
      </c>
      <c r="AV963" t="inlineStr">
        <is>
          <t>101488</t>
        </is>
      </c>
      <c r="AW963" t="inlineStr">
        <is>
          <t>991000615079702656</t>
        </is>
      </c>
      <c r="AX963" t="inlineStr">
        <is>
          <t>991000615079702656</t>
        </is>
      </c>
      <c r="AY963" t="inlineStr">
        <is>
          <t>2261356710002656</t>
        </is>
      </c>
      <c r="AZ963" t="inlineStr">
        <is>
          <t>BOOK</t>
        </is>
      </c>
      <c r="BC963" t="inlineStr">
        <is>
          <t>32285001541449</t>
        </is>
      </c>
      <c r="BD963" t="inlineStr">
        <is>
          <t>893432123</t>
        </is>
      </c>
    </row>
    <row r="964">
      <c r="A964" t="inlineStr">
        <is>
          <t>No</t>
        </is>
      </c>
      <c r="B964" t="inlineStr">
        <is>
          <t>PS3545.I544 Z584 1985</t>
        </is>
      </c>
      <c r="C964" t="inlineStr">
        <is>
          <t>0                      PS 3545000I  544                Z  584         1985</t>
        </is>
      </c>
      <c r="D964" t="inlineStr">
        <is>
          <t>William Carlos Williams and the meanings of measure / Stephen Cushman.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Cushman, Stephen, 1956-</t>
        </is>
      </c>
      <c r="L964" t="inlineStr">
        <is>
          <t>New Haven : Yale University Press, c1985.</t>
        </is>
      </c>
      <c r="M964" t="inlineStr">
        <is>
          <t>1985</t>
        </is>
      </c>
      <c r="O964" t="inlineStr">
        <is>
          <t>eng</t>
        </is>
      </c>
      <c r="P964" t="inlineStr">
        <is>
          <t>ctu</t>
        </is>
      </c>
      <c r="Q964" t="inlineStr">
        <is>
          <t>Yale studies in English ; 193</t>
        </is>
      </c>
      <c r="R964" t="inlineStr">
        <is>
          <t xml:space="preserve">PS </t>
        </is>
      </c>
      <c r="S964" t="n">
        <v>10</v>
      </c>
      <c r="T964" t="n">
        <v>10</v>
      </c>
      <c r="U964" t="inlineStr">
        <is>
          <t>1994-05-15</t>
        </is>
      </c>
      <c r="V964" t="inlineStr">
        <is>
          <t>1994-05-15</t>
        </is>
      </c>
      <c r="W964" t="inlineStr">
        <is>
          <t>1990-12-11</t>
        </is>
      </c>
      <c r="X964" t="inlineStr">
        <is>
          <t>1990-12-11</t>
        </is>
      </c>
      <c r="Y964" t="n">
        <v>532</v>
      </c>
      <c r="Z964" t="n">
        <v>417</v>
      </c>
      <c r="AA964" t="n">
        <v>418</v>
      </c>
      <c r="AB964" t="n">
        <v>4</v>
      </c>
      <c r="AC964" t="n">
        <v>4</v>
      </c>
      <c r="AD964" t="n">
        <v>22</v>
      </c>
      <c r="AE964" t="n">
        <v>22</v>
      </c>
      <c r="AF964" t="n">
        <v>7</v>
      </c>
      <c r="AG964" t="n">
        <v>7</v>
      </c>
      <c r="AH964" t="n">
        <v>6</v>
      </c>
      <c r="AI964" t="n">
        <v>6</v>
      </c>
      <c r="AJ964" t="n">
        <v>12</v>
      </c>
      <c r="AK964" t="n">
        <v>12</v>
      </c>
      <c r="AL964" t="n">
        <v>3</v>
      </c>
      <c r="AM964" t="n">
        <v>3</v>
      </c>
      <c r="AN964" t="n">
        <v>0</v>
      </c>
      <c r="AO964" t="n">
        <v>0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HYPERLINK("https://creighton-primo.hosted.exlibrisgroup.com/primo-explore/search?tab=default_tab&amp;search_scope=EVERYTHING&amp;vid=01CRU&amp;lang=en_US&amp;offset=0&amp;query=any,contains,991000592049702656","Catalog Record")</f>
        <v/>
      </c>
      <c r="AT964">
        <f>HYPERLINK("http://www.worldcat.org/oclc/11785580","WorldCat Record")</f>
        <v/>
      </c>
      <c r="AU964" t="inlineStr">
        <is>
          <t>4636054:eng</t>
        </is>
      </c>
      <c r="AV964" t="inlineStr">
        <is>
          <t>11785580</t>
        </is>
      </c>
      <c r="AW964" t="inlineStr">
        <is>
          <t>991000592049702656</t>
        </is>
      </c>
      <c r="AX964" t="inlineStr">
        <is>
          <t>991000592049702656</t>
        </is>
      </c>
      <c r="AY964" t="inlineStr">
        <is>
          <t>2255837210002656</t>
        </is>
      </c>
      <c r="AZ964" t="inlineStr">
        <is>
          <t>BOOK</t>
        </is>
      </c>
      <c r="BB964" t="inlineStr">
        <is>
          <t>9780300033731</t>
        </is>
      </c>
      <c r="BC964" t="inlineStr">
        <is>
          <t>32285000419209</t>
        </is>
      </c>
      <c r="BD964" t="inlineStr">
        <is>
          <t>893407343</t>
        </is>
      </c>
    </row>
    <row r="965">
      <c r="A965" t="inlineStr">
        <is>
          <t>No</t>
        </is>
      </c>
      <c r="B965" t="inlineStr">
        <is>
          <t>PS3545.I544 Z585</t>
        </is>
      </c>
      <c r="C965" t="inlineStr">
        <is>
          <t>0                      PS 3545000I  544                Z  585</t>
        </is>
      </c>
      <c r="D965" t="inlineStr">
        <is>
          <t>The hieroglyphics of a new speech; cubism, Stieglitz, and the early poetry of William Carlos Williams.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Dijkstra, Bram.</t>
        </is>
      </c>
      <c r="L965" t="inlineStr">
        <is>
          <t>[Princeton, N.J.] Princeton University Press, 1969.</t>
        </is>
      </c>
      <c r="M965" t="inlineStr">
        <is>
          <t>1969</t>
        </is>
      </c>
      <c r="O965" t="inlineStr">
        <is>
          <t>eng</t>
        </is>
      </c>
      <c r="P965" t="inlineStr">
        <is>
          <t>nju</t>
        </is>
      </c>
      <c r="R965" t="inlineStr">
        <is>
          <t xml:space="preserve">PS </t>
        </is>
      </c>
      <c r="S965" t="n">
        <v>3</v>
      </c>
      <c r="T965" t="n">
        <v>3</v>
      </c>
      <c r="U965" t="inlineStr">
        <is>
          <t>2001-10-10</t>
        </is>
      </c>
      <c r="V965" t="inlineStr">
        <is>
          <t>2001-10-10</t>
        </is>
      </c>
      <c r="W965" t="inlineStr">
        <is>
          <t>1997-06-25</t>
        </is>
      </c>
      <c r="X965" t="inlineStr">
        <is>
          <t>1997-06-25</t>
        </is>
      </c>
      <c r="Y965" t="n">
        <v>870</v>
      </c>
      <c r="Z965" t="n">
        <v>708</v>
      </c>
      <c r="AA965" t="n">
        <v>715</v>
      </c>
      <c r="AB965" t="n">
        <v>8</v>
      </c>
      <c r="AC965" t="n">
        <v>8</v>
      </c>
      <c r="AD965" t="n">
        <v>34</v>
      </c>
      <c r="AE965" t="n">
        <v>35</v>
      </c>
      <c r="AF965" t="n">
        <v>15</v>
      </c>
      <c r="AG965" t="n">
        <v>16</v>
      </c>
      <c r="AH965" t="n">
        <v>7</v>
      </c>
      <c r="AI965" t="n">
        <v>8</v>
      </c>
      <c r="AJ965" t="n">
        <v>15</v>
      </c>
      <c r="AK965" t="n">
        <v>15</v>
      </c>
      <c r="AL965" t="n">
        <v>7</v>
      </c>
      <c r="AM965" t="n">
        <v>7</v>
      </c>
      <c r="AN965" t="n">
        <v>0</v>
      </c>
      <c r="AO965" t="n">
        <v>0</v>
      </c>
      <c r="AP965" t="inlineStr">
        <is>
          <t>No</t>
        </is>
      </c>
      <c r="AQ965" t="inlineStr">
        <is>
          <t>No</t>
        </is>
      </c>
      <c r="AS965">
        <f>HYPERLINK("https://creighton-primo.hosted.exlibrisgroup.com/primo-explore/search?tab=default_tab&amp;search_scope=EVERYTHING&amp;vid=01CRU&amp;lang=en_US&amp;offset=0&amp;query=any,contains,991000131429702656","Catalog Record")</f>
        <v/>
      </c>
      <c r="AT965">
        <f>HYPERLINK("http://www.worldcat.org/oclc/54311","WorldCat Record")</f>
        <v/>
      </c>
      <c r="AU965" t="inlineStr">
        <is>
          <t>3858745912:eng</t>
        </is>
      </c>
      <c r="AV965" t="inlineStr">
        <is>
          <t>54311</t>
        </is>
      </c>
      <c r="AW965" t="inlineStr">
        <is>
          <t>991000131429702656</t>
        </is>
      </c>
      <c r="AX965" t="inlineStr">
        <is>
          <t>991000131429702656</t>
        </is>
      </c>
      <c r="AY965" t="inlineStr">
        <is>
          <t>2258196610002656</t>
        </is>
      </c>
      <c r="AZ965" t="inlineStr">
        <is>
          <t>BOOK</t>
        </is>
      </c>
      <c r="BB965" t="inlineStr">
        <is>
          <t>9780691061696</t>
        </is>
      </c>
      <c r="BC965" t="inlineStr">
        <is>
          <t>32285002846490</t>
        </is>
      </c>
      <c r="BD965" t="inlineStr">
        <is>
          <t>893224762</t>
        </is>
      </c>
    </row>
    <row r="966">
      <c r="A966" t="inlineStr">
        <is>
          <t>No</t>
        </is>
      </c>
      <c r="B966" t="inlineStr">
        <is>
          <t>PS3545.I544 Z5877 1983</t>
        </is>
      </c>
      <c r="C966" t="inlineStr">
        <is>
          <t>0                      PS 3545000I  544                Z  5877        1983</t>
        </is>
      </c>
      <c r="D966" t="inlineStr">
        <is>
          <t>William Carlos Williams : a poet in the American theatre / by David A. Fedo.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Fedo, David A.</t>
        </is>
      </c>
      <c r="L966" t="inlineStr">
        <is>
          <t>Ann Arbor, Mich. : UMI Research Press, c1983.</t>
        </is>
      </c>
      <c r="M966" t="inlineStr">
        <is>
          <t>1983</t>
        </is>
      </c>
      <c r="O966" t="inlineStr">
        <is>
          <t>eng</t>
        </is>
      </c>
      <c r="P966" t="inlineStr">
        <is>
          <t>miu</t>
        </is>
      </c>
      <c r="Q966" t="inlineStr">
        <is>
          <t>Studies in modern literature ; no. 7</t>
        </is>
      </c>
      <c r="R966" t="inlineStr">
        <is>
          <t xml:space="preserve">PS </t>
        </is>
      </c>
      <c r="S966" t="n">
        <v>1</v>
      </c>
      <c r="T966" t="n">
        <v>1</v>
      </c>
      <c r="U966" t="inlineStr">
        <is>
          <t>1993-02-23</t>
        </is>
      </c>
      <c r="V966" t="inlineStr">
        <is>
          <t>1993-02-23</t>
        </is>
      </c>
      <c r="W966" t="inlineStr">
        <is>
          <t>1990-12-11</t>
        </is>
      </c>
      <c r="X966" t="inlineStr">
        <is>
          <t>1990-12-11</t>
        </is>
      </c>
      <c r="Y966" t="n">
        <v>388</v>
      </c>
      <c r="Z966" t="n">
        <v>311</v>
      </c>
      <c r="AA966" t="n">
        <v>317</v>
      </c>
      <c r="AB966" t="n">
        <v>3</v>
      </c>
      <c r="AC966" t="n">
        <v>3</v>
      </c>
      <c r="AD966" t="n">
        <v>13</v>
      </c>
      <c r="AE966" t="n">
        <v>13</v>
      </c>
      <c r="AF966" t="n">
        <v>4</v>
      </c>
      <c r="AG966" t="n">
        <v>4</v>
      </c>
      <c r="AH966" t="n">
        <v>4</v>
      </c>
      <c r="AI966" t="n">
        <v>4</v>
      </c>
      <c r="AJ966" t="n">
        <v>8</v>
      </c>
      <c r="AK966" t="n">
        <v>8</v>
      </c>
      <c r="AL966" t="n">
        <v>2</v>
      </c>
      <c r="AM966" t="n">
        <v>2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HYPERLINK("http://catalog.hathitrust.org/Record/000114291","HathiTrust Record")</f>
        <v/>
      </c>
      <c r="AS966">
        <f>HYPERLINK("https://creighton-primo.hosted.exlibrisgroup.com/primo-explore/search?tab=default_tab&amp;search_scope=EVERYTHING&amp;vid=01CRU&amp;lang=en_US&amp;offset=0&amp;query=any,contains,991000147549702656","Catalog Record")</f>
        <v/>
      </c>
      <c r="AT966">
        <f>HYPERLINK("http://www.worldcat.org/oclc/9196538","WorldCat Record")</f>
        <v/>
      </c>
      <c r="AU966" t="inlineStr">
        <is>
          <t>836620625:eng</t>
        </is>
      </c>
      <c r="AV966" t="inlineStr">
        <is>
          <t>9196538</t>
        </is>
      </c>
      <c r="AW966" t="inlineStr">
        <is>
          <t>991000147549702656</t>
        </is>
      </c>
      <c r="AX966" t="inlineStr">
        <is>
          <t>991000147549702656</t>
        </is>
      </c>
      <c r="AY966" t="inlineStr">
        <is>
          <t>2268253290002656</t>
        </is>
      </c>
      <c r="AZ966" t="inlineStr">
        <is>
          <t>BOOK</t>
        </is>
      </c>
      <c r="BB966" t="inlineStr">
        <is>
          <t>9780835714105</t>
        </is>
      </c>
      <c r="BC966" t="inlineStr">
        <is>
          <t>32285000419233</t>
        </is>
      </c>
      <c r="BD966" t="inlineStr">
        <is>
          <t>893689467</t>
        </is>
      </c>
    </row>
    <row r="967">
      <c r="A967" t="inlineStr">
        <is>
          <t>No</t>
        </is>
      </c>
      <c r="B967" t="inlineStr">
        <is>
          <t>PS3545.I544 Z58774 1989</t>
        </is>
      </c>
      <c r="C967" t="inlineStr">
        <is>
          <t>0                      PS 3545000I  544                Z  58774       1989</t>
        </is>
      </c>
      <c r="D967" t="inlineStr">
        <is>
          <t>William Carlos Williams and autobiography : the woods of his own nature / Ann W. Fisher-Wirth.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Fisher-Wirth, Ann W.</t>
        </is>
      </c>
      <c r="L967" t="inlineStr">
        <is>
          <t>University Park, PA : Pennsylvania State University Press, c1989.</t>
        </is>
      </c>
      <c r="M967" t="inlineStr">
        <is>
          <t>1989</t>
        </is>
      </c>
      <c r="O967" t="inlineStr">
        <is>
          <t>eng</t>
        </is>
      </c>
      <c r="P967" t="inlineStr">
        <is>
          <t>pau</t>
        </is>
      </c>
      <c r="R967" t="inlineStr">
        <is>
          <t xml:space="preserve">PS </t>
        </is>
      </c>
      <c r="S967" t="n">
        <v>6</v>
      </c>
      <c r="T967" t="n">
        <v>6</v>
      </c>
      <c r="U967" t="inlineStr">
        <is>
          <t>1999-09-15</t>
        </is>
      </c>
      <c r="V967" t="inlineStr">
        <is>
          <t>1999-09-15</t>
        </is>
      </c>
      <c r="W967" t="inlineStr">
        <is>
          <t>1990-12-11</t>
        </is>
      </c>
      <c r="X967" t="inlineStr">
        <is>
          <t>1990-12-11</t>
        </is>
      </c>
      <c r="Y967" t="n">
        <v>544</v>
      </c>
      <c r="Z967" t="n">
        <v>465</v>
      </c>
      <c r="AA967" t="n">
        <v>470</v>
      </c>
      <c r="AB967" t="n">
        <v>6</v>
      </c>
      <c r="AC967" t="n">
        <v>6</v>
      </c>
      <c r="AD967" t="n">
        <v>27</v>
      </c>
      <c r="AE967" t="n">
        <v>27</v>
      </c>
      <c r="AF967" t="n">
        <v>7</v>
      </c>
      <c r="AG967" t="n">
        <v>7</v>
      </c>
      <c r="AH967" t="n">
        <v>8</v>
      </c>
      <c r="AI967" t="n">
        <v>8</v>
      </c>
      <c r="AJ967" t="n">
        <v>14</v>
      </c>
      <c r="AK967" t="n">
        <v>14</v>
      </c>
      <c r="AL967" t="n">
        <v>5</v>
      </c>
      <c r="AM967" t="n">
        <v>5</v>
      </c>
      <c r="AN967" t="n">
        <v>0</v>
      </c>
      <c r="AO967" t="n">
        <v>0</v>
      </c>
      <c r="AP967" t="inlineStr">
        <is>
          <t>No</t>
        </is>
      </c>
      <c r="AQ967" t="inlineStr">
        <is>
          <t>No</t>
        </is>
      </c>
      <c r="AS967">
        <f>HYPERLINK("https://creighton-primo.hosted.exlibrisgroup.com/primo-explore/search?tab=default_tab&amp;search_scope=EVERYTHING&amp;vid=01CRU&amp;lang=en_US&amp;offset=0&amp;query=any,contains,991001315069702656","Catalog Record")</f>
        <v/>
      </c>
      <c r="AT967">
        <f>HYPERLINK("http://www.worldcat.org/oclc/18167088","WorldCat Record")</f>
        <v/>
      </c>
      <c r="AU967" t="inlineStr">
        <is>
          <t>836708621:eng</t>
        </is>
      </c>
      <c r="AV967" t="inlineStr">
        <is>
          <t>18167088</t>
        </is>
      </c>
      <c r="AW967" t="inlineStr">
        <is>
          <t>991001315069702656</t>
        </is>
      </c>
      <c r="AX967" t="inlineStr">
        <is>
          <t>991001315069702656</t>
        </is>
      </c>
      <c r="AY967" t="inlineStr">
        <is>
          <t>2263915370002656</t>
        </is>
      </c>
      <c r="AZ967" t="inlineStr">
        <is>
          <t>BOOK</t>
        </is>
      </c>
      <c r="BB967" t="inlineStr">
        <is>
          <t>9780271006536</t>
        </is>
      </c>
      <c r="BC967" t="inlineStr">
        <is>
          <t>32285000419258</t>
        </is>
      </c>
      <c r="BD967" t="inlineStr">
        <is>
          <t>893528875</t>
        </is>
      </c>
    </row>
    <row r="968">
      <c r="A968" t="inlineStr">
        <is>
          <t>No</t>
        </is>
      </c>
      <c r="B968" t="inlineStr">
        <is>
          <t>PS3545.I544 Z63</t>
        </is>
      </c>
      <c r="C968" t="inlineStr">
        <is>
          <t>0                      PS 3545000I  544                Z  63</t>
        </is>
      </c>
      <c r="D968" t="inlineStr">
        <is>
          <t>Profile of William Carlos Williams.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Mazzaro, Jerome compiler.</t>
        </is>
      </c>
      <c r="L968" t="inlineStr">
        <is>
          <t>Columbus, Ohio : C. E. Merrill Pub. Co., [1971]</t>
        </is>
      </c>
      <c r="M968" t="inlineStr">
        <is>
          <t>1971</t>
        </is>
      </c>
      <c r="O968" t="inlineStr">
        <is>
          <t>eng</t>
        </is>
      </c>
      <c r="P968" t="inlineStr">
        <is>
          <t>ohu</t>
        </is>
      </c>
      <c r="Q968" t="inlineStr">
        <is>
          <t>Charles E. Merrill profiles</t>
        </is>
      </c>
      <c r="R968" t="inlineStr">
        <is>
          <t xml:space="preserve">PS </t>
        </is>
      </c>
      <c r="S968" t="n">
        <v>4</v>
      </c>
      <c r="T968" t="n">
        <v>4</v>
      </c>
      <c r="U968" t="inlineStr">
        <is>
          <t>1996-05-01</t>
        </is>
      </c>
      <c r="V968" t="inlineStr">
        <is>
          <t>1996-05-01</t>
        </is>
      </c>
      <c r="W968" t="inlineStr">
        <is>
          <t>1993-03-25</t>
        </is>
      </c>
      <c r="X968" t="inlineStr">
        <is>
          <t>1993-03-25</t>
        </is>
      </c>
      <c r="Y968" t="n">
        <v>586</v>
      </c>
      <c r="Z968" t="n">
        <v>524</v>
      </c>
      <c r="AA968" t="n">
        <v>531</v>
      </c>
      <c r="AB968" t="n">
        <v>7</v>
      </c>
      <c r="AC968" t="n">
        <v>7</v>
      </c>
      <c r="AD968" t="n">
        <v>23</v>
      </c>
      <c r="AE968" t="n">
        <v>23</v>
      </c>
      <c r="AF968" t="n">
        <v>7</v>
      </c>
      <c r="AG968" t="n">
        <v>7</v>
      </c>
      <c r="AH968" t="n">
        <v>4</v>
      </c>
      <c r="AI968" t="n">
        <v>4</v>
      </c>
      <c r="AJ968" t="n">
        <v>9</v>
      </c>
      <c r="AK968" t="n">
        <v>9</v>
      </c>
      <c r="AL968" t="n">
        <v>6</v>
      </c>
      <c r="AM968" t="n">
        <v>6</v>
      </c>
      <c r="AN968" t="n">
        <v>0</v>
      </c>
      <c r="AO968" t="n">
        <v>0</v>
      </c>
      <c r="AP968" t="inlineStr">
        <is>
          <t>No</t>
        </is>
      </c>
      <c r="AQ968" t="inlineStr">
        <is>
          <t>Yes</t>
        </is>
      </c>
      <c r="AR968">
        <f>HYPERLINK("http://catalog.hathitrust.org/Record/001029760","HathiTrust Record")</f>
        <v/>
      </c>
      <c r="AS968">
        <f>HYPERLINK("https://creighton-primo.hosted.exlibrisgroup.com/primo-explore/search?tab=default_tab&amp;search_scope=EVERYTHING&amp;vid=01CRU&amp;lang=en_US&amp;offset=0&amp;query=any,contains,991000817999702656","Catalog Record")</f>
        <v/>
      </c>
      <c r="AT968">
        <f>HYPERLINK("http://www.worldcat.org/oclc/143435","WorldCat Record")</f>
        <v/>
      </c>
      <c r="AU968" t="inlineStr">
        <is>
          <t>1314693:eng</t>
        </is>
      </c>
      <c r="AV968" t="inlineStr">
        <is>
          <t>143435</t>
        </is>
      </c>
      <c r="AW968" t="inlineStr">
        <is>
          <t>991000817999702656</t>
        </is>
      </c>
      <c r="AX968" t="inlineStr">
        <is>
          <t>991000817999702656</t>
        </is>
      </c>
      <c r="AY968" t="inlineStr">
        <is>
          <t>2256689900002656</t>
        </is>
      </c>
      <c r="AZ968" t="inlineStr">
        <is>
          <t>BOOK</t>
        </is>
      </c>
      <c r="BB968" t="inlineStr">
        <is>
          <t>9780675091985</t>
        </is>
      </c>
      <c r="BC968" t="inlineStr">
        <is>
          <t>32285001591139</t>
        </is>
      </c>
      <c r="BD968" t="inlineStr">
        <is>
          <t>893496585</t>
        </is>
      </c>
    </row>
    <row r="969">
      <c r="A969" t="inlineStr">
        <is>
          <t>No</t>
        </is>
      </c>
      <c r="B969" t="inlineStr">
        <is>
          <t>PS3545.I544 Z8 1966</t>
        </is>
      </c>
      <c r="C969" t="inlineStr">
        <is>
          <t>0                      PS 3545000I  544                Z  8           1966</t>
        </is>
      </c>
      <c r="D969" t="inlineStr">
        <is>
          <t>The poetic world of William Carlos Williams / Alan Ostrom ; with a pref. by Harry T. Moore.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Ostrom, Alan, 1925-</t>
        </is>
      </c>
      <c r="L969" t="inlineStr">
        <is>
          <t>Carbondale : Southern Illinois University Press, c1966, 1968 printing.</t>
        </is>
      </c>
      <c r="M969" t="inlineStr">
        <is>
          <t>1966</t>
        </is>
      </c>
      <c r="O969" t="inlineStr">
        <is>
          <t>eng</t>
        </is>
      </c>
      <c r="P969" t="inlineStr">
        <is>
          <t>ilu</t>
        </is>
      </c>
      <c r="Q969" t="inlineStr">
        <is>
          <t>Crosscurrents/modern critiques</t>
        </is>
      </c>
      <c r="R969" t="inlineStr">
        <is>
          <t xml:space="preserve">PS </t>
        </is>
      </c>
      <c r="S969" t="n">
        <v>1</v>
      </c>
      <c r="T969" t="n">
        <v>1</v>
      </c>
      <c r="U969" t="inlineStr">
        <is>
          <t>1993-02-19</t>
        </is>
      </c>
      <c r="V969" t="inlineStr">
        <is>
          <t>1993-02-19</t>
        </is>
      </c>
      <c r="W969" t="inlineStr">
        <is>
          <t>1990-12-11</t>
        </is>
      </c>
      <c r="X969" t="inlineStr">
        <is>
          <t>1990-12-11</t>
        </is>
      </c>
      <c r="Y969" t="n">
        <v>1294</v>
      </c>
      <c r="Z969" t="n">
        <v>1168</v>
      </c>
      <c r="AA969" t="n">
        <v>1180</v>
      </c>
      <c r="AB969" t="n">
        <v>10</v>
      </c>
      <c r="AC969" t="n">
        <v>10</v>
      </c>
      <c r="AD969" t="n">
        <v>49</v>
      </c>
      <c r="AE969" t="n">
        <v>49</v>
      </c>
      <c r="AF969" t="n">
        <v>20</v>
      </c>
      <c r="AG969" t="n">
        <v>20</v>
      </c>
      <c r="AH969" t="n">
        <v>8</v>
      </c>
      <c r="AI969" t="n">
        <v>8</v>
      </c>
      <c r="AJ969" t="n">
        <v>24</v>
      </c>
      <c r="AK969" t="n">
        <v>24</v>
      </c>
      <c r="AL969" t="n">
        <v>9</v>
      </c>
      <c r="AM969" t="n">
        <v>9</v>
      </c>
      <c r="AN969" t="n">
        <v>0</v>
      </c>
      <c r="AO969" t="n">
        <v>0</v>
      </c>
      <c r="AP969" t="inlineStr">
        <is>
          <t>No</t>
        </is>
      </c>
      <c r="AQ969" t="inlineStr">
        <is>
          <t>Yes</t>
        </is>
      </c>
      <c r="AR969">
        <f>HYPERLINK("http://catalog.hathitrust.org/Record/001029762","HathiTrust Record")</f>
        <v/>
      </c>
      <c r="AS969">
        <f>HYPERLINK("https://creighton-primo.hosted.exlibrisgroup.com/primo-explore/search?tab=default_tab&amp;search_scope=EVERYTHING&amp;vid=01CRU&amp;lang=en_US&amp;offset=0&amp;query=any,contains,991001952769702656","Catalog Record")</f>
        <v/>
      </c>
      <c r="AT969">
        <f>HYPERLINK("http://www.worldcat.org/oclc/252744","WorldCat Record")</f>
        <v/>
      </c>
      <c r="AU969" t="inlineStr">
        <is>
          <t>347078845:eng</t>
        </is>
      </c>
      <c r="AV969" t="inlineStr">
        <is>
          <t>252744</t>
        </is>
      </c>
      <c r="AW969" t="inlineStr">
        <is>
          <t>991001952769702656</t>
        </is>
      </c>
      <c r="AX969" t="inlineStr">
        <is>
          <t>991001952769702656</t>
        </is>
      </c>
      <c r="AY969" t="inlineStr">
        <is>
          <t>2270246350002656</t>
        </is>
      </c>
      <c r="AZ969" t="inlineStr">
        <is>
          <t>BOOK</t>
        </is>
      </c>
      <c r="BC969" t="inlineStr">
        <is>
          <t>32285000419274</t>
        </is>
      </c>
      <c r="BD969" t="inlineStr">
        <is>
          <t>893420788</t>
        </is>
      </c>
    </row>
    <row r="970">
      <c r="A970" t="inlineStr">
        <is>
          <t>No</t>
        </is>
      </c>
      <c r="B970" t="inlineStr">
        <is>
          <t>PS3545.I544 Z89 1978</t>
        </is>
      </c>
      <c r="C970" t="inlineStr">
        <is>
          <t>0                      PS 3545000I  544                Z  89          1978</t>
        </is>
      </c>
      <c r="D970" t="inlineStr">
        <is>
          <t>William Carlos Williams and the American scene, 1920-1940 : Whitney Museum of American Art ... December 12, 1978-February 4, 1979 / Dickran Tashjian.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Tashjian, Dickran, 1940-</t>
        </is>
      </c>
      <c r="L970" t="inlineStr">
        <is>
          <t>New York : The Museum, c1978.</t>
        </is>
      </c>
      <c r="M970" t="inlineStr">
        <is>
          <t>1978</t>
        </is>
      </c>
      <c r="O970" t="inlineStr">
        <is>
          <t>eng</t>
        </is>
      </c>
      <c r="P970" t="inlineStr">
        <is>
          <t>nyu</t>
        </is>
      </c>
      <c r="R970" t="inlineStr">
        <is>
          <t xml:space="preserve">PS </t>
        </is>
      </c>
      <c r="S970" t="n">
        <v>4</v>
      </c>
      <c r="T970" t="n">
        <v>4</v>
      </c>
      <c r="U970" t="inlineStr">
        <is>
          <t>1996-05-01</t>
        </is>
      </c>
      <c r="V970" t="inlineStr">
        <is>
          <t>1996-05-01</t>
        </is>
      </c>
      <c r="W970" t="inlineStr">
        <is>
          <t>1990-12-11</t>
        </is>
      </c>
      <c r="X970" t="inlineStr">
        <is>
          <t>1990-12-11</t>
        </is>
      </c>
      <c r="Y970" t="n">
        <v>537</v>
      </c>
      <c r="Z970" t="n">
        <v>469</v>
      </c>
      <c r="AA970" t="n">
        <v>529</v>
      </c>
      <c r="AB970" t="n">
        <v>3</v>
      </c>
      <c r="AC970" t="n">
        <v>3</v>
      </c>
      <c r="AD970" t="n">
        <v>15</v>
      </c>
      <c r="AE970" t="n">
        <v>19</v>
      </c>
      <c r="AF970" t="n">
        <v>1</v>
      </c>
      <c r="AG970" t="n">
        <v>3</v>
      </c>
      <c r="AH970" t="n">
        <v>6</v>
      </c>
      <c r="AI970" t="n">
        <v>8</v>
      </c>
      <c r="AJ970" t="n">
        <v>9</v>
      </c>
      <c r="AK970" t="n">
        <v>10</v>
      </c>
      <c r="AL970" t="n">
        <v>2</v>
      </c>
      <c r="AM970" t="n">
        <v>2</v>
      </c>
      <c r="AN970" t="n">
        <v>0</v>
      </c>
      <c r="AO970" t="n">
        <v>0</v>
      </c>
      <c r="AP970" t="inlineStr">
        <is>
          <t>No</t>
        </is>
      </c>
      <c r="AQ970" t="inlineStr">
        <is>
          <t>Yes</t>
        </is>
      </c>
      <c r="AR970">
        <f>HYPERLINK("http://catalog.hathitrust.org/Record/000041795","HathiTrust Record")</f>
        <v/>
      </c>
      <c r="AS970">
        <f>HYPERLINK("https://creighton-primo.hosted.exlibrisgroup.com/primo-explore/search?tab=default_tab&amp;search_scope=EVERYTHING&amp;vid=01CRU&amp;lang=en_US&amp;offset=0&amp;query=any,contains,991004662639702656","Catalog Record")</f>
        <v/>
      </c>
      <c r="AT970">
        <f>HYPERLINK("http://www.worldcat.org/oclc/4497851","WorldCat Record")</f>
        <v/>
      </c>
      <c r="AU970" t="inlineStr">
        <is>
          <t>12609029:eng</t>
        </is>
      </c>
      <c r="AV970" t="inlineStr">
        <is>
          <t>4497851</t>
        </is>
      </c>
      <c r="AW970" t="inlineStr">
        <is>
          <t>991004662639702656</t>
        </is>
      </c>
      <c r="AX970" t="inlineStr">
        <is>
          <t>991004662639702656</t>
        </is>
      </c>
      <c r="AY970" t="inlineStr">
        <is>
          <t>2266751060002656</t>
        </is>
      </c>
      <c r="AZ970" t="inlineStr">
        <is>
          <t>BOOK</t>
        </is>
      </c>
      <c r="BB970" t="inlineStr">
        <is>
          <t>9780874271034</t>
        </is>
      </c>
      <c r="BC970" t="inlineStr">
        <is>
          <t>32285000419316</t>
        </is>
      </c>
      <c r="BD970" t="inlineStr">
        <is>
          <t>893436565</t>
        </is>
      </c>
    </row>
    <row r="971">
      <c r="A971" t="inlineStr">
        <is>
          <t>No</t>
        </is>
      </c>
      <c r="B971" t="inlineStr">
        <is>
          <t>PS3545.I544 Z93</t>
        </is>
      </c>
      <c r="C971" t="inlineStr">
        <is>
          <t>0                      PS 3545000I  544                Z  93</t>
        </is>
      </c>
      <c r="D971" t="inlineStr">
        <is>
          <t>The poems of William Carlos Williams : a critical study.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K971" t="inlineStr">
        <is>
          <t>Wagner-Martin, Linda.</t>
        </is>
      </c>
      <c r="L971" t="inlineStr">
        <is>
          <t>Middletown, Conn. : Wesleyan University Press, [1964]</t>
        </is>
      </c>
      <c r="M971" t="inlineStr">
        <is>
          <t>1964</t>
        </is>
      </c>
      <c r="N971" t="inlineStr">
        <is>
          <t>[1st ed.]</t>
        </is>
      </c>
      <c r="O971" t="inlineStr">
        <is>
          <t>eng</t>
        </is>
      </c>
      <c r="P971" t="inlineStr">
        <is>
          <t>ctu</t>
        </is>
      </c>
      <c r="R971" t="inlineStr">
        <is>
          <t xml:space="preserve">PS </t>
        </is>
      </c>
      <c r="S971" t="n">
        <v>6</v>
      </c>
      <c r="T971" t="n">
        <v>6</v>
      </c>
      <c r="U971" t="inlineStr">
        <is>
          <t>1993-11-18</t>
        </is>
      </c>
      <c r="V971" t="inlineStr">
        <is>
          <t>1993-11-18</t>
        </is>
      </c>
      <c r="W971" t="inlineStr">
        <is>
          <t>1993-03-01</t>
        </is>
      </c>
      <c r="X971" t="inlineStr">
        <is>
          <t>1993-03-01</t>
        </is>
      </c>
      <c r="Y971" t="n">
        <v>1064</v>
      </c>
      <c r="Z971" t="n">
        <v>967</v>
      </c>
      <c r="AA971" t="n">
        <v>985</v>
      </c>
      <c r="AB971" t="n">
        <v>6</v>
      </c>
      <c r="AC971" t="n">
        <v>6</v>
      </c>
      <c r="AD971" t="n">
        <v>41</v>
      </c>
      <c r="AE971" t="n">
        <v>41</v>
      </c>
      <c r="AF971" t="n">
        <v>19</v>
      </c>
      <c r="AG971" t="n">
        <v>19</v>
      </c>
      <c r="AH971" t="n">
        <v>7</v>
      </c>
      <c r="AI971" t="n">
        <v>7</v>
      </c>
      <c r="AJ971" t="n">
        <v>20</v>
      </c>
      <c r="AK971" t="n">
        <v>20</v>
      </c>
      <c r="AL971" t="n">
        <v>5</v>
      </c>
      <c r="AM971" t="n">
        <v>5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HYPERLINK("http://catalog.hathitrust.org/Record/001029763","HathiTrust Record")</f>
        <v/>
      </c>
      <c r="AS971">
        <f>HYPERLINK("https://creighton-primo.hosted.exlibrisgroup.com/primo-explore/search?tab=default_tab&amp;search_scope=EVERYTHING&amp;vid=01CRU&amp;lang=en_US&amp;offset=0&amp;query=any,contains,991002225269702656","Catalog Record")</f>
        <v/>
      </c>
      <c r="AT971">
        <f>HYPERLINK("http://www.worldcat.org/oclc/291361","WorldCat Record")</f>
        <v/>
      </c>
      <c r="AU971" t="inlineStr">
        <is>
          <t>1474470:eng</t>
        </is>
      </c>
      <c r="AV971" t="inlineStr">
        <is>
          <t>291361</t>
        </is>
      </c>
      <c r="AW971" t="inlineStr">
        <is>
          <t>991002225269702656</t>
        </is>
      </c>
      <c r="AX971" t="inlineStr">
        <is>
          <t>991002225269702656</t>
        </is>
      </c>
      <c r="AY971" t="inlineStr">
        <is>
          <t>2268032800002656</t>
        </is>
      </c>
      <c r="AZ971" t="inlineStr">
        <is>
          <t>BOOK</t>
        </is>
      </c>
      <c r="BC971" t="inlineStr">
        <is>
          <t>32285001541423</t>
        </is>
      </c>
      <c r="BD971" t="inlineStr">
        <is>
          <t>893316540</t>
        </is>
      </c>
    </row>
    <row r="972">
      <c r="A972" t="inlineStr">
        <is>
          <t>No</t>
        </is>
      </c>
      <c r="B972" t="inlineStr">
        <is>
          <t>PS3545.I544 Z94</t>
        </is>
      </c>
      <c r="C972" t="inlineStr">
        <is>
          <t>0                      PS 3545000I  544                Z  94</t>
        </is>
      </c>
      <c r="D972" t="inlineStr">
        <is>
          <t>William Carlos Williams / by Thomas R. Whitaker.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Yes</t>
        </is>
      </c>
      <c r="J972" t="inlineStr">
        <is>
          <t>0</t>
        </is>
      </c>
      <c r="K972" t="inlineStr">
        <is>
          <t>Whitaker, Thomas R.</t>
        </is>
      </c>
      <c r="L972" t="inlineStr">
        <is>
          <t>New York : Twayne Publishers, [c1968]</t>
        </is>
      </c>
      <c r="M972" t="inlineStr">
        <is>
          <t>1968</t>
        </is>
      </c>
      <c r="O972" t="inlineStr">
        <is>
          <t>eng</t>
        </is>
      </c>
      <c r="P972" t="inlineStr">
        <is>
          <t>nyu</t>
        </is>
      </c>
      <c r="Q972" t="inlineStr">
        <is>
          <t>Twayne's United States authors series, 143 [i.e. 139]</t>
        </is>
      </c>
      <c r="R972" t="inlineStr">
        <is>
          <t xml:space="preserve">PS </t>
        </is>
      </c>
      <c r="S972" t="n">
        <v>5</v>
      </c>
      <c r="T972" t="n">
        <v>5</v>
      </c>
      <c r="U972" t="inlineStr">
        <is>
          <t>1995-09-11</t>
        </is>
      </c>
      <c r="V972" t="inlineStr">
        <is>
          <t>1995-09-11</t>
        </is>
      </c>
      <c r="W972" t="inlineStr">
        <is>
          <t>1993-12-17</t>
        </is>
      </c>
      <c r="X972" t="inlineStr">
        <is>
          <t>1993-12-17</t>
        </is>
      </c>
      <c r="Y972" t="n">
        <v>1293</v>
      </c>
      <c r="Z972" t="n">
        <v>1154</v>
      </c>
      <c r="AA972" t="n">
        <v>1585</v>
      </c>
      <c r="AB972" t="n">
        <v>10</v>
      </c>
      <c r="AC972" t="n">
        <v>13</v>
      </c>
      <c r="AD972" t="n">
        <v>43</v>
      </c>
      <c r="AE972" t="n">
        <v>53</v>
      </c>
      <c r="AF972" t="n">
        <v>17</v>
      </c>
      <c r="AG972" t="n">
        <v>22</v>
      </c>
      <c r="AH972" t="n">
        <v>5</v>
      </c>
      <c r="AI972" t="n">
        <v>7</v>
      </c>
      <c r="AJ972" t="n">
        <v>21</v>
      </c>
      <c r="AK972" t="n">
        <v>23</v>
      </c>
      <c r="AL972" t="n">
        <v>9</v>
      </c>
      <c r="AM972" t="n">
        <v>12</v>
      </c>
      <c r="AN972" t="n">
        <v>0</v>
      </c>
      <c r="AO972" t="n">
        <v>0</v>
      </c>
      <c r="AP972" t="inlineStr">
        <is>
          <t>No</t>
        </is>
      </c>
      <c r="AQ972" t="inlineStr">
        <is>
          <t>Yes</t>
        </is>
      </c>
      <c r="AR972">
        <f>HYPERLINK("http://catalog.hathitrust.org/Record/001029765","HathiTrust Record")</f>
        <v/>
      </c>
      <c r="AS972">
        <f>HYPERLINK("https://creighton-primo.hosted.exlibrisgroup.com/primo-explore/search?tab=default_tab&amp;search_scope=EVERYTHING&amp;vid=01CRU&amp;lang=en_US&amp;offset=0&amp;query=any,contains,991001017359702656","Catalog Record")</f>
        <v/>
      </c>
      <c r="AT972">
        <f>HYPERLINK("http://www.worldcat.org/oclc/173609","WorldCat Record")</f>
        <v/>
      </c>
      <c r="AU972" t="inlineStr">
        <is>
          <t>1908967134:eng</t>
        </is>
      </c>
      <c r="AV972" t="inlineStr">
        <is>
          <t>173609</t>
        </is>
      </c>
      <c r="AW972" t="inlineStr">
        <is>
          <t>991001017359702656</t>
        </is>
      </c>
      <c r="AX972" t="inlineStr">
        <is>
          <t>991001017359702656</t>
        </is>
      </c>
      <c r="AY972" t="inlineStr">
        <is>
          <t>2268573250002656</t>
        </is>
      </c>
      <c r="AZ972" t="inlineStr">
        <is>
          <t>BOOK</t>
        </is>
      </c>
      <c r="BC972" t="inlineStr">
        <is>
          <t>32285001825362</t>
        </is>
      </c>
      <c r="BD972" t="inlineStr">
        <is>
          <t>893708919</t>
        </is>
      </c>
    </row>
    <row r="973">
      <c r="A973" t="inlineStr">
        <is>
          <t>No</t>
        </is>
      </c>
      <c r="B973" t="inlineStr">
        <is>
          <t>PS3545.I544 Z94 1989</t>
        </is>
      </c>
      <c r="C973" t="inlineStr">
        <is>
          <t>0                      PS 3545000I  544                Z  94          1989</t>
        </is>
      </c>
      <c r="D973" t="inlineStr">
        <is>
          <t>William Carlos Williams / by Thomas R. Whitaker.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Yes</t>
        </is>
      </c>
      <c r="J973" t="inlineStr">
        <is>
          <t>0</t>
        </is>
      </c>
      <c r="K973" t="inlineStr">
        <is>
          <t>Whitaker, Thomas R.</t>
        </is>
      </c>
      <c r="L973" t="inlineStr">
        <is>
          <t>Boston : Twayne Publishers, c1989.</t>
        </is>
      </c>
      <c r="M973" t="inlineStr">
        <is>
          <t>1989</t>
        </is>
      </c>
      <c r="N973" t="inlineStr">
        <is>
          <t>Rev. ed.</t>
        </is>
      </c>
      <c r="O973" t="inlineStr">
        <is>
          <t>eng</t>
        </is>
      </c>
      <c r="P973" t="inlineStr">
        <is>
          <t>mau</t>
        </is>
      </c>
      <c r="Q973" t="inlineStr">
        <is>
          <t>Twayne's United States authors series ; TUSAS 139</t>
        </is>
      </c>
      <c r="R973" t="inlineStr">
        <is>
          <t xml:space="preserve">PS </t>
        </is>
      </c>
      <c r="S973" t="n">
        <v>3</v>
      </c>
      <c r="T973" t="n">
        <v>3</v>
      </c>
      <c r="U973" t="inlineStr">
        <is>
          <t>1993-11-18</t>
        </is>
      </c>
      <c r="V973" t="inlineStr">
        <is>
          <t>1993-11-18</t>
        </is>
      </c>
      <c r="W973" t="inlineStr">
        <is>
          <t>1990-12-11</t>
        </is>
      </c>
      <c r="X973" t="inlineStr">
        <is>
          <t>1990-12-11</t>
        </is>
      </c>
      <c r="Y973" t="n">
        <v>788</v>
      </c>
      <c r="Z973" t="n">
        <v>716</v>
      </c>
      <c r="AA973" t="n">
        <v>1585</v>
      </c>
      <c r="AB973" t="n">
        <v>6</v>
      </c>
      <c r="AC973" t="n">
        <v>13</v>
      </c>
      <c r="AD973" t="n">
        <v>27</v>
      </c>
      <c r="AE973" t="n">
        <v>53</v>
      </c>
      <c r="AF973" t="n">
        <v>12</v>
      </c>
      <c r="AG973" t="n">
        <v>22</v>
      </c>
      <c r="AH973" t="n">
        <v>3</v>
      </c>
      <c r="AI973" t="n">
        <v>7</v>
      </c>
      <c r="AJ973" t="n">
        <v>13</v>
      </c>
      <c r="AK973" t="n">
        <v>23</v>
      </c>
      <c r="AL973" t="n">
        <v>5</v>
      </c>
      <c r="AM973" t="n">
        <v>12</v>
      </c>
      <c r="AN973" t="n">
        <v>0</v>
      </c>
      <c r="AO973" t="n">
        <v>0</v>
      </c>
      <c r="AP973" t="inlineStr">
        <is>
          <t>No</t>
        </is>
      </c>
      <c r="AQ973" t="inlineStr">
        <is>
          <t>Yes</t>
        </is>
      </c>
      <c r="AR973">
        <f>HYPERLINK("http://catalog.hathitrust.org/Record/001300145","HathiTrust Record")</f>
        <v/>
      </c>
      <c r="AS973">
        <f>HYPERLINK("https://creighton-primo.hosted.exlibrisgroup.com/primo-explore/search?tab=default_tab&amp;search_scope=EVERYTHING&amp;vid=01CRU&amp;lang=en_US&amp;offset=0&amp;query=any,contains,991001435519702656","Catalog Record")</f>
        <v/>
      </c>
      <c r="AT973">
        <f>HYPERLINK("http://www.worldcat.org/oclc/19128806","WorldCat Record")</f>
        <v/>
      </c>
      <c r="AU973" t="inlineStr">
        <is>
          <t>1908967134:eng</t>
        </is>
      </c>
      <c r="AV973" t="inlineStr">
        <is>
          <t>19128806</t>
        </is>
      </c>
      <c r="AW973" t="inlineStr">
        <is>
          <t>991001435519702656</t>
        </is>
      </c>
      <c r="AX973" t="inlineStr">
        <is>
          <t>991001435519702656</t>
        </is>
      </c>
      <c r="AY973" t="inlineStr">
        <is>
          <t>2271922280002656</t>
        </is>
      </c>
      <c r="AZ973" t="inlineStr">
        <is>
          <t>BOOK</t>
        </is>
      </c>
      <c r="BB973" t="inlineStr">
        <is>
          <t>9780805775419</t>
        </is>
      </c>
      <c r="BC973" t="inlineStr">
        <is>
          <t>32285000419324</t>
        </is>
      </c>
      <c r="BD973" t="inlineStr">
        <is>
          <t>893684318</t>
        </is>
      </c>
    </row>
    <row r="974">
      <c r="A974" t="inlineStr">
        <is>
          <t>No</t>
        </is>
      </c>
      <c r="B974" t="inlineStr">
        <is>
          <t>PS3545.I544 Z954</t>
        </is>
      </c>
      <c r="C974" t="inlineStr">
        <is>
          <t>0                      PS 3545000I  544                Z  954</t>
        </is>
      </c>
      <c r="D974" t="inlineStr">
        <is>
          <t>William Carlos Williams : the critical heritage / edited by Charles Doyle.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L974" t="inlineStr">
        <is>
          <t>London ; Boston : Routledge &amp; Kegan Paul, 1980.</t>
        </is>
      </c>
      <c r="M974" t="inlineStr">
        <is>
          <t>1980</t>
        </is>
      </c>
      <c r="O974" t="inlineStr">
        <is>
          <t>eng</t>
        </is>
      </c>
      <c r="P974" t="inlineStr">
        <is>
          <t>enk</t>
        </is>
      </c>
      <c r="Q974" t="inlineStr">
        <is>
          <t>Critical heritage series</t>
        </is>
      </c>
      <c r="R974" t="inlineStr">
        <is>
          <t xml:space="preserve">PS </t>
        </is>
      </c>
      <c r="S974" t="n">
        <v>5</v>
      </c>
      <c r="T974" t="n">
        <v>5</v>
      </c>
      <c r="U974" t="inlineStr">
        <is>
          <t>1995-09-11</t>
        </is>
      </c>
      <c r="V974" t="inlineStr">
        <is>
          <t>1995-09-11</t>
        </is>
      </c>
      <c r="W974" t="inlineStr">
        <is>
          <t>1990-12-11</t>
        </is>
      </c>
      <c r="X974" t="inlineStr">
        <is>
          <t>1990-12-11</t>
        </is>
      </c>
      <c r="Y974" t="n">
        <v>736</v>
      </c>
      <c r="Z974" t="n">
        <v>544</v>
      </c>
      <c r="AA974" t="n">
        <v>556</v>
      </c>
      <c r="AB974" t="n">
        <v>4</v>
      </c>
      <c r="AC974" t="n">
        <v>4</v>
      </c>
      <c r="AD974" t="n">
        <v>29</v>
      </c>
      <c r="AE974" t="n">
        <v>29</v>
      </c>
      <c r="AF974" t="n">
        <v>10</v>
      </c>
      <c r="AG974" t="n">
        <v>10</v>
      </c>
      <c r="AH974" t="n">
        <v>7</v>
      </c>
      <c r="AI974" t="n">
        <v>7</v>
      </c>
      <c r="AJ974" t="n">
        <v>16</v>
      </c>
      <c r="AK974" t="n">
        <v>16</v>
      </c>
      <c r="AL974" t="n">
        <v>3</v>
      </c>
      <c r="AM974" t="n">
        <v>3</v>
      </c>
      <c r="AN974" t="n">
        <v>0</v>
      </c>
      <c r="AO974" t="n">
        <v>0</v>
      </c>
      <c r="AP974" t="inlineStr">
        <is>
          <t>No</t>
        </is>
      </c>
      <c r="AQ974" t="inlineStr">
        <is>
          <t>Yes</t>
        </is>
      </c>
      <c r="AR974">
        <f>HYPERLINK("http://catalog.hathitrust.org/Record/000690920","HathiTrust Record")</f>
        <v/>
      </c>
      <c r="AS974">
        <f>HYPERLINK("https://creighton-primo.hosted.exlibrisgroup.com/primo-explore/search?tab=default_tab&amp;search_scope=EVERYTHING&amp;vid=01CRU&amp;lang=en_US&amp;offset=0&amp;query=any,contains,991004931929702656","Catalog Record")</f>
        <v/>
      </c>
      <c r="AT974">
        <f>HYPERLINK("http://www.worldcat.org/oclc/6102676","WorldCat Record")</f>
        <v/>
      </c>
      <c r="AU974" t="inlineStr">
        <is>
          <t>1909194647:eng</t>
        </is>
      </c>
      <c r="AV974" t="inlineStr">
        <is>
          <t>6102676</t>
        </is>
      </c>
      <c r="AW974" t="inlineStr">
        <is>
          <t>991004931929702656</t>
        </is>
      </c>
      <c r="AX974" t="inlineStr">
        <is>
          <t>991004931929702656</t>
        </is>
      </c>
      <c r="AY974" t="inlineStr">
        <is>
          <t>2257557820002656</t>
        </is>
      </c>
      <c r="AZ974" t="inlineStr">
        <is>
          <t>BOOK</t>
        </is>
      </c>
      <c r="BC974" t="inlineStr">
        <is>
          <t>32285000419340</t>
        </is>
      </c>
      <c r="BD974" t="inlineStr">
        <is>
          <t>893536273</t>
        </is>
      </c>
    </row>
    <row r="975">
      <c r="A975" t="inlineStr">
        <is>
          <t>No</t>
        </is>
      </c>
      <c r="B975" t="inlineStr">
        <is>
          <t>PS3545.I557 L4</t>
        </is>
      </c>
      <c r="C975" t="inlineStr">
        <is>
          <t>0                      PS 3545000I  557                L  4</t>
        </is>
      </c>
      <c r="D975" t="inlineStr">
        <is>
          <t>The legion of space / Jack Williamson.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Williamson, Jack, 1908-2006.</t>
        </is>
      </c>
      <c r="L975" t="inlineStr">
        <is>
          <t>New York : Garland Pub., 1975, c1947.</t>
        </is>
      </c>
      <c r="M975" t="inlineStr">
        <is>
          <t>1975</t>
        </is>
      </c>
      <c r="O975" t="inlineStr">
        <is>
          <t>eng</t>
        </is>
      </c>
      <c r="P975" t="inlineStr">
        <is>
          <t>nyu</t>
        </is>
      </c>
      <c r="Q975" t="inlineStr">
        <is>
          <t>The Garland library of science fiction</t>
        </is>
      </c>
      <c r="R975" t="inlineStr">
        <is>
          <t xml:space="preserve">PS </t>
        </is>
      </c>
      <c r="S975" t="n">
        <v>2</v>
      </c>
      <c r="T975" t="n">
        <v>2</v>
      </c>
      <c r="U975" t="inlineStr">
        <is>
          <t>1999-12-30</t>
        </is>
      </c>
      <c r="V975" t="inlineStr">
        <is>
          <t>1999-12-30</t>
        </is>
      </c>
      <c r="W975" t="inlineStr">
        <is>
          <t>1997-06-25</t>
        </is>
      </c>
      <c r="X975" t="inlineStr">
        <is>
          <t>1997-06-25</t>
        </is>
      </c>
      <c r="Y975" t="n">
        <v>147</v>
      </c>
      <c r="Z975" t="n">
        <v>131</v>
      </c>
      <c r="AA975" t="n">
        <v>227</v>
      </c>
      <c r="AB975" t="n">
        <v>2</v>
      </c>
      <c r="AC975" t="n">
        <v>3</v>
      </c>
      <c r="AD975" t="n">
        <v>2</v>
      </c>
      <c r="AE975" t="n">
        <v>3</v>
      </c>
      <c r="AF975" t="n">
        <v>1</v>
      </c>
      <c r="AG975" t="n">
        <v>2</v>
      </c>
      <c r="AH975" t="n">
        <v>0</v>
      </c>
      <c r="AI975" t="n">
        <v>0</v>
      </c>
      <c r="AJ975" t="n">
        <v>2</v>
      </c>
      <c r="AK975" t="n">
        <v>2</v>
      </c>
      <c r="AL975" t="n">
        <v>0</v>
      </c>
      <c r="AM975" t="n">
        <v>0</v>
      </c>
      <c r="AN975" t="n">
        <v>0</v>
      </c>
      <c r="AO975" t="n">
        <v>0</v>
      </c>
      <c r="AP975" t="inlineStr">
        <is>
          <t>No</t>
        </is>
      </c>
      <c r="AQ975" t="inlineStr">
        <is>
          <t>Yes</t>
        </is>
      </c>
      <c r="AR975">
        <f>HYPERLINK("http://catalog.hathitrust.org/Record/000020400","HathiTrust Record")</f>
        <v/>
      </c>
      <c r="AS975">
        <f>HYPERLINK("https://creighton-primo.hosted.exlibrisgroup.com/primo-explore/search?tab=default_tab&amp;search_scope=EVERYTHING&amp;vid=01CRU&amp;lang=en_US&amp;offset=0&amp;query=any,contains,991003627689702656","Catalog Record")</f>
        <v/>
      </c>
      <c r="AT975">
        <f>HYPERLINK("http://www.worldcat.org/oclc/1218340","WorldCat Record")</f>
        <v/>
      </c>
      <c r="AU975" t="inlineStr">
        <is>
          <t>62053299:eng</t>
        </is>
      </c>
      <c r="AV975" t="inlineStr">
        <is>
          <t>1218340</t>
        </is>
      </c>
      <c r="AW975" t="inlineStr">
        <is>
          <t>991003627689702656</t>
        </is>
      </c>
      <c r="AX975" t="inlineStr">
        <is>
          <t>991003627689702656</t>
        </is>
      </c>
      <c r="AY975" t="inlineStr">
        <is>
          <t>2271812100002656</t>
        </is>
      </c>
      <c r="AZ975" t="inlineStr">
        <is>
          <t>BOOK</t>
        </is>
      </c>
      <c r="BB975" t="inlineStr">
        <is>
          <t>9780824014438</t>
        </is>
      </c>
      <c r="BC975" t="inlineStr">
        <is>
          <t>32285002846524</t>
        </is>
      </c>
      <c r="BD975" t="inlineStr">
        <is>
          <t>893868643</t>
        </is>
      </c>
    </row>
    <row r="976">
      <c r="A976" t="inlineStr">
        <is>
          <t>No</t>
        </is>
      </c>
      <c r="B976" t="inlineStr">
        <is>
          <t>PS3545.O337 Z68 1984</t>
        </is>
      </c>
      <c r="C976" t="inlineStr">
        <is>
          <t>0                      PS 3545000O  337                Z  68          1984</t>
        </is>
      </c>
      <c r="D976" t="inlineStr">
        <is>
          <t>Thomas Wolfe / Elizabeth Evans.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Evans, Elizabeth, 1935-</t>
        </is>
      </c>
      <c r="L976" t="inlineStr">
        <is>
          <t>New York : F. Ungar, c1984.</t>
        </is>
      </c>
      <c r="M976" t="inlineStr">
        <is>
          <t>1984</t>
        </is>
      </c>
      <c r="O976" t="inlineStr">
        <is>
          <t>eng</t>
        </is>
      </c>
      <c r="P976" t="inlineStr">
        <is>
          <t>nyu</t>
        </is>
      </c>
      <c r="Q976" t="inlineStr">
        <is>
          <t>Literature and life series</t>
        </is>
      </c>
      <c r="R976" t="inlineStr">
        <is>
          <t xml:space="preserve">PS </t>
        </is>
      </c>
      <c r="S976" t="n">
        <v>3</v>
      </c>
      <c r="T976" t="n">
        <v>3</v>
      </c>
      <c r="U976" t="inlineStr">
        <is>
          <t>1998-02-26</t>
        </is>
      </c>
      <c r="V976" t="inlineStr">
        <is>
          <t>1998-02-26</t>
        </is>
      </c>
      <c r="W976" t="inlineStr">
        <is>
          <t>1990-12-11</t>
        </is>
      </c>
      <c r="X976" t="inlineStr">
        <is>
          <t>1990-12-11</t>
        </is>
      </c>
      <c r="Y976" t="n">
        <v>788</v>
      </c>
      <c r="Z976" t="n">
        <v>720</v>
      </c>
      <c r="AA976" t="n">
        <v>727</v>
      </c>
      <c r="AB976" t="n">
        <v>5</v>
      </c>
      <c r="AC976" t="n">
        <v>5</v>
      </c>
      <c r="AD976" t="n">
        <v>25</v>
      </c>
      <c r="AE976" t="n">
        <v>25</v>
      </c>
      <c r="AF976" t="n">
        <v>10</v>
      </c>
      <c r="AG976" t="n">
        <v>10</v>
      </c>
      <c r="AH976" t="n">
        <v>6</v>
      </c>
      <c r="AI976" t="n">
        <v>6</v>
      </c>
      <c r="AJ976" t="n">
        <v>12</v>
      </c>
      <c r="AK976" t="n">
        <v>12</v>
      </c>
      <c r="AL976" t="n">
        <v>4</v>
      </c>
      <c r="AM976" t="n">
        <v>4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HYPERLINK("http://catalog.hathitrust.org/Record/000782831","HathiTrust Record")</f>
        <v/>
      </c>
      <c r="AS976">
        <f>HYPERLINK("https://creighton-primo.hosted.exlibrisgroup.com/primo-explore/search?tab=default_tab&amp;search_scope=EVERYTHING&amp;vid=01CRU&amp;lang=en_US&amp;offset=0&amp;query=any,contains,991000298939702656","Catalog Record")</f>
        <v/>
      </c>
      <c r="AT976">
        <f>HYPERLINK("http://www.worldcat.org/oclc/10020094","WorldCat Record")</f>
        <v/>
      </c>
      <c r="AU976" t="inlineStr">
        <is>
          <t>3267014:eng</t>
        </is>
      </c>
      <c r="AV976" t="inlineStr">
        <is>
          <t>10020094</t>
        </is>
      </c>
      <c r="AW976" t="inlineStr">
        <is>
          <t>991000298939702656</t>
        </is>
      </c>
      <c r="AX976" t="inlineStr">
        <is>
          <t>991000298939702656</t>
        </is>
      </c>
      <c r="AY976" t="inlineStr">
        <is>
          <t>2265367620002656</t>
        </is>
      </c>
      <c r="AZ976" t="inlineStr">
        <is>
          <t>BOOK</t>
        </is>
      </c>
      <c r="BB976" t="inlineStr">
        <is>
          <t>9780804421881</t>
        </is>
      </c>
      <c r="BC976" t="inlineStr">
        <is>
          <t>32285000419506</t>
        </is>
      </c>
      <c r="BD976" t="inlineStr">
        <is>
          <t>893419357</t>
        </is>
      </c>
    </row>
    <row r="977">
      <c r="A977" t="inlineStr">
        <is>
          <t>No</t>
        </is>
      </c>
      <c r="B977" t="inlineStr">
        <is>
          <t>PS3545.O337 Z737</t>
        </is>
      </c>
      <c r="C977" t="inlineStr">
        <is>
          <t>0                      PS 3545000O  337                Z  737</t>
        </is>
      </c>
      <c r="D977" t="inlineStr">
        <is>
          <t>The window of memory : the literary career of Thomas Wolfe.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K977" t="inlineStr">
        <is>
          <t>Kennedy, Richard S.</t>
        </is>
      </c>
      <c r="L977" t="inlineStr">
        <is>
          <t>Chapel Hill : University of North Carolina Press, [1962]</t>
        </is>
      </c>
      <c r="M977" t="inlineStr">
        <is>
          <t>1962</t>
        </is>
      </c>
      <c r="O977" t="inlineStr">
        <is>
          <t>eng</t>
        </is>
      </c>
      <c r="P977" t="inlineStr">
        <is>
          <t>ncu</t>
        </is>
      </c>
      <c r="R977" t="inlineStr">
        <is>
          <t xml:space="preserve">PS </t>
        </is>
      </c>
      <c r="S977" t="n">
        <v>3</v>
      </c>
      <c r="T977" t="n">
        <v>3</v>
      </c>
      <c r="U977" t="inlineStr">
        <is>
          <t>1998-02-26</t>
        </is>
      </c>
      <c r="V977" t="inlineStr">
        <is>
          <t>1998-02-26</t>
        </is>
      </c>
      <c r="W977" t="inlineStr">
        <is>
          <t>1990-10-05</t>
        </is>
      </c>
      <c r="X977" t="inlineStr">
        <is>
          <t>1990-10-05</t>
        </is>
      </c>
      <c r="Y977" t="n">
        <v>1313</v>
      </c>
      <c r="Z977" t="n">
        <v>1189</v>
      </c>
      <c r="AA977" t="n">
        <v>1199</v>
      </c>
      <c r="AB977" t="n">
        <v>9</v>
      </c>
      <c r="AC977" t="n">
        <v>9</v>
      </c>
      <c r="AD977" t="n">
        <v>47</v>
      </c>
      <c r="AE977" t="n">
        <v>47</v>
      </c>
      <c r="AF977" t="n">
        <v>22</v>
      </c>
      <c r="AG977" t="n">
        <v>22</v>
      </c>
      <c r="AH977" t="n">
        <v>8</v>
      </c>
      <c r="AI977" t="n">
        <v>8</v>
      </c>
      <c r="AJ977" t="n">
        <v>19</v>
      </c>
      <c r="AK977" t="n">
        <v>19</v>
      </c>
      <c r="AL977" t="n">
        <v>8</v>
      </c>
      <c r="AM977" t="n">
        <v>8</v>
      </c>
      <c r="AN977" t="n">
        <v>0</v>
      </c>
      <c r="AO977" t="n">
        <v>0</v>
      </c>
      <c r="AP977" t="inlineStr">
        <is>
          <t>No</t>
        </is>
      </c>
      <c r="AQ977" t="inlineStr">
        <is>
          <t>Yes</t>
        </is>
      </c>
      <c r="AR977">
        <f>HYPERLINK("http://catalog.hathitrust.org/Record/001029791","HathiTrust Record")</f>
        <v/>
      </c>
      <c r="AS977">
        <f>HYPERLINK("https://creighton-primo.hosted.exlibrisgroup.com/primo-explore/search?tab=default_tab&amp;search_scope=EVERYTHING&amp;vid=01CRU&amp;lang=en_US&amp;offset=0&amp;query=any,contains,991000944049702656","Catalog Record")</f>
        <v/>
      </c>
      <c r="AT977">
        <f>HYPERLINK("http://www.worldcat.org/oclc/166761","WorldCat Record")</f>
        <v/>
      </c>
      <c r="AU977" t="inlineStr">
        <is>
          <t>196613319:eng</t>
        </is>
      </c>
      <c r="AV977" t="inlineStr">
        <is>
          <t>166761</t>
        </is>
      </c>
      <c r="AW977" t="inlineStr">
        <is>
          <t>991000944049702656</t>
        </is>
      </c>
      <c r="AX977" t="inlineStr">
        <is>
          <t>991000944049702656</t>
        </is>
      </c>
      <c r="AY977" t="inlineStr">
        <is>
          <t>2271171760002656</t>
        </is>
      </c>
      <c r="AZ977" t="inlineStr">
        <is>
          <t>BOOK</t>
        </is>
      </c>
      <c r="BC977" t="inlineStr">
        <is>
          <t>32285000332741</t>
        </is>
      </c>
      <c r="BD977" t="inlineStr">
        <is>
          <t>893346117</t>
        </is>
      </c>
    </row>
    <row r="978">
      <c r="A978" t="inlineStr">
        <is>
          <t>No</t>
        </is>
      </c>
      <c r="B978" t="inlineStr">
        <is>
          <t>PS3545.O337 Z8</t>
        </is>
      </c>
      <c r="C978" t="inlineStr">
        <is>
          <t>0                      PS 3545000O  337                Z  8</t>
        </is>
      </c>
      <c r="D978" t="inlineStr">
        <is>
          <t>Thomas Wolfe.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K978" t="inlineStr">
        <is>
          <t>Muller, Herbert J. (Herbert Joseph), 1905-1980.</t>
        </is>
      </c>
      <c r="L978" t="inlineStr">
        <is>
          <t>Norfolk, Conn. : New Directions Books, [1947]</t>
        </is>
      </c>
      <c r="M978" t="inlineStr">
        <is>
          <t>1947</t>
        </is>
      </c>
      <c r="O978" t="inlineStr">
        <is>
          <t>eng</t>
        </is>
      </c>
      <c r="P978" t="inlineStr">
        <is>
          <t>ctu</t>
        </is>
      </c>
      <c r="Q978" t="inlineStr">
        <is>
          <t>The Makers of modern literature</t>
        </is>
      </c>
      <c r="R978" t="inlineStr">
        <is>
          <t xml:space="preserve">PS </t>
        </is>
      </c>
      <c r="S978" t="n">
        <v>3</v>
      </c>
      <c r="T978" t="n">
        <v>3</v>
      </c>
      <c r="U978" t="inlineStr">
        <is>
          <t>1998-02-26</t>
        </is>
      </c>
      <c r="V978" t="inlineStr">
        <is>
          <t>1998-02-26</t>
        </is>
      </c>
      <c r="W978" t="inlineStr">
        <is>
          <t>1990-02-23</t>
        </is>
      </c>
      <c r="X978" t="inlineStr">
        <is>
          <t>1990-02-23</t>
        </is>
      </c>
      <c r="Y978" t="n">
        <v>849</v>
      </c>
      <c r="Z978" t="n">
        <v>770</v>
      </c>
      <c r="AA978" t="n">
        <v>832</v>
      </c>
      <c r="AB978" t="n">
        <v>5</v>
      </c>
      <c r="AC978" t="n">
        <v>6</v>
      </c>
      <c r="AD978" t="n">
        <v>34</v>
      </c>
      <c r="AE978" t="n">
        <v>41</v>
      </c>
      <c r="AF978" t="n">
        <v>15</v>
      </c>
      <c r="AG978" t="n">
        <v>19</v>
      </c>
      <c r="AH978" t="n">
        <v>5</v>
      </c>
      <c r="AI978" t="n">
        <v>7</v>
      </c>
      <c r="AJ978" t="n">
        <v>19</v>
      </c>
      <c r="AK978" t="n">
        <v>22</v>
      </c>
      <c r="AL978" t="n">
        <v>4</v>
      </c>
      <c r="AM978" t="n">
        <v>5</v>
      </c>
      <c r="AN978" t="n">
        <v>0</v>
      </c>
      <c r="AO978" t="n">
        <v>0</v>
      </c>
      <c r="AP978" t="inlineStr">
        <is>
          <t>No</t>
        </is>
      </c>
      <c r="AQ978" t="inlineStr">
        <is>
          <t>Yes</t>
        </is>
      </c>
      <c r="AR978">
        <f>HYPERLINK("http://catalog.hathitrust.org/Record/001188827","HathiTrust Record")</f>
        <v/>
      </c>
      <c r="AS978">
        <f>HYPERLINK("https://creighton-primo.hosted.exlibrisgroup.com/primo-explore/search?tab=default_tab&amp;search_scope=EVERYTHING&amp;vid=01CRU&amp;lang=en_US&amp;offset=0&amp;query=any,contains,991002223559702656","Catalog Record")</f>
        <v/>
      </c>
      <c r="AT978">
        <f>HYPERLINK("http://www.worldcat.org/oclc/290941","WorldCat Record")</f>
        <v/>
      </c>
      <c r="AU978" t="inlineStr">
        <is>
          <t>3943317491:eng</t>
        </is>
      </c>
      <c r="AV978" t="inlineStr">
        <is>
          <t>290941</t>
        </is>
      </c>
      <c r="AW978" t="inlineStr">
        <is>
          <t>991002223559702656</t>
        </is>
      </c>
      <c r="AX978" t="inlineStr">
        <is>
          <t>991002223559702656</t>
        </is>
      </c>
      <c r="AY978" t="inlineStr">
        <is>
          <t>2270664620002656</t>
        </is>
      </c>
      <c r="AZ978" t="inlineStr">
        <is>
          <t>BOOK</t>
        </is>
      </c>
      <c r="BC978" t="inlineStr">
        <is>
          <t>32285000060649</t>
        </is>
      </c>
      <c r="BD978" t="inlineStr">
        <is>
          <t>893341174</t>
        </is>
      </c>
    </row>
    <row r="979">
      <c r="A979" t="inlineStr">
        <is>
          <t>No</t>
        </is>
      </c>
      <c r="B979" t="inlineStr">
        <is>
          <t>PS3545.O337 Z82</t>
        </is>
      </c>
      <c r="C979" t="inlineStr">
        <is>
          <t>0                      PS 3545000O  337                Z  82</t>
        </is>
      </c>
      <c r="D979" t="inlineStr">
        <is>
          <t>Thomas Wolfe, a bibliography / by George R. Preston, Jr.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Preston, George Riley, 1900-</t>
        </is>
      </c>
      <c r="L979" t="inlineStr">
        <is>
          <t>Westport, Conn. : Greenwood Press, 1979, c1943.</t>
        </is>
      </c>
      <c r="M979" t="inlineStr">
        <is>
          <t>1979</t>
        </is>
      </c>
      <c r="O979" t="inlineStr">
        <is>
          <t>eng</t>
        </is>
      </c>
      <c r="P979" t="inlineStr">
        <is>
          <t>ctu</t>
        </is>
      </c>
      <c r="R979" t="inlineStr">
        <is>
          <t xml:space="preserve">PS </t>
        </is>
      </c>
      <c r="S979" t="n">
        <v>3</v>
      </c>
      <c r="T979" t="n">
        <v>3</v>
      </c>
      <c r="U979" t="inlineStr">
        <is>
          <t>1998-02-26</t>
        </is>
      </c>
      <c r="V979" t="inlineStr">
        <is>
          <t>1998-02-26</t>
        </is>
      </c>
      <c r="W979" t="inlineStr">
        <is>
          <t>1990-12-11</t>
        </is>
      </c>
      <c r="X979" t="inlineStr">
        <is>
          <t>1990-12-11</t>
        </is>
      </c>
      <c r="Y979" t="n">
        <v>81</v>
      </c>
      <c r="Z979" t="n">
        <v>68</v>
      </c>
      <c r="AA979" t="n">
        <v>214</v>
      </c>
      <c r="AB979" t="n">
        <v>1</v>
      </c>
      <c r="AC979" t="n">
        <v>2</v>
      </c>
      <c r="AD979" t="n">
        <v>1</v>
      </c>
      <c r="AE979" t="n">
        <v>3</v>
      </c>
      <c r="AF979" t="n">
        <v>0</v>
      </c>
      <c r="AG979" t="n">
        <v>0</v>
      </c>
      <c r="AH979" t="n">
        <v>0</v>
      </c>
      <c r="AI979" t="n">
        <v>0</v>
      </c>
      <c r="AJ979" t="n">
        <v>1</v>
      </c>
      <c r="AK979" t="n">
        <v>2</v>
      </c>
      <c r="AL979" t="n">
        <v>0</v>
      </c>
      <c r="AM979" t="n">
        <v>1</v>
      </c>
      <c r="AN979" t="n">
        <v>0</v>
      </c>
      <c r="AO979" t="n">
        <v>0</v>
      </c>
      <c r="AP979" t="inlineStr">
        <is>
          <t>No</t>
        </is>
      </c>
      <c r="AQ979" t="inlineStr">
        <is>
          <t>Yes</t>
        </is>
      </c>
      <c r="AR979">
        <f>HYPERLINK("http://catalog.hathitrust.org/Record/101951774","HathiTrust Record")</f>
        <v/>
      </c>
      <c r="AS979">
        <f>HYPERLINK("https://creighton-primo.hosted.exlibrisgroup.com/primo-explore/search?tab=default_tab&amp;search_scope=EVERYTHING&amp;vid=01CRU&amp;lang=en_US&amp;offset=0&amp;query=any,contains,991004763029702656","Catalog Record")</f>
        <v/>
      </c>
      <c r="AT979">
        <f>HYPERLINK("http://www.worldcat.org/oclc/5009369","WorldCat Record")</f>
        <v/>
      </c>
      <c r="AU979" t="inlineStr">
        <is>
          <t>1432821:eng</t>
        </is>
      </c>
      <c r="AV979" t="inlineStr">
        <is>
          <t>5009369</t>
        </is>
      </c>
      <c r="AW979" t="inlineStr">
        <is>
          <t>991004763029702656</t>
        </is>
      </c>
      <c r="AX979" t="inlineStr">
        <is>
          <t>991004763029702656</t>
        </is>
      </c>
      <c r="AY979" t="inlineStr">
        <is>
          <t>2268865720002656</t>
        </is>
      </c>
      <c r="AZ979" t="inlineStr">
        <is>
          <t>BOOK</t>
        </is>
      </c>
      <c r="BB979" t="inlineStr">
        <is>
          <t>9780837177502</t>
        </is>
      </c>
      <c r="BC979" t="inlineStr">
        <is>
          <t>32285000419522</t>
        </is>
      </c>
      <c r="BD979" t="inlineStr">
        <is>
          <t>893353526</t>
        </is>
      </c>
    </row>
    <row r="980">
      <c r="A980" t="inlineStr">
        <is>
          <t>No</t>
        </is>
      </c>
      <c r="B980" t="inlineStr">
        <is>
          <t>PS3545.O337 Z844</t>
        </is>
      </c>
      <c r="C980" t="inlineStr">
        <is>
          <t>0                      PS 3545000O  337                Z  844</t>
        </is>
      </c>
      <c r="D980" t="inlineStr">
        <is>
          <t>Thomas Wolfe's albatross; race and nationality in America.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Reeves, Paschal, 1917-1976.</t>
        </is>
      </c>
      <c r="L980" t="inlineStr">
        <is>
          <t>Athens, University of Georgia Press [1969, c1968]</t>
        </is>
      </c>
      <c r="M980" t="inlineStr">
        <is>
          <t>1969</t>
        </is>
      </c>
      <c r="O980" t="inlineStr">
        <is>
          <t>eng</t>
        </is>
      </c>
      <c r="P980" t="inlineStr">
        <is>
          <t>gau</t>
        </is>
      </c>
      <c r="R980" t="inlineStr">
        <is>
          <t xml:space="preserve">PS </t>
        </is>
      </c>
      <c r="S980" t="n">
        <v>3</v>
      </c>
      <c r="T980" t="n">
        <v>3</v>
      </c>
      <c r="U980" t="inlineStr">
        <is>
          <t>1998-02-26</t>
        </is>
      </c>
      <c r="V980" t="inlineStr">
        <is>
          <t>1998-02-26</t>
        </is>
      </c>
      <c r="W980" t="inlineStr">
        <is>
          <t>1997-06-25</t>
        </is>
      </c>
      <c r="X980" t="inlineStr">
        <is>
          <t>1997-06-25</t>
        </is>
      </c>
      <c r="Y980" t="n">
        <v>774</v>
      </c>
      <c r="Z980" t="n">
        <v>735</v>
      </c>
      <c r="AA980" t="n">
        <v>773</v>
      </c>
      <c r="AB980" t="n">
        <v>6</v>
      </c>
      <c r="AC980" t="n">
        <v>6</v>
      </c>
      <c r="AD980" t="n">
        <v>36</v>
      </c>
      <c r="AE980" t="n">
        <v>37</v>
      </c>
      <c r="AF980" t="n">
        <v>15</v>
      </c>
      <c r="AG980" t="n">
        <v>16</v>
      </c>
      <c r="AH980" t="n">
        <v>7</v>
      </c>
      <c r="AI980" t="n">
        <v>7</v>
      </c>
      <c r="AJ980" t="n">
        <v>16</v>
      </c>
      <c r="AK980" t="n">
        <v>16</v>
      </c>
      <c r="AL980" t="n">
        <v>5</v>
      </c>
      <c r="AM980" t="n">
        <v>5</v>
      </c>
      <c r="AN980" t="n">
        <v>0</v>
      </c>
      <c r="AO980" t="n">
        <v>0</v>
      </c>
      <c r="AP980" t="inlineStr">
        <is>
          <t>No</t>
        </is>
      </c>
      <c r="AQ980" t="inlineStr">
        <is>
          <t>No</t>
        </is>
      </c>
      <c r="AS980">
        <f>HYPERLINK("https://creighton-primo.hosted.exlibrisgroup.com/primo-explore/search?tab=default_tab&amp;search_scope=EVERYTHING&amp;vid=01CRU&amp;lang=en_US&amp;offset=0&amp;query=any,contains,991005433979702656","Catalog Record")</f>
        <v/>
      </c>
      <c r="AT980">
        <f>HYPERLINK("http://www.worldcat.org/oclc/2219","WorldCat Record")</f>
        <v/>
      </c>
      <c r="AU980" t="inlineStr">
        <is>
          <t>1125493:eng</t>
        </is>
      </c>
      <c r="AV980" t="inlineStr">
        <is>
          <t>2219</t>
        </is>
      </c>
      <c r="AW980" t="inlineStr">
        <is>
          <t>991005433979702656</t>
        </is>
      </c>
      <c r="AX980" t="inlineStr">
        <is>
          <t>991005433979702656</t>
        </is>
      </c>
      <c r="AY980" t="inlineStr">
        <is>
          <t>2262719260002656</t>
        </is>
      </c>
      <c r="AZ980" t="inlineStr">
        <is>
          <t>BOOK</t>
        </is>
      </c>
      <c r="BC980" t="inlineStr">
        <is>
          <t>32285002846797</t>
        </is>
      </c>
      <c r="BD980" t="inlineStr">
        <is>
          <t>893689194</t>
        </is>
      </c>
    </row>
    <row r="981">
      <c r="A981" t="inlineStr">
        <is>
          <t>No</t>
        </is>
      </c>
      <c r="B981" t="inlineStr">
        <is>
          <t>PS3545.O337 Z94</t>
        </is>
      </c>
      <c r="C981" t="inlineStr">
        <is>
          <t>0                      PS 3545000O  337                Z  94</t>
        </is>
      </c>
      <c r="D981" t="inlineStr">
        <is>
          <t>Thomas Wolfe's characters: portraits from life.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Watkins, Floyd C.</t>
        </is>
      </c>
      <c r="L981" t="inlineStr">
        <is>
          <t>Norman, University of Oklahoma Press [1957]</t>
        </is>
      </c>
      <c r="M981" t="inlineStr">
        <is>
          <t>1957</t>
        </is>
      </c>
      <c r="N981" t="inlineStr">
        <is>
          <t>[1st ed.]</t>
        </is>
      </c>
      <c r="O981" t="inlineStr">
        <is>
          <t>eng</t>
        </is>
      </c>
      <c r="P981" t="inlineStr">
        <is>
          <t>oku</t>
        </is>
      </c>
      <c r="R981" t="inlineStr">
        <is>
          <t xml:space="preserve">PS </t>
        </is>
      </c>
      <c r="S981" t="n">
        <v>3</v>
      </c>
      <c r="T981" t="n">
        <v>3</v>
      </c>
      <c r="U981" t="inlineStr">
        <is>
          <t>1998-02-26</t>
        </is>
      </c>
      <c r="V981" t="inlineStr">
        <is>
          <t>1998-02-26</t>
        </is>
      </c>
      <c r="W981" t="inlineStr">
        <is>
          <t>1997-06-25</t>
        </is>
      </c>
      <c r="X981" t="inlineStr">
        <is>
          <t>1997-06-25</t>
        </is>
      </c>
      <c r="Y981" t="n">
        <v>991</v>
      </c>
      <c r="Z981" t="n">
        <v>923</v>
      </c>
      <c r="AA981" t="n">
        <v>937</v>
      </c>
      <c r="AB981" t="n">
        <v>9</v>
      </c>
      <c r="AC981" t="n">
        <v>9</v>
      </c>
      <c r="AD981" t="n">
        <v>42</v>
      </c>
      <c r="AE981" t="n">
        <v>42</v>
      </c>
      <c r="AF981" t="n">
        <v>16</v>
      </c>
      <c r="AG981" t="n">
        <v>16</v>
      </c>
      <c r="AH981" t="n">
        <v>9</v>
      </c>
      <c r="AI981" t="n">
        <v>9</v>
      </c>
      <c r="AJ981" t="n">
        <v>20</v>
      </c>
      <c r="AK981" t="n">
        <v>20</v>
      </c>
      <c r="AL981" t="n">
        <v>8</v>
      </c>
      <c r="AM981" t="n">
        <v>8</v>
      </c>
      <c r="AN981" t="n">
        <v>0</v>
      </c>
      <c r="AO981" t="n">
        <v>0</v>
      </c>
      <c r="AP981" t="inlineStr">
        <is>
          <t>No</t>
        </is>
      </c>
      <c r="AQ981" t="inlineStr">
        <is>
          <t>No</t>
        </is>
      </c>
      <c r="AS981">
        <f>HYPERLINK("https://creighton-primo.hosted.exlibrisgroup.com/primo-explore/search?tab=default_tab&amp;search_scope=EVERYTHING&amp;vid=01CRU&amp;lang=en_US&amp;offset=0&amp;query=any,contains,991002223649702656","Catalog Record")</f>
        <v/>
      </c>
      <c r="AT981">
        <f>HYPERLINK("http://www.worldcat.org/oclc/290960","WorldCat Record")</f>
        <v/>
      </c>
      <c r="AU981" t="inlineStr">
        <is>
          <t>1472890:eng</t>
        </is>
      </c>
      <c r="AV981" t="inlineStr">
        <is>
          <t>290960</t>
        </is>
      </c>
      <c r="AW981" t="inlineStr">
        <is>
          <t>991002223649702656</t>
        </is>
      </c>
      <c r="AX981" t="inlineStr">
        <is>
          <t>991002223649702656</t>
        </is>
      </c>
      <c r="AY981" t="inlineStr">
        <is>
          <t>2270674350002656</t>
        </is>
      </c>
      <c r="AZ981" t="inlineStr">
        <is>
          <t>BOOK</t>
        </is>
      </c>
      <c r="BC981" t="inlineStr">
        <is>
          <t>32285002846821</t>
        </is>
      </c>
      <c r="BD981" t="inlineStr">
        <is>
          <t>893685112</t>
        </is>
      </c>
    </row>
    <row r="982">
      <c r="A982" t="inlineStr">
        <is>
          <t>No</t>
        </is>
      </c>
      <c r="B982" t="inlineStr">
        <is>
          <t>PS3545.R815 Z66</t>
        </is>
      </c>
      <c r="C982" t="inlineStr">
        <is>
          <t>0                      PS 3545000R  815                Z  66</t>
        </is>
      </c>
      <c r="D982" t="inlineStr">
        <is>
          <t>Richard Wright's hero : the faces of a rebel-victim / by Katherine Fishburn.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Fishburn, Katherine, 1944-</t>
        </is>
      </c>
      <c r="L982" t="inlineStr">
        <is>
          <t>Metuchen, N.J. : Scarecrow Press, 1977.</t>
        </is>
      </c>
      <c r="M982" t="inlineStr">
        <is>
          <t>1977</t>
        </is>
      </c>
      <c r="O982" t="inlineStr">
        <is>
          <t>eng</t>
        </is>
      </c>
      <c r="P982" t="inlineStr">
        <is>
          <t>nju</t>
        </is>
      </c>
      <c r="R982" t="inlineStr">
        <is>
          <t xml:space="preserve">PS </t>
        </is>
      </c>
      <c r="S982" t="n">
        <v>10</v>
      </c>
      <c r="T982" t="n">
        <v>10</v>
      </c>
      <c r="U982" t="inlineStr">
        <is>
          <t>2004-11-21</t>
        </is>
      </c>
      <c r="V982" t="inlineStr">
        <is>
          <t>2004-11-21</t>
        </is>
      </c>
      <c r="W982" t="inlineStr">
        <is>
          <t>1990-04-10</t>
        </is>
      </c>
      <c r="X982" t="inlineStr">
        <is>
          <t>1990-04-10</t>
        </is>
      </c>
      <c r="Y982" t="n">
        <v>682</v>
      </c>
      <c r="Z982" t="n">
        <v>622</v>
      </c>
      <c r="AA982" t="n">
        <v>629</v>
      </c>
      <c r="AB982" t="n">
        <v>4</v>
      </c>
      <c r="AC982" t="n">
        <v>4</v>
      </c>
      <c r="AD982" t="n">
        <v>17</v>
      </c>
      <c r="AE982" t="n">
        <v>17</v>
      </c>
      <c r="AF982" t="n">
        <v>8</v>
      </c>
      <c r="AG982" t="n">
        <v>8</v>
      </c>
      <c r="AH982" t="n">
        <v>4</v>
      </c>
      <c r="AI982" t="n">
        <v>4</v>
      </c>
      <c r="AJ982" t="n">
        <v>10</v>
      </c>
      <c r="AK982" t="n">
        <v>10</v>
      </c>
      <c r="AL982" t="n">
        <v>3</v>
      </c>
      <c r="AM982" t="n">
        <v>3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HYPERLINK("http://catalog.hathitrust.org/Record/000130090","HathiTrust Record")</f>
        <v/>
      </c>
      <c r="AS982">
        <f>HYPERLINK("https://creighton-primo.hosted.exlibrisgroup.com/primo-explore/search?tab=default_tab&amp;search_scope=EVERYTHING&amp;vid=01CRU&amp;lang=en_US&amp;offset=0&amp;query=any,contains,991004198239702656","Catalog Record")</f>
        <v/>
      </c>
      <c r="AT982">
        <f>HYPERLINK("http://www.worldcat.org/oclc/2646033","WorldCat Record")</f>
        <v/>
      </c>
      <c r="AU982" t="inlineStr">
        <is>
          <t>347347090:eng</t>
        </is>
      </c>
      <c r="AV982" t="inlineStr">
        <is>
          <t>2646033</t>
        </is>
      </c>
      <c r="AW982" t="inlineStr">
        <is>
          <t>991004198239702656</t>
        </is>
      </c>
      <c r="AX982" t="inlineStr">
        <is>
          <t>991004198239702656</t>
        </is>
      </c>
      <c r="AY982" t="inlineStr">
        <is>
          <t>2254887740002656</t>
        </is>
      </c>
      <c r="AZ982" t="inlineStr">
        <is>
          <t>BOOK</t>
        </is>
      </c>
      <c r="BB982" t="inlineStr">
        <is>
          <t>9780810810136</t>
        </is>
      </c>
      <c r="BC982" t="inlineStr">
        <is>
          <t>32285000113398</t>
        </is>
      </c>
      <c r="BD982" t="inlineStr">
        <is>
          <t>893788395</t>
        </is>
      </c>
    </row>
    <row r="983">
      <c r="A983" t="inlineStr">
        <is>
          <t>No</t>
        </is>
      </c>
      <c r="B983" t="inlineStr">
        <is>
          <t>PS3545.R815 Z67</t>
        </is>
      </c>
      <c r="C983" t="inlineStr">
        <is>
          <t>0                      PS 3545000R  815                Z  67</t>
        </is>
      </c>
      <c r="D983" t="inlineStr">
        <is>
          <t>The emergence of Richard Wright : a study in literature and society.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Kinnamon, Keneth.</t>
        </is>
      </c>
      <c r="L983" t="inlineStr">
        <is>
          <t>Urbana : University of Illinois Press, [1972]</t>
        </is>
      </c>
      <c r="M983" t="inlineStr">
        <is>
          <t>1972</t>
        </is>
      </c>
      <c r="O983" t="inlineStr">
        <is>
          <t>eng</t>
        </is>
      </c>
      <c r="P983" t="inlineStr">
        <is>
          <t>ilu</t>
        </is>
      </c>
      <c r="R983" t="inlineStr">
        <is>
          <t xml:space="preserve">PS </t>
        </is>
      </c>
      <c r="S983" t="n">
        <v>11</v>
      </c>
      <c r="T983" t="n">
        <v>11</v>
      </c>
      <c r="U983" t="inlineStr">
        <is>
          <t>2005-04-05</t>
        </is>
      </c>
      <c r="V983" t="inlineStr">
        <is>
          <t>2005-04-05</t>
        </is>
      </c>
      <c r="W983" t="inlineStr">
        <is>
          <t>1992-05-27</t>
        </is>
      </c>
      <c r="X983" t="inlineStr">
        <is>
          <t>1992-05-27</t>
        </is>
      </c>
      <c r="Y983" t="n">
        <v>1096</v>
      </c>
      <c r="Z983" t="n">
        <v>991</v>
      </c>
      <c r="AA983" t="n">
        <v>1023</v>
      </c>
      <c r="AB983" t="n">
        <v>7</v>
      </c>
      <c r="AC983" t="n">
        <v>7</v>
      </c>
      <c r="AD983" t="n">
        <v>36</v>
      </c>
      <c r="AE983" t="n">
        <v>37</v>
      </c>
      <c r="AF983" t="n">
        <v>12</v>
      </c>
      <c r="AG983" t="n">
        <v>13</v>
      </c>
      <c r="AH983" t="n">
        <v>7</v>
      </c>
      <c r="AI983" t="n">
        <v>8</v>
      </c>
      <c r="AJ983" t="n">
        <v>19</v>
      </c>
      <c r="AK983" t="n">
        <v>19</v>
      </c>
      <c r="AL983" t="n">
        <v>6</v>
      </c>
      <c r="AM983" t="n">
        <v>6</v>
      </c>
      <c r="AN983" t="n">
        <v>0</v>
      </c>
      <c r="AO983" t="n">
        <v>0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HYPERLINK("http://catalog.hathitrust.org/Record/001189071","HathiTrust Record")</f>
        <v/>
      </c>
      <c r="AS983">
        <f>HYPERLINK("https://creighton-primo.hosted.exlibrisgroup.com/primo-explore/search?tab=default_tab&amp;search_scope=EVERYTHING&amp;vid=01CRU&amp;lang=en_US&amp;offset=0&amp;query=any,contains,991002947889702656","Catalog Record")</f>
        <v/>
      </c>
      <c r="AT983">
        <f>HYPERLINK("http://www.worldcat.org/oclc/537367","WorldCat Record")</f>
        <v/>
      </c>
      <c r="AU983" t="inlineStr">
        <is>
          <t>1560519:eng</t>
        </is>
      </c>
      <c r="AV983" t="inlineStr">
        <is>
          <t>537367</t>
        </is>
      </c>
      <c r="AW983" t="inlineStr">
        <is>
          <t>991002947889702656</t>
        </is>
      </c>
      <c r="AX983" t="inlineStr">
        <is>
          <t>991002947889702656</t>
        </is>
      </c>
      <c r="AY983" t="inlineStr">
        <is>
          <t>2263167340002656</t>
        </is>
      </c>
      <c r="AZ983" t="inlineStr">
        <is>
          <t>BOOK</t>
        </is>
      </c>
      <c r="BB983" t="inlineStr">
        <is>
          <t>9780252002014</t>
        </is>
      </c>
      <c r="BC983" t="inlineStr">
        <is>
          <t>32285001113116</t>
        </is>
      </c>
      <c r="BD983" t="inlineStr">
        <is>
          <t>893622937</t>
        </is>
      </c>
    </row>
    <row r="984">
      <c r="A984" t="inlineStr">
        <is>
          <t>No</t>
        </is>
      </c>
      <c r="B984" t="inlineStr">
        <is>
          <t>PS3545.R815 Z8</t>
        </is>
      </c>
      <c r="C984" t="inlineStr">
        <is>
          <t>0                      PS 3545000R  815                Z  8</t>
        </is>
      </c>
      <c r="D984" t="inlineStr">
        <is>
          <t>Richard Wright : impressions and perspectives / edited by David Ray and Robert M. Farnsworth. Introd. by Charles T. Davis.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Ray, David, 1932- compiler.</t>
        </is>
      </c>
      <c r="L984" t="inlineStr">
        <is>
          <t>Ann Arbor : University of Michigan Press, [1973]</t>
        </is>
      </c>
      <c r="M984" t="inlineStr">
        <is>
          <t>1973</t>
        </is>
      </c>
      <c r="O984" t="inlineStr">
        <is>
          <t>eng</t>
        </is>
      </c>
      <c r="P984" t="inlineStr">
        <is>
          <t>miu</t>
        </is>
      </c>
      <c r="R984" t="inlineStr">
        <is>
          <t xml:space="preserve">PS </t>
        </is>
      </c>
      <c r="S984" t="n">
        <v>14</v>
      </c>
      <c r="T984" t="n">
        <v>14</v>
      </c>
      <c r="U984" t="inlineStr">
        <is>
          <t>2005-04-05</t>
        </is>
      </c>
      <c r="V984" t="inlineStr">
        <is>
          <t>2005-04-05</t>
        </is>
      </c>
      <c r="W984" t="inlineStr">
        <is>
          <t>1992-05-27</t>
        </is>
      </c>
      <c r="X984" t="inlineStr">
        <is>
          <t>1992-05-27</t>
        </is>
      </c>
      <c r="Y984" t="n">
        <v>888</v>
      </c>
      <c r="Z984" t="n">
        <v>807</v>
      </c>
      <c r="AA984" t="n">
        <v>813</v>
      </c>
      <c r="AB984" t="n">
        <v>6</v>
      </c>
      <c r="AC984" t="n">
        <v>6</v>
      </c>
      <c r="AD984" t="n">
        <v>33</v>
      </c>
      <c r="AE984" t="n">
        <v>33</v>
      </c>
      <c r="AF984" t="n">
        <v>15</v>
      </c>
      <c r="AG984" t="n">
        <v>15</v>
      </c>
      <c r="AH984" t="n">
        <v>5</v>
      </c>
      <c r="AI984" t="n">
        <v>5</v>
      </c>
      <c r="AJ984" t="n">
        <v>18</v>
      </c>
      <c r="AK984" t="n">
        <v>18</v>
      </c>
      <c r="AL984" t="n">
        <v>5</v>
      </c>
      <c r="AM984" t="n">
        <v>5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HYPERLINK("http://catalog.hathitrust.org/Record/001029818","HathiTrust Record")</f>
        <v/>
      </c>
      <c r="AS984">
        <f>HYPERLINK("https://creighton-primo.hosted.exlibrisgroup.com/primo-explore/search?tab=default_tab&amp;search_scope=EVERYTHING&amp;vid=01CRU&amp;lang=en_US&amp;offset=0&amp;query=any,contains,991003285689702656","Catalog Record")</f>
        <v/>
      </c>
      <c r="AT984">
        <f>HYPERLINK("http://www.worldcat.org/oclc/807501","WorldCat Record")</f>
        <v/>
      </c>
      <c r="AU984" t="inlineStr">
        <is>
          <t>346618776:eng</t>
        </is>
      </c>
      <c r="AV984" t="inlineStr">
        <is>
          <t>807501</t>
        </is>
      </c>
      <c r="AW984" t="inlineStr">
        <is>
          <t>991003285689702656</t>
        </is>
      </c>
      <c r="AX984" t="inlineStr">
        <is>
          <t>991003285689702656</t>
        </is>
      </c>
      <c r="AY984" t="inlineStr">
        <is>
          <t>2268543580002656</t>
        </is>
      </c>
      <c r="AZ984" t="inlineStr">
        <is>
          <t>BOOK</t>
        </is>
      </c>
      <c r="BB984" t="inlineStr">
        <is>
          <t>9780472091898</t>
        </is>
      </c>
      <c r="BC984" t="inlineStr">
        <is>
          <t>32285001113108</t>
        </is>
      </c>
      <c r="BD984" t="inlineStr">
        <is>
          <t>893416229</t>
        </is>
      </c>
    </row>
    <row r="985">
      <c r="A985" t="inlineStr">
        <is>
          <t>No</t>
        </is>
      </c>
      <c r="B985" t="inlineStr">
        <is>
          <t>PS3551.S5 Z88 1991</t>
        </is>
      </c>
      <c r="C985" t="inlineStr">
        <is>
          <t>0                      PS 3551000S  5                  Z  88          1991</t>
        </is>
      </c>
      <c r="D985" t="inlineStr">
        <is>
          <t>Isaac Asimov / William F. Touponce.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K985" t="inlineStr">
        <is>
          <t>Touponce, William F.</t>
        </is>
      </c>
      <c r="L985" t="inlineStr">
        <is>
          <t>Boston : Twayne Publishers, 1991.</t>
        </is>
      </c>
      <c r="M985" t="inlineStr">
        <is>
          <t>1991</t>
        </is>
      </c>
      <c r="O985" t="inlineStr">
        <is>
          <t>eng</t>
        </is>
      </c>
      <c r="P985" t="inlineStr">
        <is>
          <t>mau</t>
        </is>
      </c>
      <c r="Q985" t="inlineStr">
        <is>
          <t>Twayne's United States authors series ; TUSAS 578</t>
        </is>
      </c>
      <c r="R985" t="inlineStr">
        <is>
          <t xml:space="preserve">PS </t>
        </is>
      </c>
      <c r="S985" t="n">
        <v>4</v>
      </c>
      <c r="T985" t="n">
        <v>4</v>
      </c>
      <c r="U985" t="inlineStr">
        <is>
          <t>1997-04-07</t>
        </is>
      </c>
      <c r="V985" t="inlineStr">
        <is>
          <t>1997-04-07</t>
        </is>
      </c>
      <c r="W985" t="inlineStr">
        <is>
          <t>1991-05-06</t>
        </is>
      </c>
      <c r="X985" t="inlineStr">
        <is>
          <t>1991-05-06</t>
        </is>
      </c>
      <c r="Y985" t="n">
        <v>688</v>
      </c>
      <c r="Z985" t="n">
        <v>625</v>
      </c>
      <c r="AA985" t="n">
        <v>765</v>
      </c>
      <c r="AB985" t="n">
        <v>6</v>
      </c>
      <c r="AC985" t="n">
        <v>8</v>
      </c>
      <c r="AD985" t="n">
        <v>19</v>
      </c>
      <c r="AE985" t="n">
        <v>25</v>
      </c>
      <c r="AF985" t="n">
        <v>5</v>
      </c>
      <c r="AG985" t="n">
        <v>7</v>
      </c>
      <c r="AH985" t="n">
        <v>3</v>
      </c>
      <c r="AI985" t="n">
        <v>3</v>
      </c>
      <c r="AJ985" t="n">
        <v>12</v>
      </c>
      <c r="AK985" t="n">
        <v>14</v>
      </c>
      <c r="AL985" t="n">
        <v>4</v>
      </c>
      <c r="AM985" t="n">
        <v>6</v>
      </c>
      <c r="AN985" t="n">
        <v>0</v>
      </c>
      <c r="AO985" t="n">
        <v>0</v>
      </c>
      <c r="AP985" t="inlineStr">
        <is>
          <t>No</t>
        </is>
      </c>
      <c r="AQ985" t="inlineStr">
        <is>
          <t>Yes</t>
        </is>
      </c>
      <c r="AR985">
        <f>HYPERLINK("http://catalog.hathitrust.org/Record/002448278","HathiTrust Record")</f>
        <v/>
      </c>
      <c r="AS985">
        <f>HYPERLINK("https://creighton-primo.hosted.exlibrisgroup.com/primo-explore/search?tab=default_tab&amp;search_scope=EVERYTHING&amp;vid=01CRU&amp;lang=en_US&amp;offset=0&amp;query=any,contains,991001795869702656","Catalog Record")</f>
        <v/>
      </c>
      <c r="AT985">
        <f>HYPERLINK("http://www.worldcat.org/oclc/22597228","WorldCat Record")</f>
        <v/>
      </c>
      <c r="AU985" t="inlineStr">
        <is>
          <t>2837206513:eng</t>
        </is>
      </c>
      <c r="AV985" t="inlineStr">
        <is>
          <t>22597228</t>
        </is>
      </c>
      <c r="AW985" t="inlineStr">
        <is>
          <t>991001795869702656</t>
        </is>
      </c>
      <c r="AX985" t="inlineStr">
        <is>
          <t>991001795869702656</t>
        </is>
      </c>
      <c r="AY985" t="inlineStr">
        <is>
          <t>2254753400002656</t>
        </is>
      </c>
      <c r="AZ985" t="inlineStr">
        <is>
          <t>BOOK</t>
        </is>
      </c>
      <c r="BB985" t="inlineStr">
        <is>
          <t>9780805776232</t>
        </is>
      </c>
      <c r="BC985" t="inlineStr">
        <is>
          <t>32285000606334</t>
        </is>
      </c>
      <c r="BD985" t="inlineStr">
        <is>
          <t>893609151</t>
        </is>
      </c>
    </row>
    <row r="986">
      <c r="A986" t="inlineStr">
        <is>
          <t>No</t>
        </is>
      </c>
      <c r="B986" t="inlineStr">
        <is>
          <t>PS3552.A75 Z93 1986</t>
        </is>
      </c>
      <c r="C986" t="inlineStr">
        <is>
          <t>0                      PS 3552000A  75                 Z  93          1986</t>
        </is>
      </c>
      <c r="D986" t="inlineStr">
        <is>
          <t>John Barth / by E.P. Walkiewicz.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K986" t="inlineStr">
        <is>
          <t>Walkiewicz, E. P.</t>
        </is>
      </c>
      <c r="L986" t="inlineStr">
        <is>
          <t>Boston : Twayne Publishers, c1986.</t>
        </is>
      </c>
      <c r="M986" t="inlineStr">
        <is>
          <t>1986</t>
        </is>
      </c>
      <c r="O986" t="inlineStr">
        <is>
          <t>eng</t>
        </is>
      </c>
      <c r="P986" t="inlineStr">
        <is>
          <t>mau</t>
        </is>
      </c>
      <c r="Q986" t="inlineStr">
        <is>
          <t>Twayne's United States authors series ; TUSAS 505</t>
        </is>
      </c>
      <c r="R986" t="inlineStr">
        <is>
          <t xml:space="preserve">PS </t>
        </is>
      </c>
      <c r="S986" t="n">
        <v>3</v>
      </c>
      <c r="T986" t="n">
        <v>3</v>
      </c>
      <c r="U986" t="inlineStr">
        <is>
          <t>1996-11-18</t>
        </is>
      </c>
      <c r="V986" t="inlineStr">
        <is>
          <t>1996-11-18</t>
        </is>
      </c>
      <c r="W986" t="inlineStr">
        <is>
          <t>1990-12-13</t>
        </is>
      </c>
      <c r="X986" t="inlineStr">
        <is>
          <t>1990-12-13</t>
        </is>
      </c>
      <c r="Y986" t="n">
        <v>881</v>
      </c>
      <c r="Z986" t="n">
        <v>777</v>
      </c>
      <c r="AA986" t="n">
        <v>863</v>
      </c>
      <c r="AB986" t="n">
        <v>7</v>
      </c>
      <c r="AC986" t="n">
        <v>7</v>
      </c>
      <c r="AD986" t="n">
        <v>37</v>
      </c>
      <c r="AE986" t="n">
        <v>38</v>
      </c>
      <c r="AF986" t="n">
        <v>15</v>
      </c>
      <c r="AG986" t="n">
        <v>15</v>
      </c>
      <c r="AH986" t="n">
        <v>7</v>
      </c>
      <c r="AI986" t="n">
        <v>7</v>
      </c>
      <c r="AJ986" t="n">
        <v>19</v>
      </c>
      <c r="AK986" t="n">
        <v>20</v>
      </c>
      <c r="AL986" t="n">
        <v>6</v>
      </c>
      <c r="AM986" t="n">
        <v>6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HYPERLINK("http://catalog.hathitrust.org/Record/000539198","HathiTrust Record")</f>
        <v/>
      </c>
      <c r="AS986">
        <f>HYPERLINK("https://creighton-primo.hosted.exlibrisgroup.com/primo-explore/search?tab=default_tab&amp;search_scope=EVERYTHING&amp;vid=01CRU&amp;lang=en_US&amp;offset=0&amp;query=any,contains,991000794699702656","Catalog Record")</f>
        <v/>
      </c>
      <c r="AT986">
        <f>HYPERLINK("http://www.worldcat.org/oclc/13184836","WorldCat Record")</f>
        <v/>
      </c>
      <c r="AU986" t="inlineStr">
        <is>
          <t>5850876:eng</t>
        </is>
      </c>
      <c r="AV986" t="inlineStr">
        <is>
          <t>13184836</t>
        </is>
      </c>
      <c r="AW986" t="inlineStr">
        <is>
          <t>991000794699702656</t>
        </is>
      </c>
      <c r="AX986" t="inlineStr">
        <is>
          <t>991000794699702656</t>
        </is>
      </c>
      <c r="AY986" t="inlineStr">
        <is>
          <t>2255054990002656</t>
        </is>
      </c>
      <c r="AZ986" t="inlineStr">
        <is>
          <t>BOOK</t>
        </is>
      </c>
      <c r="BB986" t="inlineStr">
        <is>
          <t>9780805774610</t>
        </is>
      </c>
      <c r="BC986" t="inlineStr">
        <is>
          <t>32285000419761</t>
        </is>
      </c>
      <c r="BD986" t="inlineStr">
        <is>
          <t>893515619</t>
        </is>
      </c>
    </row>
    <row r="987">
      <c r="A987" t="inlineStr">
        <is>
          <t>No</t>
        </is>
      </c>
      <c r="B987" t="inlineStr">
        <is>
          <t>PS3553.A7894 Z86 1993</t>
        </is>
      </c>
      <c r="C987" t="inlineStr">
        <is>
          <t>0                      PS 3553000A  7894               Z  86          1993</t>
        </is>
      </c>
      <c r="D987" t="inlineStr">
        <is>
          <t>Reading Raymond Carver / Randolph Paul Runyon.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Runyon, Randolph, 1947-</t>
        </is>
      </c>
      <c r="L987" t="inlineStr">
        <is>
          <t>Syracuse, N.Y. : Syracuse University Press, 1993.</t>
        </is>
      </c>
      <c r="M987" t="inlineStr">
        <is>
          <t>1993</t>
        </is>
      </c>
      <c r="N987" t="inlineStr">
        <is>
          <t>1st pbk. ed.</t>
        </is>
      </c>
      <c r="O987" t="inlineStr">
        <is>
          <t>eng</t>
        </is>
      </c>
      <c r="P987" t="inlineStr">
        <is>
          <t>nyu</t>
        </is>
      </c>
      <c r="R987" t="inlineStr">
        <is>
          <t xml:space="preserve">PS </t>
        </is>
      </c>
      <c r="S987" t="n">
        <v>3</v>
      </c>
      <c r="T987" t="n">
        <v>3</v>
      </c>
      <c r="U987" t="inlineStr">
        <is>
          <t>2004-10-15</t>
        </is>
      </c>
      <c r="V987" t="inlineStr">
        <is>
          <t>2004-10-15</t>
        </is>
      </c>
      <c r="W987" t="inlineStr">
        <is>
          <t>2002-03-20</t>
        </is>
      </c>
      <c r="X987" t="inlineStr">
        <is>
          <t>2002-03-20</t>
        </is>
      </c>
      <c r="Y987" t="n">
        <v>84</v>
      </c>
      <c r="Z987" t="n">
        <v>71</v>
      </c>
      <c r="AA987" t="n">
        <v>525</v>
      </c>
      <c r="AB987" t="n">
        <v>1</v>
      </c>
      <c r="AC987" t="n">
        <v>4</v>
      </c>
      <c r="AD987" t="n">
        <v>2</v>
      </c>
      <c r="AE987" t="n">
        <v>25</v>
      </c>
      <c r="AF987" t="n">
        <v>1</v>
      </c>
      <c r="AG987" t="n">
        <v>13</v>
      </c>
      <c r="AH987" t="n">
        <v>1</v>
      </c>
      <c r="AI987" t="n">
        <v>5</v>
      </c>
      <c r="AJ987" t="n">
        <v>0</v>
      </c>
      <c r="AK987" t="n">
        <v>12</v>
      </c>
      <c r="AL987" t="n">
        <v>0</v>
      </c>
      <c r="AM987" t="n">
        <v>3</v>
      </c>
      <c r="AN987" t="n">
        <v>0</v>
      </c>
      <c r="AO987" t="n">
        <v>0</v>
      </c>
      <c r="AP987" t="inlineStr">
        <is>
          <t>No</t>
        </is>
      </c>
      <c r="AQ987" t="inlineStr">
        <is>
          <t>No</t>
        </is>
      </c>
      <c r="AS987">
        <f>HYPERLINK("https://creighton-primo.hosted.exlibrisgroup.com/primo-explore/search?tab=default_tab&amp;search_scope=EVERYTHING&amp;vid=01CRU&amp;lang=en_US&amp;offset=0&amp;query=any,contains,991003755149702656","Catalog Record")</f>
        <v/>
      </c>
      <c r="AT987">
        <f>HYPERLINK("http://www.worldcat.org/oclc/29590643","WorldCat Record")</f>
        <v/>
      </c>
      <c r="AU987" t="inlineStr">
        <is>
          <t>31824950:eng</t>
        </is>
      </c>
      <c r="AV987" t="inlineStr">
        <is>
          <t>29590643</t>
        </is>
      </c>
      <c r="AW987" t="inlineStr">
        <is>
          <t>991003755149702656</t>
        </is>
      </c>
      <c r="AX987" t="inlineStr">
        <is>
          <t>991003755149702656</t>
        </is>
      </c>
      <c r="AY987" t="inlineStr">
        <is>
          <t>2262036730002656</t>
        </is>
      </c>
      <c r="AZ987" t="inlineStr">
        <is>
          <t>BOOK</t>
        </is>
      </c>
      <c r="BB987" t="inlineStr">
        <is>
          <t>9780815626312</t>
        </is>
      </c>
      <c r="BC987" t="inlineStr">
        <is>
          <t>32285004463237</t>
        </is>
      </c>
      <c r="BD987" t="inlineStr">
        <is>
          <t>893611401</t>
        </is>
      </c>
    </row>
    <row r="988">
      <c r="A988" t="inlineStr">
        <is>
          <t>No</t>
        </is>
      </c>
      <c r="B988" t="inlineStr">
        <is>
          <t>PS3555.L625 Z63</t>
        </is>
      </c>
      <c r="C988" t="inlineStr">
        <is>
          <t>0                      PS 3555000L  625                Z  63</t>
        </is>
      </c>
      <c r="D988" t="inlineStr">
        <is>
          <t>The blinking eye : Ralph Waldo Ellison and his American, French, German, and Italian critics, 1952-1971 : bibliographic essays and a checklist.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K988" t="inlineStr">
        <is>
          <t>Covo, Jacqueline.</t>
        </is>
      </c>
      <c r="L988" t="inlineStr">
        <is>
          <t>Metuchen, N.J. : Scarecrow Press, 1974.</t>
        </is>
      </c>
      <c r="M988" t="inlineStr">
        <is>
          <t>1974</t>
        </is>
      </c>
      <c r="O988" t="inlineStr">
        <is>
          <t>eng</t>
        </is>
      </c>
      <c r="P988" t="inlineStr">
        <is>
          <t>nju</t>
        </is>
      </c>
      <c r="Q988" t="inlineStr">
        <is>
          <t>The Scarecrow author bibliographies, no. 18</t>
        </is>
      </c>
      <c r="R988" t="inlineStr">
        <is>
          <t xml:space="preserve">PS </t>
        </is>
      </c>
      <c r="S988" t="n">
        <v>11</v>
      </c>
      <c r="T988" t="n">
        <v>11</v>
      </c>
      <c r="U988" t="inlineStr">
        <is>
          <t>2002-04-21</t>
        </is>
      </c>
      <c r="V988" t="inlineStr">
        <is>
          <t>2002-04-21</t>
        </is>
      </c>
      <c r="W988" t="inlineStr">
        <is>
          <t>1990-08-16</t>
        </is>
      </c>
      <c r="X988" t="inlineStr">
        <is>
          <t>1990-08-16</t>
        </is>
      </c>
      <c r="Y988" t="n">
        <v>428</v>
      </c>
      <c r="Z988" t="n">
        <v>359</v>
      </c>
      <c r="AA988" t="n">
        <v>366</v>
      </c>
      <c r="AB988" t="n">
        <v>3</v>
      </c>
      <c r="AC988" t="n">
        <v>3</v>
      </c>
      <c r="AD988" t="n">
        <v>14</v>
      </c>
      <c r="AE988" t="n">
        <v>14</v>
      </c>
      <c r="AF988" t="n">
        <v>5</v>
      </c>
      <c r="AG988" t="n">
        <v>5</v>
      </c>
      <c r="AH988" t="n">
        <v>3</v>
      </c>
      <c r="AI988" t="n">
        <v>3</v>
      </c>
      <c r="AJ988" t="n">
        <v>9</v>
      </c>
      <c r="AK988" t="n">
        <v>9</v>
      </c>
      <c r="AL988" t="n">
        <v>2</v>
      </c>
      <c r="AM988" t="n">
        <v>2</v>
      </c>
      <c r="AN988" t="n">
        <v>0</v>
      </c>
      <c r="AO988" t="n">
        <v>0</v>
      </c>
      <c r="AP988" t="inlineStr">
        <is>
          <t>No</t>
        </is>
      </c>
      <c r="AQ988" t="inlineStr">
        <is>
          <t>Yes</t>
        </is>
      </c>
      <c r="AR988">
        <f>HYPERLINK("http://catalog.hathitrust.org/Record/000557215","HathiTrust Record")</f>
        <v/>
      </c>
      <c r="AS988">
        <f>HYPERLINK("https://creighton-primo.hosted.exlibrisgroup.com/primo-explore/search?tab=default_tab&amp;search_scope=EVERYTHING&amp;vid=01CRU&amp;lang=en_US&amp;offset=0&amp;query=any,contains,991003444739702656","Catalog Record")</f>
        <v/>
      </c>
      <c r="AT988">
        <f>HYPERLINK("http://www.worldcat.org/oclc/980238","WorldCat Record")</f>
        <v/>
      </c>
      <c r="AU988" t="inlineStr">
        <is>
          <t>889611537:eng</t>
        </is>
      </c>
      <c r="AV988" t="inlineStr">
        <is>
          <t>980238</t>
        </is>
      </c>
      <c r="AW988" t="inlineStr">
        <is>
          <t>991003444739702656</t>
        </is>
      </c>
      <c r="AX988" t="inlineStr">
        <is>
          <t>991003444739702656</t>
        </is>
      </c>
      <c r="AY988" t="inlineStr">
        <is>
          <t>2271372720002656</t>
        </is>
      </c>
      <c r="AZ988" t="inlineStr">
        <is>
          <t>BOOK</t>
        </is>
      </c>
      <c r="BB988" t="inlineStr">
        <is>
          <t>9780810807365</t>
        </is>
      </c>
      <c r="BC988" t="inlineStr">
        <is>
          <t>32285000282433</t>
        </is>
      </c>
      <c r="BD988" t="inlineStr">
        <is>
          <t>893887468</t>
        </is>
      </c>
    </row>
    <row r="989">
      <c r="A989" t="inlineStr">
        <is>
          <t>No</t>
        </is>
      </c>
      <c r="B989" t="inlineStr">
        <is>
          <t>PS3555.L625 Z76 1982</t>
        </is>
      </c>
      <c r="C989" t="inlineStr">
        <is>
          <t>0                      PS 3555000L  625                Z  76          1982</t>
        </is>
      </c>
      <c r="D989" t="inlineStr">
        <is>
          <t>Dedalus in Harlem : the Joyce-Ellison connection / Robert N. List.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List, Robert N.</t>
        </is>
      </c>
      <c r="L989" t="inlineStr">
        <is>
          <t>Washington, D.C. : University Press of America, c1982.</t>
        </is>
      </c>
      <c r="M989" t="inlineStr">
        <is>
          <t>1982</t>
        </is>
      </c>
      <c r="O989" t="inlineStr">
        <is>
          <t>eng</t>
        </is>
      </c>
      <c r="P989" t="inlineStr">
        <is>
          <t>dcu</t>
        </is>
      </c>
      <c r="R989" t="inlineStr">
        <is>
          <t xml:space="preserve">PS </t>
        </is>
      </c>
      <c r="S989" t="n">
        <v>12</v>
      </c>
      <c r="T989" t="n">
        <v>12</v>
      </c>
      <c r="U989" t="inlineStr">
        <is>
          <t>2000-03-18</t>
        </is>
      </c>
      <c r="V989" t="inlineStr">
        <is>
          <t>2000-03-18</t>
        </is>
      </c>
      <c r="W989" t="inlineStr">
        <is>
          <t>1990-12-20</t>
        </is>
      </c>
      <c r="X989" t="inlineStr">
        <is>
          <t>1990-12-20</t>
        </is>
      </c>
      <c r="Y989" t="n">
        <v>299</v>
      </c>
      <c r="Z989" t="n">
        <v>260</v>
      </c>
      <c r="AA989" t="n">
        <v>261</v>
      </c>
      <c r="AB989" t="n">
        <v>3</v>
      </c>
      <c r="AC989" t="n">
        <v>3</v>
      </c>
      <c r="AD989" t="n">
        <v>11</v>
      </c>
      <c r="AE989" t="n">
        <v>11</v>
      </c>
      <c r="AF989" t="n">
        <v>3</v>
      </c>
      <c r="AG989" t="n">
        <v>3</v>
      </c>
      <c r="AH989" t="n">
        <v>2</v>
      </c>
      <c r="AI989" t="n">
        <v>2</v>
      </c>
      <c r="AJ989" t="n">
        <v>8</v>
      </c>
      <c r="AK989" t="n">
        <v>8</v>
      </c>
      <c r="AL989" t="n">
        <v>2</v>
      </c>
      <c r="AM989" t="n">
        <v>2</v>
      </c>
      <c r="AN989" t="n">
        <v>0</v>
      </c>
      <c r="AO989" t="n">
        <v>0</v>
      </c>
      <c r="AP989" t="inlineStr">
        <is>
          <t>No</t>
        </is>
      </c>
      <c r="AQ989" t="inlineStr">
        <is>
          <t>Yes</t>
        </is>
      </c>
      <c r="AR989">
        <f>HYPERLINK("http://catalog.hathitrust.org/Record/007103537","HathiTrust Record")</f>
        <v/>
      </c>
      <c r="AS989">
        <f>HYPERLINK("https://creighton-primo.hosted.exlibrisgroup.com/primo-explore/search?tab=default_tab&amp;search_scope=EVERYTHING&amp;vid=01CRU&amp;lang=en_US&amp;offset=0&amp;query=any,contains,991000034179702656","Catalog Record")</f>
        <v/>
      </c>
      <c r="AT989">
        <f>HYPERLINK("http://www.worldcat.org/oclc/8626982","WorldCat Record")</f>
        <v/>
      </c>
      <c r="AU989" t="inlineStr">
        <is>
          <t>288287944:eng</t>
        </is>
      </c>
      <c r="AV989" t="inlineStr">
        <is>
          <t>8626982</t>
        </is>
      </c>
      <c r="AW989" t="inlineStr">
        <is>
          <t>991000034179702656</t>
        </is>
      </c>
      <c r="AX989" t="inlineStr">
        <is>
          <t>991000034179702656</t>
        </is>
      </c>
      <c r="AY989" t="inlineStr">
        <is>
          <t>2261101550002656</t>
        </is>
      </c>
      <c r="AZ989" t="inlineStr">
        <is>
          <t>BOOK</t>
        </is>
      </c>
      <c r="BB989" t="inlineStr">
        <is>
          <t>9780819126313</t>
        </is>
      </c>
      <c r="BC989" t="inlineStr">
        <is>
          <t>32285000451541</t>
        </is>
      </c>
      <c r="BD989" t="inlineStr">
        <is>
          <t>893437944</t>
        </is>
      </c>
    </row>
    <row r="990">
      <c r="A990" t="inlineStr">
        <is>
          <t>No</t>
        </is>
      </c>
      <c r="B990" t="inlineStr">
        <is>
          <t>PS3555.L625 Z874 2003</t>
        </is>
      </c>
      <c r="C990" t="inlineStr">
        <is>
          <t>0                      PS 3555000L  625                Z  874         2003</t>
        </is>
      </c>
      <c r="D990" t="inlineStr">
        <is>
          <t>Ralph Ellison and the politics of the novel / H. William Rice.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Rice, Herbert William, 1952-</t>
        </is>
      </c>
      <c r="L990" t="inlineStr">
        <is>
          <t>Lanham, Md. : Lexington Books, c2003.</t>
        </is>
      </c>
      <c r="M990" t="inlineStr">
        <is>
          <t>2003</t>
        </is>
      </c>
      <c r="O990" t="inlineStr">
        <is>
          <t>eng</t>
        </is>
      </c>
      <c r="P990" t="inlineStr">
        <is>
          <t>mdu</t>
        </is>
      </c>
      <c r="R990" t="inlineStr">
        <is>
          <t xml:space="preserve">PS </t>
        </is>
      </c>
      <c r="S990" t="n">
        <v>1</v>
      </c>
      <c r="T990" t="n">
        <v>1</v>
      </c>
      <c r="U990" t="inlineStr">
        <is>
          <t>2005-05-12</t>
        </is>
      </c>
      <c r="V990" t="inlineStr">
        <is>
          <t>2005-05-12</t>
        </is>
      </c>
      <c r="W990" t="inlineStr">
        <is>
          <t>2005-05-12</t>
        </is>
      </c>
      <c r="X990" t="inlineStr">
        <is>
          <t>2005-05-12</t>
        </is>
      </c>
      <c r="Y990" t="n">
        <v>361</v>
      </c>
      <c r="Z990" t="n">
        <v>322</v>
      </c>
      <c r="AA990" t="n">
        <v>337</v>
      </c>
      <c r="AB990" t="n">
        <v>3</v>
      </c>
      <c r="AC990" t="n">
        <v>3</v>
      </c>
      <c r="AD990" t="n">
        <v>18</v>
      </c>
      <c r="AE990" t="n">
        <v>18</v>
      </c>
      <c r="AF990" t="n">
        <v>8</v>
      </c>
      <c r="AG990" t="n">
        <v>8</v>
      </c>
      <c r="AH990" t="n">
        <v>7</v>
      </c>
      <c r="AI990" t="n">
        <v>7</v>
      </c>
      <c r="AJ990" t="n">
        <v>8</v>
      </c>
      <c r="AK990" t="n">
        <v>8</v>
      </c>
      <c r="AL990" t="n">
        <v>2</v>
      </c>
      <c r="AM990" t="n">
        <v>2</v>
      </c>
      <c r="AN990" t="n">
        <v>0</v>
      </c>
      <c r="AO990" t="n">
        <v>0</v>
      </c>
      <c r="AP990" t="inlineStr">
        <is>
          <t>No</t>
        </is>
      </c>
      <c r="AQ990" t="inlineStr">
        <is>
          <t>Yes</t>
        </is>
      </c>
      <c r="AR990">
        <f>HYPERLINK("http://catalog.hathitrust.org/Record/004338752","HathiTrust Record")</f>
        <v/>
      </c>
      <c r="AS990">
        <f>HYPERLINK("https://creighton-primo.hosted.exlibrisgroup.com/primo-explore/search?tab=default_tab&amp;search_scope=EVERYTHING&amp;vid=01CRU&amp;lang=en_US&amp;offset=0&amp;query=any,contains,991004492159702656","Catalog Record")</f>
        <v/>
      </c>
      <c r="AT990">
        <f>HYPERLINK("http://www.worldcat.org/oclc/51837989","WorldCat Record")</f>
        <v/>
      </c>
      <c r="AU990" t="inlineStr">
        <is>
          <t>738391:eng</t>
        </is>
      </c>
      <c r="AV990" t="inlineStr">
        <is>
          <t>51837989</t>
        </is>
      </c>
      <c r="AW990" t="inlineStr">
        <is>
          <t>991004492159702656</t>
        </is>
      </c>
      <c r="AX990" t="inlineStr">
        <is>
          <t>991004492159702656</t>
        </is>
      </c>
      <c r="AY990" t="inlineStr">
        <is>
          <t>2255919650002656</t>
        </is>
      </c>
      <c r="AZ990" t="inlineStr">
        <is>
          <t>BOOK</t>
        </is>
      </c>
      <c r="BB990" t="inlineStr">
        <is>
          <t>9780739106549</t>
        </is>
      </c>
      <c r="BC990" t="inlineStr">
        <is>
          <t>32285005037691</t>
        </is>
      </c>
      <c r="BD990" t="inlineStr">
        <is>
          <t>893417685</t>
        </is>
      </c>
    </row>
    <row r="991">
      <c r="A991" t="inlineStr">
        <is>
          <t>No</t>
        </is>
      </c>
      <c r="B991" t="inlineStr">
        <is>
          <t>PS3557.A66 A7318 1997</t>
        </is>
      </c>
      <c r="C991" t="inlineStr">
        <is>
          <t>0                      PS 3557000A  66                 A  7318        1997</t>
        </is>
      </c>
      <c r="D991" t="inlineStr">
        <is>
          <t>Las hermanas Agüero / Cristina García ; traducción de Alan West.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K991" t="inlineStr">
        <is>
          <t>García, Cristina, 1958-</t>
        </is>
      </c>
      <c r="L991" t="inlineStr">
        <is>
          <t>New York : Vintage Books, c1997.</t>
        </is>
      </c>
      <c r="M991" t="inlineStr">
        <is>
          <t>1997</t>
        </is>
      </c>
      <c r="N991" t="inlineStr">
        <is>
          <t>1. ed. de Vintage español.</t>
        </is>
      </c>
      <c r="O991" t="inlineStr">
        <is>
          <t>spa</t>
        </is>
      </c>
      <c r="P991" t="inlineStr">
        <is>
          <t>nyu</t>
        </is>
      </c>
      <c r="Q991" t="inlineStr">
        <is>
          <t>Vintage español</t>
        </is>
      </c>
      <c r="R991" t="inlineStr">
        <is>
          <t xml:space="preserve">PS </t>
        </is>
      </c>
      <c r="S991" t="n">
        <v>1</v>
      </c>
      <c r="T991" t="n">
        <v>1</v>
      </c>
      <c r="U991" t="inlineStr">
        <is>
          <t>2003-03-26</t>
        </is>
      </c>
      <c r="V991" t="inlineStr">
        <is>
          <t>2003-03-26</t>
        </is>
      </c>
      <c r="W991" t="inlineStr">
        <is>
          <t>2003-03-26</t>
        </is>
      </c>
      <c r="X991" t="inlineStr">
        <is>
          <t>2003-03-26</t>
        </is>
      </c>
      <c r="Y991" t="n">
        <v>311</v>
      </c>
      <c r="Z991" t="n">
        <v>305</v>
      </c>
      <c r="AA991" t="n">
        <v>423</v>
      </c>
      <c r="AB991" t="n">
        <v>2</v>
      </c>
      <c r="AC991" t="n">
        <v>2</v>
      </c>
      <c r="AD991" t="n">
        <v>8</v>
      </c>
      <c r="AE991" t="n">
        <v>9</v>
      </c>
      <c r="AF991" t="n">
        <v>3</v>
      </c>
      <c r="AG991" t="n">
        <v>4</v>
      </c>
      <c r="AH991" t="n">
        <v>3</v>
      </c>
      <c r="AI991" t="n">
        <v>3</v>
      </c>
      <c r="AJ991" t="n">
        <v>6</v>
      </c>
      <c r="AK991" t="n">
        <v>6</v>
      </c>
      <c r="AL991" t="n">
        <v>1</v>
      </c>
      <c r="AM991" t="n">
        <v>1</v>
      </c>
      <c r="AN991" t="n">
        <v>0</v>
      </c>
      <c r="AO991" t="n">
        <v>0</v>
      </c>
      <c r="AP991" t="inlineStr">
        <is>
          <t>No</t>
        </is>
      </c>
      <c r="AQ991" t="inlineStr">
        <is>
          <t>No</t>
        </is>
      </c>
      <c r="AS991">
        <f>HYPERLINK("https://creighton-primo.hosted.exlibrisgroup.com/primo-explore/search?tab=default_tab&amp;search_scope=EVERYTHING&amp;vid=01CRU&amp;lang=en_US&amp;offset=0&amp;query=any,contains,991004025839702656","Catalog Record")</f>
        <v/>
      </c>
      <c r="AT991">
        <f>HYPERLINK("http://www.worldcat.org/oclc/37117287","WorldCat Record")</f>
        <v/>
      </c>
      <c r="AU991" t="inlineStr">
        <is>
          <t>570316:spa</t>
        </is>
      </c>
      <c r="AV991" t="inlineStr">
        <is>
          <t>37117287</t>
        </is>
      </c>
      <c r="AW991" t="inlineStr">
        <is>
          <t>991004025839702656</t>
        </is>
      </c>
      <c r="AX991" t="inlineStr">
        <is>
          <t>991004025839702656</t>
        </is>
      </c>
      <c r="AY991" t="inlineStr">
        <is>
          <t>2267886820002656</t>
        </is>
      </c>
      <c r="AZ991" t="inlineStr">
        <is>
          <t>BOOK</t>
        </is>
      </c>
      <c r="BB991" t="inlineStr">
        <is>
          <t>9780679781455</t>
        </is>
      </c>
      <c r="BC991" t="inlineStr">
        <is>
          <t>32285004686431</t>
        </is>
      </c>
      <c r="BD991" t="inlineStr">
        <is>
          <t>893894485</t>
        </is>
      </c>
    </row>
    <row r="992">
      <c r="A992" t="inlineStr">
        <is>
          <t>No</t>
        </is>
      </c>
      <c r="B992" t="inlineStr">
        <is>
          <t>PS3557.A712 Z77 1990</t>
        </is>
      </c>
      <c r="C992" t="inlineStr">
        <is>
          <t>0                      PS 3557000A  712                Z  77          1990</t>
        </is>
      </c>
      <c r="D992" t="inlineStr">
        <is>
          <t>John Gardner / by Dean McWilliams.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McWilliams, Dean.</t>
        </is>
      </c>
      <c r="L992" t="inlineStr">
        <is>
          <t>Boston : Twayne Publishers, c1990.</t>
        </is>
      </c>
      <c r="M992" t="inlineStr">
        <is>
          <t>1990</t>
        </is>
      </c>
      <c r="O992" t="inlineStr">
        <is>
          <t>eng</t>
        </is>
      </c>
      <c r="P992" t="inlineStr">
        <is>
          <t>mau</t>
        </is>
      </c>
      <c r="Q992" t="inlineStr">
        <is>
          <t>Twayne's United States authors series ; TUSAS 561</t>
        </is>
      </c>
      <c r="R992" t="inlineStr">
        <is>
          <t xml:space="preserve">PS </t>
        </is>
      </c>
      <c r="S992" t="n">
        <v>3</v>
      </c>
      <c r="T992" t="n">
        <v>3</v>
      </c>
      <c r="U992" t="inlineStr">
        <is>
          <t>1995-11-19</t>
        </is>
      </c>
      <c r="V992" t="inlineStr">
        <is>
          <t>1995-11-19</t>
        </is>
      </c>
      <c r="W992" t="inlineStr">
        <is>
          <t>1990-04-11</t>
        </is>
      </c>
      <c r="X992" t="inlineStr">
        <is>
          <t>1990-04-11</t>
        </is>
      </c>
      <c r="Y992" t="n">
        <v>742</v>
      </c>
      <c r="Z992" t="n">
        <v>661</v>
      </c>
      <c r="AA992" t="n">
        <v>667</v>
      </c>
      <c r="AB992" t="n">
        <v>8</v>
      </c>
      <c r="AC992" t="n">
        <v>8</v>
      </c>
      <c r="AD992" t="n">
        <v>31</v>
      </c>
      <c r="AE992" t="n">
        <v>31</v>
      </c>
      <c r="AF992" t="n">
        <v>12</v>
      </c>
      <c r="AG992" t="n">
        <v>12</v>
      </c>
      <c r="AH992" t="n">
        <v>4</v>
      </c>
      <c r="AI992" t="n">
        <v>4</v>
      </c>
      <c r="AJ992" t="n">
        <v>15</v>
      </c>
      <c r="AK992" t="n">
        <v>15</v>
      </c>
      <c r="AL992" t="n">
        <v>7</v>
      </c>
      <c r="AM992" t="n">
        <v>7</v>
      </c>
      <c r="AN992" t="n">
        <v>0</v>
      </c>
      <c r="AO992" t="n">
        <v>0</v>
      </c>
      <c r="AP992" t="inlineStr">
        <is>
          <t>No</t>
        </is>
      </c>
      <c r="AQ992" t="inlineStr">
        <is>
          <t>Yes</t>
        </is>
      </c>
      <c r="AR992">
        <f>HYPERLINK("http://catalog.hathitrust.org/Record/001944095","HathiTrust Record")</f>
        <v/>
      </c>
      <c r="AS992">
        <f>HYPERLINK("https://creighton-primo.hosted.exlibrisgroup.com/primo-explore/search?tab=default_tab&amp;search_scope=EVERYTHING&amp;vid=01CRU&amp;lang=en_US&amp;offset=0&amp;query=any,contains,991001587849702656","Catalog Record")</f>
        <v/>
      </c>
      <c r="AT992">
        <f>HYPERLINK("http://www.worldcat.org/oclc/20560634","WorldCat Record")</f>
        <v/>
      </c>
      <c r="AU992" t="inlineStr">
        <is>
          <t>22140641:eng</t>
        </is>
      </c>
      <c r="AV992" t="inlineStr">
        <is>
          <t>20560634</t>
        </is>
      </c>
      <c r="AW992" t="inlineStr">
        <is>
          <t>991001587849702656</t>
        </is>
      </c>
      <c r="AX992" t="inlineStr">
        <is>
          <t>991001587849702656</t>
        </is>
      </c>
      <c r="AY992" t="inlineStr">
        <is>
          <t>2259424030002656</t>
        </is>
      </c>
      <c r="AZ992" t="inlineStr">
        <is>
          <t>BOOK</t>
        </is>
      </c>
      <c r="BB992" t="inlineStr">
        <is>
          <t>9780805776027</t>
        </is>
      </c>
      <c r="BC992" t="inlineStr">
        <is>
          <t>32285000022037</t>
        </is>
      </c>
      <c r="BD992" t="inlineStr">
        <is>
          <t>893439225</t>
        </is>
      </c>
    </row>
    <row r="993">
      <c r="A993" t="inlineStr">
        <is>
          <t>No</t>
        </is>
      </c>
      <c r="B993" t="inlineStr">
        <is>
          <t>PS3557.I55 Z66 1992</t>
        </is>
      </c>
      <c r="C993" t="inlineStr">
        <is>
          <t>0                      PS 3557000I  55                 Z  66          1992</t>
        </is>
      </c>
      <c r="D993" t="inlineStr">
        <is>
          <t>Nikki Giovanni / Virginia C. Fowler.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Fowler, Virginia C., 1948-</t>
        </is>
      </c>
      <c r="L993" t="inlineStr">
        <is>
          <t>New York : Twayne Publishers ; Toronto : Maxwell Macmillan Canada ; New York : Maxwell Macmillan International, c1992.</t>
        </is>
      </c>
      <c r="M993" t="inlineStr">
        <is>
          <t>1992</t>
        </is>
      </c>
      <c r="O993" t="inlineStr">
        <is>
          <t>eng</t>
        </is>
      </c>
      <c r="P993" t="inlineStr">
        <is>
          <t>nyu</t>
        </is>
      </c>
      <c r="Q993" t="inlineStr">
        <is>
          <t>Twayne's United States authors series ; TUSAS 613</t>
        </is>
      </c>
      <c r="R993" t="inlineStr">
        <is>
          <t xml:space="preserve">PS </t>
        </is>
      </c>
      <c r="S993" t="n">
        <v>4</v>
      </c>
      <c r="T993" t="n">
        <v>4</v>
      </c>
      <c r="U993" t="inlineStr">
        <is>
          <t>2002-04-03</t>
        </is>
      </c>
      <c r="V993" t="inlineStr">
        <is>
          <t>2002-04-03</t>
        </is>
      </c>
      <c r="W993" t="inlineStr">
        <is>
          <t>1993-02-03</t>
        </is>
      </c>
      <c r="X993" t="inlineStr">
        <is>
          <t>1993-02-03</t>
        </is>
      </c>
      <c r="Y993" t="n">
        <v>1335</v>
      </c>
      <c r="Z993" t="n">
        <v>1271</v>
      </c>
      <c r="AA993" t="n">
        <v>1502</v>
      </c>
      <c r="AB993" t="n">
        <v>10</v>
      </c>
      <c r="AC993" t="n">
        <v>12</v>
      </c>
      <c r="AD993" t="n">
        <v>39</v>
      </c>
      <c r="AE993" t="n">
        <v>48</v>
      </c>
      <c r="AF993" t="n">
        <v>15</v>
      </c>
      <c r="AG993" t="n">
        <v>20</v>
      </c>
      <c r="AH993" t="n">
        <v>8</v>
      </c>
      <c r="AI993" t="n">
        <v>8</v>
      </c>
      <c r="AJ993" t="n">
        <v>17</v>
      </c>
      <c r="AK993" t="n">
        <v>21</v>
      </c>
      <c r="AL993" t="n">
        <v>8</v>
      </c>
      <c r="AM993" t="n">
        <v>10</v>
      </c>
      <c r="AN993" t="n">
        <v>0</v>
      </c>
      <c r="AO993" t="n">
        <v>0</v>
      </c>
      <c r="AP993" t="inlineStr">
        <is>
          <t>No</t>
        </is>
      </c>
      <c r="AQ993" t="inlineStr">
        <is>
          <t>Yes</t>
        </is>
      </c>
      <c r="AR993">
        <f>HYPERLINK("http://catalog.hathitrust.org/Record/002627652","HathiTrust Record")</f>
        <v/>
      </c>
      <c r="AS993">
        <f>HYPERLINK("https://creighton-primo.hosted.exlibrisgroup.com/primo-explore/search?tab=default_tab&amp;search_scope=EVERYTHING&amp;vid=01CRU&amp;lang=en_US&amp;offset=0&amp;query=any,contains,991002032309702656","Catalog Record")</f>
        <v/>
      </c>
      <c r="AT993">
        <f>HYPERLINK("http://www.worldcat.org/oclc/25873599","WorldCat Record")</f>
        <v/>
      </c>
      <c r="AU993" t="inlineStr">
        <is>
          <t>17669625:eng</t>
        </is>
      </c>
      <c r="AV993" t="inlineStr">
        <is>
          <t>25873599</t>
        </is>
      </c>
      <c r="AW993" t="inlineStr">
        <is>
          <t>991002032309702656</t>
        </is>
      </c>
      <c r="AX993" t="inlineStr">
        <is>
          <t>991002032309702656</t>
        </is>
      </c>
      <c r="AY993" t="inlineStr">
        <is>
          <t>2269550750002656</t>
        </is>
      </c>
      <c r="AZ993" t="inlineStr">
        <is>
          <t>BOOK</t>
        </is>
      </c>
      <c r="BB993" t="inlineStr">
        <is>
          <t>9780805739831</t>
        </is>
      </c>
      <c r="BC993" t="inlineStr">
        <is>
          <t>32285001522589</t>
        </is>
      </c>
      <c r="BD993" t="inlineStr">
        <is>
          <t>893590846</t>
        </is>
      </c>
    </row>
    <row r="994">
      <c r="A994" t="inlineStr">
        <is>
          <t>No</t>
        </is>
      </c>
      <c r="B994" t="inlineStr">
        <is>
          <t>PS3559.R8 Z68 1986</t>
        </is>
      </c>
      <c r="C994" t="inlineStr">
        <is>
          <t>0                      PS 3559000R  8                  Z  68          1986</t>
        </is>
      </c>
      <c r="D994" t="inlineStr">
        <is>
          <t>John Irving / by Carol C. Harter and James R. Thompson.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Harter, Carol C.</t>
        </is>
      </c>
      <c r="L994" t="inlineStr">
        <is>
          <t>Boston : Twayne Publishers, c1986.</t>
        </is>
      </c>
      <c r="M994" t="inlineStr">
        <is>
          <t>1986</t>
        </is>
      </c>
      <c r="O994" t="inlineStr">
        <is>
          <t>eng</t>
        </is>
      </c>
      <c r="P994" t="inlineStr">
        <is>
          <t>mau</t>
        </is>
      </c>
      <c r="Q994" t="inlineStr">
        <is>
          <t>Twayne's United States authors series ; TUSAS 502</t>
        </is>
      </c>
      <c r="R994" t="inlineStr">
        <is>
          <t xml:space="preserve">PS </t>
        </is>
      </c>
      <c r="S994" t="n">
        <v>3</v>
      </c>
      <c r="T994" t="n">
        <v>3</v>
      </c>
      <c r="U994" t="inlineStr">
        <is>
          <t>1995-04-23</t>
        </is>
      </c>
      <c r="V994" t="inlineStr">
        <is>
          <t>1995-04-23</t>
        </is>
      </c>
      <c r="W994" t="inlineStr">
        <is>
          <t>1990-12-21</t>
        </is>
      </c>
      <c r="X994" t="inlineStr">
        <is>
          <t>1990-12-21</t>
        </is>
      </c>
      <c r="Y994" t="n">
        <v>961</v>
      </c>
      <c r="Z994" t="n">
        <v>863</v>
      </c>
      <c r="AA994" t="n">
        <v>958</v>
      </c>
      <c r="AB994" t="n">
        <v>6</v>
      </c>
      <c r="AC994" t="n">
        <v>6</v>
      </c>
      <c r="AD994" t="n">
        <v>27</v>
      </c>
      <c r="AE994" t="n">
        <v>28</v>
      </c>
      <c r="AF994" t="n">
        <v>11</v>
      </c>
      <c r="AG994" t="n">
        <v>11</v>
      </c>
      <c r="AH994" t="n">
        <v>4</v>
      </c>
      <c r="AI994" t="n">
        <v>4</v>
      </c>
      <c r="AJ994" t="n">
        <v>16</v>
      </c>
      <c r="AK994" t="n">
        <v>17</v>
      </c>
      <c r="AL994" t="n">
        <v>4</v>
      </c>
      <c r="AM994" t="n">
        <v>4</v>
      </c>
      <c r="AN994" t="n">
        <v>0</v>
      </c>
      <c r="AO994" t="n">
        <v>0</v>
      </c>
      <c r="AP994" t="inlineStr">
        <is>
          <t>No</t>
        </is>
      </c>
      <c r="AQ994" t="inlineStr">
        <is>
          <t>Yes</t>
        </is>
      </c>
      <c r="AR994">
        <f>HYPERLINK("http://catalog.hathitrust.org/Record/000393499","HathiTrust Record")</f>
        <v/>
      </c>
      <c r="AS994">
        <f>HYPERLINK("https://creighton-primo.hosted.exlibrisgroup.com/primo-explore/search?tab=default_tab&amp;search_scope=EVERYTHING&amp;vid=01CRU&amp;lang=en_US&amp;offset=0&amp;query=any,contains,991000760219702656","Catalog Record")</f>
        <v/>
      </c>
      <c r="AT994">
        <f>HYPERLINK("http://www.worldcat.org/oclc/12972633","WorldCat Record")</f>
        <v/>
      </c>
      <c r="AU994" t="inlineStr">
        <is>
          <t>5604624:eng</t>
        </is>
      </c>
      <c r="AV994" t="inlineStr">
        <is>
          <t>12972633</t>
        </is>
      </c>
      <c r="AW994" t="inlineStr">
        <is>
          <t>991000760219702656</t>
        </is>
      </c>
      <c r="AX994" t="inlineStr">
        <is>
          <t>991000760219702656</t>
        </is>
      </c>
      <c r="AY994" t="inlineStr">
        <is>
          <t>2263929070002656</t>
        </is>
      </c>
      <c r="AZ994" t="inlineStr">
        <is>
          <t>BOOK</t>
        </is>
      </c>
      <c r="BB994" t="inlineStr">
        <is>
          <t>9780805774627</t>
        </is>
      </c>
      <c r="BC994" t="inlineStr">
        <is>
          <t>32285000452531</t>
        </is>
      </c>
      <c r="BD994" t="inlineStr">
        <is>
          <t>893413658</t>
        </is>
      </c>
    </row>
    <row r="995">
      <c r="A995" t="inlineStr">
        <is>
          <t>No</t>
        </is>
      </c>
      <c r="B995" t="inlineStr">
        <is>
          <t>PS3561.E428 Z67 2002</t>
        </is>
      </c>
      <c r="C995" t="inlineStr">
        <is>
          <t>0                      PS 3561000E  428                Z  67          2002</t>
        </is>
      </c>
      <c r="D995" t="inlineStr">
        <is>
          <t>Reading William Kennedy / Michael Patrick Gillespie.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Gillespie, Michael Patrick.</t>
        </is>
      </c>
      <c r="L995" t="inlineStr">
        <is>
          <t>Syracuse, N.Y. : Syracuse University Press, 2002.</t>
        </is>
      </c>
      <c r="M995" t="inlineStr">
        <is>
          <t>2002</t>
        </is>
      </c>
      <c r="N995" t="inlineStr">
        <is>
          <t>1st ed.</t>
        </is>
      </c>
      <c r="O995" t="inlineStr">
        <is>
          <t>eng</t>
        </is>
      </c>
      <c r="P995" t="inlineStr">
        <is>
          <t>nyu</t>
        </is>
      </c>
      <c r="Q995" t="inlineStr">
        <is>
          <t>Irish studies</t>
        </is>
      </c>
      <c r="R995" t="inlineStr">
        <is>
          <t xml:space="preserve">PS </t>
        </is>
      </c>
      <c r="S995" t="n">
        <v>1</v>
      </c>
      <c r="T995" t="n">
        <v>1</v>
      </c>
      <c r="U995" t="inlineStr">
        <is>
          <t>2005-04-07</t>
        </is>
      </c>
      <c r="V995" t="inlineStr">
        <is>
          <t>2005-04-07</t>
        </is>
      </c>
      <c r="W995" t="inlineStr">
        <is>
          <t>2005-04-07</t>
        </is>
      </c>
      <c r="X995" t="inlineStr">
        <is>
          <t>2005-04-07</t>
        </is>
      </c>
      <c r="Y995" t="n">
        <v>332</v>
      </c>
      <c r="Z995" t="n">
        <v>301</v>
      </c>
      <c r="AA995" t="n">
        <v>307</v>
      </c>
      <c r="AB995" t="n">
        <v>2</v>
      </c>
      <c r="AC995" t="n">
        <v>2</v>
      </c>
      <c r="AD995" t="n">
        <v>15</v>
      </c>
      <c r="AE995" t="n">
        <v>15</v>
      </c>
      <c r="AF995" t="n">
        <v>5</v>
      </c>
      <c r="AG995" t="n">
        <v>5</v>
      </c>
      <c r="AH995" t="n">
        <v>5</v>
      </c>
      <c r="AI995" t="n">
        <v>5</v>
      </c>
      <c r="AJ995" t="n">
        <v>8</v>
      </c>
      <c r="AK995" t="n">
        <v>8</v>
      </c>
      <c r="AL995" t="n">
        <v>1</v>
      </c>
      <c r="AM995" t="n">
        <v>1</v>
      </c>
      <c r="AN995" t="n">
        <v>0</v>
      </c>
      <c r="AO995" t="n">
        <v>0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HYPERLINK("http://catalog.hathitrust.org/Record/004215599","HathiTrust Record")</f>
        <v/>
      </c>
      <c r="AS995">
        <f>HYPERLINK("https://creighton-primo.hosted.exlibrisgroup.com/primo-explore/search?tab=default_tab&amp;search_scope=EVERYTHING&amp;vid=01CRU&amp;lang=en_US&amp;offset=0&amp;query=any,contains,991004514929702656","Catalog Record")</f>
        <v/>
      </c>
      <c r="AT995">
        <f>HYPERLINK("http://www.worldcat.org/oclc/47892597","WorldCat Record")</f>
        <v/>
      </c>
      <c r="AU995" t="inlineStr">
        <is>
          <t>20415462:eng</t>
        </is>
      </c>
      <c r="AV995" t="inlineStr">
        <is>
          <t>47892597</t>
        </is>
      </c>
      <c r="AW995" t="inlineStr">
        <is>
          <t>991004514929702656</t>
        </is>
      </c>
      <c r="AX995" t="inlineStr">
        <is>
          <t>991004514929702656</t>
        </is>
      </c>
      <c r="AY995" t="inlineStr">
        <is>
          <t>2260426610002656</t>
        </is>
      </c>
      <c r="AZ995" t="inlineStr">
        <is>
          <t>BOOK</t>
        </is>
      </c>
      <c r="BB995" t="inlineStr">
        <is>
          <t>9780815607243</t>
        </is>
      </c>
      <c r="BC995" t="inlineStr">
        <is>
          <t>32285005048920</t>
        </is>
      </c>
      <c r="BD995" t="inlineStr">
        <is>
          <t>893430154</t>
        </is>
      </c>
    </row>
    <row r="996">
      <c r="A996" t="inlineStr">
        <is>
          <t>No</t>
        </is>
      </c>
      <c r="B996" t="inlineStr">
        <is>
          <t>PS3561.E428 Z87 1991</t>
        </is>
      </c>
      <c r="C996" t="inlineStr">
        <is>
          <t>0                      PS 3561000E  428                Z  87          1991</t>
        </is>
      </c>
      <c r="D996" t="inlineStr">
        <is>
          <t>William Kennedy / Edward C. Reilly.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K996" t="inlineStr">
        <is>
          <t>Reilly, Edward C.</t>
        </is>
      </c>
      <c r="L996" t="inlineStr">
        <is>
          <t>Boston : Twayne, 1991.</t>
        </is>
      </c>
      <c r="M996" t="inlineStr">
        <is>
          <t>1991</t>
        </is>
      </c>
      <c r="O996" t="inlineStr">
        <is>
          <t>eng</t>
        </is>
      </c>
      <c r="P996" t="inlineStr">
        <is>
          <t>mau</t>
        </is>
      </c>
      <c r="Q996" t="inlineStr">
        <is>
          <t>Twayne's United States authors series ; TUSAS 570</t>
        </is>
      </c>
      <c r="R996" t="inlineStr">
        <is>
          <t xml:space="preserve">PS </t>
        </is>
      </c>
      <c r="S996" t="n">
        <v>6</v>
      </c>
      <c r="T996" t="n">
        <v>6</v>
      </c>
      <c r="U996" t="inlineStr">
        <is>
          <t>1995-12-18</t>
        </is>
      </c>
      <c r="V996" t="inlineStr">
        <is>
          <t>1995-12-18</t>
        </is>
      </c>
      <c r="W996" t="inlineStr">
        <is>
          <t>1991-01-16</t>
        </is>
      </c>
      <c r="X996" t="inlineStr">
        <is>
          <t>1991-01-16</t>
        </is>
      </c>
      <c r="Y996" t="n">
        <v>534</v>
      </c>
      <c r="Z996" t="n">
        <v>486</v>
      </c>
      <c r="AA996" t="n">
        <v>493</v>
      </c>
      <c r="AB996" t="n">
        <v>5</v>
      </c>
      <c r="AC996" t="n">
        <v>5</v>
      </c>
      <c r="AD996" t="n">
        <v>21</v>
      </c>
      <c r="AE996" t="n">
        <v>21</v>
      </c>
      <c r="AF996" t="n">
        <v>7</v>
      </c>
      <c r="AG996" t="n">
        <v>7</v>
      </c>
      <c r="AH996" t="n">
        <v>2</v>
      </c>
      <c r="AI996" t="n">
        <v>2</v>
      </c>
      <c r="AJ996" t="n">
        <v>14</v>
      </c>
      <c r="AK996" t="n">
        <v>14</v>
      </c>
      <c r="AL996" t="n">
        <v>4</v>
      </c>
      <c r="AM996" t="n">
        <v>4</v>
      </c>
      <c r="AN996" t="n">
        <v>0</v>
      </c>
      <c r="AO996" t="n">
        <v>0</v>
      </c>
      <c r="AP996" t="inlineStr">
        <is>
          <t>No</t>
        </is>
      </c>
      <c r="AQ996" t="inlineStr">
        <is>
          <t>Yes</t>
        </is>
      </c>
      <c r="AR996">
        <f>HYPERLINK("http://catalog.hathitrust.org/Record/002431140","HathiTrust Record")</f>
        <v/>
      </c>
      <c r="AS996">
        <f>HYPERLINK("https://creighton-primo.hosted.exlibrisgroup.com/primo-explore/search?tab=default_tab&amp;search_scope=EVERYTHING&amp;vid=01CRU&amp;lang=en_US&amp;offset=0&amp;query=any,contains,991001752839702656","Catalog Record")</f>
        <v/>
      </c>
      <c r="AT996">
        <f>HYPERLINK("http://www.worldcat.org/oclc/22184325","WorldCat Record")</f>
        <v/>
      </c>
      <c r="AU996" t="inlineStr">
        <is>
          <t>23666292:eng</t>
        </is>
      </c>
      <c r="AV996" t="inlineStr">
        <is>
          <t>22184325</t>
        </is>
      </c>
      <c r="AW996" t="inlineStr">
        <is>
          <t>991001752839702656</t>
        </is>
      </c>
      <c r="AX996" t="inlineStr">
        <is>
          <t>991001752839702656</t>
        </is>
      </c>
      <c r="AY996" t="inlineStr">
        <is>
          <t>2259477170002656</t>
        </is>
      </c>
      <c r="AZ996" t="inlineStr">
        <is>
          <t>BOOK</t>
        </is>
      </c>
      <c r="BB996" t="inlineStr">
        <is>
          <t>9780805776119</t>
        </is>
      </c>
      <c r="BC996" t="inlineStr">
        <is>
          <t>32285000298611</t>
        </is>
      </c>
      <c r="BD996" t="inlineStr">
        <is>
          <t>893408325</t>
        </is>
      </c>
    </row>
    <row r="997">
      <c r="A997" t="inlineStr">
        <is>
          <t>No</t>
        </is>
      </c>
      <c r="B997" t="inlineStr">
        <is>
          <t>PS3561.L626 A8 1974</t>
        </is>
      </c>
      <c r="C997" t="inlineStr">
        <is>
          <t>0                      PS 3561000L  626                A  8           1974</t>
        </is>
      </c>
      <c r="D997" t="inlineStr">
        <is>
          <t>Alvin Turner as farmer / by William Kloefkorn.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K997" t="inlineStr">
        <is>
          <t>Kloefkorn, William.</t>
        </is>
      </c>
      <c r="L997" t="inlineStr">
        <is>
          <t>Lincoln, Neb. : Windflower Press, c1974.</t>
        </is>
      </c>
      <c r="M997" t="inlineStr">
        <is>
          <t>1974</t>
        </is>
      </c>
      <c r="O997" t="inlineStr">
        <is>
          <t>eng</t>
        </is>
      </c>
      <c r="P997" t="inlineStr">
        <is>
          <t>nbu</t>
        </is>
      </c>
      <c r="R997" t="inlineStr">
        <is>
          <t xml:space="preserve">PS </t>
        </is>
      </c>
      <c r="S997" t="n">
        <v>9</v>
      </c>
      <c r="T997" t="n">
        <v>9</v>
      </c>
      <c r="U997" t="inlineStr">
        <is>
          <t>2003-04-25</t>
        </is>
      </c>
      <c r="V997" t="inlineStr">
        <is>
          <t>2003-04-25</t>
        </is>
      </c>
      <c r="W997" t="inlineStr">
        <is>
          <t>1991-01-24</t>
        </is>
      </c>
      <c r="X997" t="inlineStr">
        <is>
          <t>1991-01-24</t>
        </is>
      </c>
      <c r="Y997" t="n">
        <v>112</v>
      </c>
      <c r="Z997" t="n">
        <v>111</v>
      </c>
      <c r="AA997" t="n">
        <v>124</v>
      </c>
      <c r="AB997" t="n">
        <v>36</v>
      </c>
      <c r="AC997" t="n">
        <v>38</v>
      </c>
      <c r="AD997" t="n">
        <v>14</v>
      </c>
      <c r="AE997" t="n">
        <v>14</v>
      </c>
      <c r="AF997" t="n">
        <v>1</v>
      </c>
      <c r="AG997" t="n">
        <v>1</v>
      </c>
      <c r="AH997" t="n">
        <v>0</v>
      </c>
      <c r="AI997" t="n">
        <v>0</v>
      </c>
      <c r="AJ997" t="n">
        <v>0</v>
      </c>
      <c r="AK997" t="n">
        <v>0</v>
      </c>
      <c r="AL997" t="n">
        <v>13</v>
      </c>
      <c r="AM997" t="n">
        <v>13</v>
      </c>
      <c r="AN997" t="n">
        <v>0</v>
      </c>
      <c r="AO997" t="n">
        <v>0</v>
      </c>
      <c r="AP997" t="inlineStr">
        <is>
          <t>No</t>
        </is>
      </c>
      <c r="AQ997" t="inlineStr">
        <is>
          <t>Yes</t>
        </is>
      </c>
      <c r="AR997">
        <f>HYPERLINK("http://catalog.hathitrust.org/Record/000027168","HathiTrust Record")</f>
        <v/>
      </c>
      <c r="AS997">
        <f>HYPERLINK("https://creighton-primo.hosted.exlibrisgroup.com/primo-explore/search?tab=default_tab&amp;search_scope=EVERYTHING&amp;vid=01CRU&amp;lang=en_US&amp;offset=0&amp;query=any,contains,991004276679702656","Catalog Record")</f>
        <v/>
      </c>
      <c r="AT997">
        <f>HYPERLINK("http://www.worldcat.org/oclc/2895522","WorldCat Record")</f>
        <v/>
      </c>
      <c r="AU997" t="inlineStr">
        <is>
          <t>2050602:eng</t>
        </is>
      </c>
      <c r="AV997" t="inlineStr">
        <is>
          <t>2895522</t>
        </is>
      </c>
      <c r="AW997" t="inlineStr">
        <is>
          <t>991004276679702656</t>
        </is>
      </c>
      <c r="AX997" t="inlineStr">
        <is>
          <t>991004276679702656</t>
        </is>
      </c>
      <c r="AY997" t="inlineStr">
        <is>
          <t>2268934670002656</t>
        </is>
      </c>
      <c r="AZ997" t="inlineStr">
        <is>
          <t>BOOK</t>
        </is>
      </c>
      <c r="BC997" t="inlineStr">
        <is>
          <t>32285000460559</t>
        </is>
      </c>
      <c r="BD997" t="inlineStr">
        <is>
          <t>893599648</t>
        </is>
      </c>
    </row>
    <row r="998">
      <c r="A998" t="inlineStr">
        <is>
          <t>No</t>
        </is>
      </c>
      <c r="B998" t="inlineStr">
        <is>
          <t>PS3563.A319 Z8</t>
        </is>
      </c>
      <c r="C998" t="inlineStr">
        <is>
          <t>0                      PS 3563000A  319                Z  8</t>
        </is>
      </c>
      <c r="D998" t="inlineStr">
        <is>
          <t>Larry McMurtry / Charles D. Peavy.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K998" t="inlineStr">
        <is>
          <t>Peavy, Charles D.</t>
        </is>
      </c>
      <c r="L998" t="inlineStr">
        <is>
          <t>Boston : Twayne Publishers, c1977.</t>
        </is>
      </c>
      <c r="M998" t="inlineStr">
        <is>
          <t>1977</t>
        </is>
      </c>
      <c r="O998" t="inlineStr">
        <is>
          <t>eng</t>
        </is>
      </c>
      <c r="P998" t="inlineStr">
        <is>
          <t>mau</t>
        </is>
      </c>
      <c r="Q998" t="inlineStr">
        <is>
          <t>Twayne's United States authors series ; TUSAS 291</t>
        </is>
      </c>
      <c r="R998" t="inlineStr">
        <is>
          <t xml:space="preserve">PS </t>
        </is>
      </c>
      <c r="S998" t="n">
        <v>5</v>
      </c>
      <c r="T998" t="n">
        <v>5</v>
      </c>
      <c r="U998" t="inlineStr">
        <is>
          <t>1998-11-22</t>
        </is>
      </c>
      <c r="V998" t="inlineStr">
        <is>
          <t>1998-11-22</t>
        </is>
      </c>
      <c r="W998" t="inlineStr">
        <is>
          <t>1992-04-26</t>
        </is>
      </c>
      <c r="X998" t="inlineStr">
        <is>
          <t>1992-04-26</t>
        </is>
      </c>
      <c r="Y998" t="n">
        <v>774</v>
      </c>
      <c r="Z998" t="n">
        <v>712</v>
      </c>
      <c r="AA998" t="n">
        <v>714</v>
      </c>
      <c r="AB998" t="n">
        <v>5</v>
      </c>
      <c r="AC998" t="n">
        <v>5</v>
      </c>
      <c r="AD998" t="n">
        <v>30</v>
      </c>
      <c r="AE998" t="n">
        <v>30</v>
      </c>
      <c r="AF998" t="n">
        <v>12</v>
      </c>
      <c r="AG998" t="n">
        <v>12</v>
      </c>
      <c r="AH998" t="n">
        <v>5</v>
      </c>
      <c r="AI998" t="n">
        <v>5</v>
      </c>
      <c r="AJ998" t="n">
        <v>15</v>
      </c>
      <c r="AK998" t="n">
        <v>15</v>
      </c>
      <c r="AL998" t="n">
        <v>4</v>
      </c>
      <c r="AM998" t="n">
        <v>4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HYPERLINK("http://catalog.hathitrust.org/Record/000294670","HathiTrust Record")</f>
        <v/>
      </c>
      <c r="AS998">
        <f>HYPERLINK("https://creighton-primo.hosted.exlibrisgroup.com/primo-explore/search?tab=default_tab&amp;search_scope=EVERYTHING&amp;vid=01CRU&amp;lang=en_US&amp;offset=0&amp;query=any,contains,991004373499702656","Catalog Record")</f>
        <v/>
      </c>
      <c r="AT998">
        <f>HYPERLINK("http://www.worldcat.org/oclc/3202964","WorldCat Record")</f>
        <v/>
      </c>
      <c r="AU998" t="inlineStr">
        <is>
          <t>461617:eng</t>
        </is>
      </c>
      <c r="AV998" t="inlineStr">
        <is>
          <t>3202964</t>
        </is>
      </c>
      <c r="AW998" t="inlineStr">
        <is>
          <t>991004373499702656</t>
        </is>
      </c>
      <c r="AX998" t="inlineStr">
        <is>
          <t>991004373499702656</t>
        </is>
      </c>
      <c r="AY998" t="inlineStr">
        <is>
          <t>2270513820002656</t>
        </is>
      </c>
      <c r="AZ998" t="inlineStr">
        <is>
          <t>BOOK</t>
        </is>
      </c>
      <c r="BB998" t="inlineStr">
        <is>
          <t>9780805771947</t>
        </is>
      </c>
      <c r="BC998" t="inlineStr">
        <is>
          <t>32285001087450</t>
        </is>
      </c>
      <c r="BD998" t="inlineStr">
        <is>
          <t>893349938</t>
        </is>
      </c>
    </row>
    <row r="999">
      <c r="A999" t="inlineStr">
        <is>
          <t>No</t>
        </is>
      </c>
      <c r="B999" t="inlineStr">
        <is>
          <t>PS3563.A4 Z65</t>
        </is>
      </c>
      <c r="C999" t="inlineStr">
        <is>
          <t>0                      PS 3563000A  4                  Z  65</t>
        </is>
      </c>
      <c r="D999" t="inlineStr">
        <is>
          <t>Bernard Malamud and the critics / edited with an introd. by Leslie A. Field and Joyce W. Field.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K999" t="inlineStr">
        <is>
          <t>Field, Leslie A. compiler.</t>
        </is>
      </c>
      <c r="L999" t="inlineStr">
        <is>
          <t>New York : New York University Press, 1970.</t>
        </is>
      </c>
      <c r="M999" t="inlineStr">
        <is>
          <t>1970</t>
        </is>
      </c>
      <c r="O999" t="inlineStr">
        <is>
          <t>eng</t>
        </is>
      </c>
      <c r="P999" t="inlineStr">
        <is>
          <t>nyu</t>
        </is>
      </c>
      <c r="R999" t="inlineStr">
        <is>
          <t xml:space="preserve">PS </t>
        </is>
      </c>
      <c r="S999" t="n">
        <v>5</v>
      </c>
      <c r="T999" t="n">
        <v>5</v>
      </c>
      <c r="U999" t="inlineStr">
        <is>
          <t>2001-04-06</t>
        </is>
      </c>
      <c r="V999" t="inlineStr">
        <is>
          <t>2001-04-06</t>
        </is>
      </c>
      <c r="W999" t="inlineStr">
        <is>
          <t>1993-04-20</t>
        </is>
      </c>
      <c r="X999" t="inlineStr">
        <is>
          <t>1993-04-20</t>
        </is>
      </c>
      <c r="Y999" t="n">
        <v>1239</v>
      </c>
      <c r="Z999" t="n">
        <v>1096</v>
      </c>
      <c r="AA999" t="n">
        <v>1102</v>
      </c>
      <c r="AB999" t="n">
        <v>8</v>
      </c>
      <c r="AC999" t="n">
        <v>8</v>
      </c>
      <c r="AD999" t="n">
        <v>44</v>
      </c>
      <c r="AE999" t="n">
        <v>44</v>
      </c>
      <c r="AF999" t="n">
        <v>19</v>
      </c>
      <c r="AG999" t="n">
        <v>19</v>
      </c>
      <c r="AH999" t="n">
        <v>9</v>
      </c>
      <c r="AI999" t="n">
        <v>9</v>
      </c>
      <c r="AJ999" t="n">
        <v>20</v>
      </c>
      <c r="AK999" t="n">
        <v>20</v>
      </c>
      <c r="AL999" t="n">
        <v>7</v>
      </c>
      <c r="AM999" t="n">
        <v>7</v>
      </c>
      <c r="AN999" t="n">
        <v>0</v>
      </c>
      <c r="AO999" t="n">
        <v>0</v>
      </c>
      <c r="AP999" t="inlineStr">
        <is>
          <t>No</t>
        </is>
      </c>
      <c r="AQ999" t="inlineStr">
        <is>
          <t>No</t>
        </is>
      </c>
      <c r="AS999">
        <f>HYPERLINK("https://creighton-primo.hosted.exlibrisgroup.com/primo-explore/search?tab=default_tab&amp;search_scope=EVERYTHING&amp;vid=01CRU&amp;lang=en_US&amp;offset=0&amp;query=any,contains,991000675539702656","Catalog Record")</f>
        <v/>
      </c>
      <c r="AT999">
        <f>HYPERLINK("http://www.worldcat.org/oclc/120179","WorldCat Record")</f>
        <v/>
      </c>
      <c r="AU999" t="inlineStr">
        <is>
          <t>351036186:eng</t>
        </is>
      </c>
      <c r="AV999" t="inlineStr">
        <is>
          <t>120179</t>
        </is>
      </c>
      <c r="AW999" t="inlineStr">
        <is>
          <t>991000675539702656</t>
        </is>
      </c>
      <c r="AX999" t="inlineStr">
        <is>
          <t>991000675539702656</t>
        </is>
      </c>
      <c r="AY999" t="inlineStr">
        <is>
          <t>2264188320002656</t>
        </is>
      </c>
      <c r="AZ999" t="inlineStr">
        <is>
          <t>BOOK</t>
        </is>
      </c>
      <c r="BB999" t="inlineStr">
        <is>
          <t>9780814725528</t>
        </is>
      </c>
      <c r="BC999" t="inlineStr">
        <is>
          <t>32285001621910</t>
        </is>
      </c>
      <c r="BD999" t="inlineStr">
        <is>
          <t>893878260</t>
        </is>
      </c>
    </row>
    <row r="1000">
      <c r="A1000" t="inlineStr">
        <is>
          <t>No</t>
        </is>
      </c>
      <c r="B1000" t="inlineStr">
        <is>
          <t>PS3563.A4 Z87</t>
        </is>
      </c>
      <c r="C1000" t="inlineStr">
        <is>
          <t>0                      PS 3563000A  4                  Z  87</t>
        </is>
      </c>
      <c r="D1000" t="inlineStr">
        <is>
          <t>Bernard Malamud.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K1000" t="inlineStr">
        <is>
          <t>Richman, Sidney.</t>
        </is>
      </c>
      <c r="L1000" t="inlineStr">
        <is>
          <t>New York : Twayne Publishers, [c1966]</t>
        </is>
      </c>
      <c r="M1000" t="inlineStr">
        <is>
          <t>1966</t>
        </is>
      </c>
      <c r="O1000" t="inlineStr">
        <is>
          <t>eng</t>
        </is>
      </c>
      <c r="P1000" t="inlineStr">
        <is>
          <t>nyu</t>
        </is>
      </c>
      <c r="Q1000" t="inlineStr">
        <is>
          <t>Twayne's United States authors series, 109</t>
        </is>
      </c>
      <c r="R1000" t="inlineStr">
        <is>
          <t xml:space="preserve">PS </t>
        </is>
      </c>
      <c r="S1000" t="n">
        <v>5</v>
      </c>
      <c r="T1000" t="n">
        <v>5</v>
      </c>
      <c r="U1000" t="inlineStr">
        <is>
          <t>2001-04-06</t>
        </is>
      </c>
      <c r="V1000" t="inlineStr">
        <is>
          <t>2001-04-06</t>
        </is>
      </c>
      <c r="W1000" t="inlineStr">
        <is>
          <t>1991-09-18</t>
        </is>
      </c>
      <c r="X1000" t="inlineStr">
        <is>
          <t>1991-09-18</t>
        </is>
      </c>
      <c r="Y1000" t="n">
        <v>1231</v>
      </c>
      <c r="Z1000" t="n">
        <v>1166</v>
      </c>
      <c r="AA1000" t="n">
        <v>1561</v>
      </c>
      <c r="AB1000" t="n">
        <v>9</v>
      </c>
      <c r="AC1000" t="n">
        <v>12</v>
      </c>
      <c r="AD1000" t="n">
        <v>35</v>
      </c>
      <c r="AE1000" t="n">
        <v>47</v>
      </c>
      <c r="AF1000" t="n">
        <v>18</v>
      </c>
      <c r="AG1000" t="n">
        <v>20</v>
      </c>
      <c r="AH1000" t="n">
        <v>5</v>
      </c>
      <c r="AI1000" t="n">
        <v>8</v>
      </c>
      <c r="AJ1000" t="n">
        <v>15</v>
      </c>
      <c r="AK1000" t="n">
        <v>21</v>
      </c>
      <c r="AL1000" t="n">
        <v>6</v>
      </c>
      <c r="AM1000" t="n">
        <v>9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HYPERLINK("http://catalog.hathitrust.org/Record/000539274","HathiTrust Record")</f>
        <v/>
      </c>
      <c r="AS1000">
        <f>HYPERLINK("https://creighton-primo.hosted.exlibrisgroup.com/primo-explore/search?tab=default_tab&amp;search_scope=EVERYTHING&amp;vid=01CRU&amp;lang=en_US&amp;offset=0&amp;query=any,contains,991002226759702656","Catalog Record")</f>
        <v/>
      </c>
      <c r="AT1000">
        <f>HYPERLINK("http://www.worldcat.org/oclc/291914","WorldCat Record")</f>
        <v/>
      </c>
      <c r="AU1000" t="inlineStr">
        <is>
          <t>461344:eng</t>
        </is>
      </c>
      <c r="AV1000" t="inlineStr">
        <is>
          <t>291914</t>
        </is>
      </c>
      <c r="AW1000" t="inlineStr">
        <is>
          <t>991002226759702656</t>
        </is>
      </c>
      <c r="AX1000" t="inlineStr">
        <is>
          <t>991002226759702656</t>
        </is>
      </c>
      <c r="AY1000" t="inlineStr">
        <is>
          <t>2268128640002656</t>
        </is>
      </c>
      <c r="AZ1000" t="inlineStr">
        <is>
          <t>BOOK</t>
        </is>
      </c>
      <c r="BC1000" t="inlineStr">
        <is>
          <t>32285000756824</t>
        </is>
      </c>
      <c r="BD1000" t="inlineStr">
        <is>
          <t>893427362</t>
        </is>
      </c>
    </row>
    <row r="1001">
      <c r="A1001" t="inlineStr">
        <is>
          <t>No</t>
        </is>
      </c>
      <c r="B1001" t="inlineStr">
        <is>
          <t>PS3563.A4345 Z79 1999</t>
        </is>
      </c>
      <c r="C1001" t="inlineStr">
        <is>
          <t>0                      PS 3563000A  4345               Z  79          1999</t>
        </is>
      </c>
      <c r="D1001" t="inlineStr">
        <is>
          <t>Weasels and wisemen : ethics and ethnicity in the work of David Mamet / Leslie Kane.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K1001" t="inlineStr">
        <is>
          <t>Kane, Leslie, 1945-</t>
        </is>
      </c>
      <c r="L1001" t="inlineStr">
        <is>
          <t>New York : St. Martin's Press, 1999.</t>
        </is>
      </c>
      <c r="M1001" t="inlineStr">
        <is>
          <t>1999</t>
        </is>
      </c>
      <c r="N1001" t="inlineStr">
        <is>
          <t>1st ed.</t>
        </is>
      </c>
      <c r="O1001" t="inlineStr">
        <is>
          <t>eng</t>
        </is>
      </c>
      <c r="P1001" t="inlineStr">
        <is>
          <t>nyu</t>
        </is>
      </c>
      <c r="R1001" t="inlineStr">
        <is>
          <t xml:space="preserve">PS </t>
        </is>
      </c>
      <c r="S1001" t="n">
        <v>2</v>
      </c>
      <c r="T1001" t="n">
        <v>2</v>
      </c>
      <c r="U1001" t="inlineStr">
        <is>
          <t>2000-11-16</t>
        </is>
      </c>
      <c r="V1001" t="inlineStr">
        <is>
          <t>2000-11-16</t>
        </is>
      </c>
      <c r="W1001" t="inlineStr">
        <is>
          <t>2000-11-16</t>
        </is>
      </c>
      <c r="X1001" t="inlineStr">
        <is>
          <t>2000-11-16</t>
        </is>
      </c>
      <c r="Y1001" t="n">
        <v>476</v>
      </c>
      <c r="Z1001" t="n">
        <v>428</v>
      </c>
      <c r="AA1001" t="n">
        <v>471</v>
      </c>
      <c r="AB1001" t="n">
        <v>4</v>
      </c>
      <c r="AC1001" t="n">
        <v>4</v>
      </c>
      <c r="AD1001" t="n">
        <v>22</v>
      </c>
      <c r="AE1001" t="n">
        <v>27</v>
      </c>
      <c r="AF1001" t="n">
        <v>7</v>
      </c>
      <c r="AG1001" t="n">
        <v>11</v>
      </c>
      <c r="AH1001" t="n">
        <v>4</v>
      </c>
      <c r="AI1001" t="n">
        <v>5</v>
      </c>
      <c r="AJ1001" t="n">
        <v>13</v>
      </c>
      <c r="AK1001" t="n">
        <v>13</v>
      </c>
      <c r="AL1001" t="n">
        <v>3</v>
      </c>
      <c r="AM1001" t="n">
        <v>3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No</t>
        </is>
      </c>
      <c r="AS1001">
        <f>HYPERLINK("https://creighton-primo.hosted.exlibrisgroup.com/primo-explore/search?tab=default_tab&amp;search_scope=EVERYTHING&amp;vid=01CRU&amp;lang=en_US&amp;offset=0&amp;query=any,contains,991003304199702656","Catalog Record")</f>
        <v/>
      </c>
      <c r="AT1001">
        <f>HYPERLINK("http://www.worldcat.org/oclc/39162277","WorldCat Record")</f>
        <v/>
      </c>
      <c r="AU1001" t="inlineStr">
        <is>
          <t>28120221:eng</t>
        </is>
      </c>
      <c r="AV1001" t="inlineStr">
        <is>
          <t>39162277</t>
        </is>
      </c>
      <c r="AW1001" t="inlineStr">
        <is>
          <t>991003304199702656</t>
        </is>
      </c>
      <c r="AX1001" t="inlineStr">
        <is>
          <t>991003304199702656</t>
        </is>
      </c>
      <c r="AY1001" t="inlineStr">
        <is>
          <t>2269416290002656</t>
        </is>
      </c>
      <c r="AZ1001" t="inlineStr">
        <is>
          <t>BOOK</t>
        </is>
      </c>
      <c r="BB1001" t="inlineStr">
        <is>
          <t>9780312160869</t>
        </is>
      </c>
      <c r="BC1001" t="inlineStr">
        <is>
          <t>32285004266663</t>
        </is>
      </c>
      <c r="BD1001" t="inlineStr">
        <is>
          <t>893352773</t>
        </is>
      </c>
    </row>
    <row r="1002">
      <c r="A1002" t="inlineStr">
        <is>
          <t>No</t>
        </is>
      </c>
      <c r="B1002" t="inlineStr">
        <is>
          <t>PS3563.E75 Z64</t>
        </is>
      </c>
      <c r="C1002" t="inlineStr">
        <is>
          <t>0                      PS 3563000E  75                 Z  64</t>
        </is>
      </c>
      <c r="D1002" t="inlineStr">
        <is>
          <t>W. S. Merwin / by Cheri Davis.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No</t>
        </is>
      </c>
      <c r="J1002" t="inlineStr">
        <is>
          <t>0</t>
        </is>
      </c>
      <c r="K1002" t="inlineStr">
        <is>
          <t>Davis, Cheri, 1944-</t>
        </is>
      </c>
      <c r="L1002" t="inlineStr">
        <is>
          <t>Boston : Twayne, 1981.</t>
        </is>
      </c>
      <c r="M1002" t="inlineStr">
        <is>
          <t>1981</t>
        </is>
      </c>
      <c r="O1002" t="inlineStr">
        <is>
          <t>eng</t>
        </is>
      </c>
      <c r="P1002" t="inlineStr">
        <is>
          <t>mau</t>
        </is>
      </c>
      <c r="Q1002" t="inlineStr">
        <is>
          <t>Twayne's United States authors series ; TUSAS 360</t>
        </is>
      </c>
      <c r="R1002" t="inlineStr">
        <is>
          <t xml:space="preserve">PS </t>
        </is>
      </c>
      <c r="S1002" t="n">
        <v>1</v>
      </c>
      <c r="T1002" t="n">
        <v>1</v>
      </c>
      <c r="U1002" t="inlineStr">
        <is>
          <t>1995-09-12</t>
        </is>
      </c>
      <c r="V1002" t="inlineStr">
        <is>
          <t>1995-09-12</t>
        </is>
      </c>
      <c r="W1002" t="inlineStr">
        <is>
          <t>1991-01-04</t>
        </is>
      </c>
      <c r="X1002" t="inlineStr">
        <is>
          <t>1991-01-04</t>
        </is>
      </c>
      <c r="Y1002" t="n">
        <v>649</v>
      </c>
      <c r="Z1002" t="n">
        <v>579</v>
      </c>
      <c r="AA1002" t="n">
        <v>581</v>
      </c>
      <c r="AB1002" t="n">
        <v>4</v>
      </c>
      <c r="AC1002" t="n">
        <v>4</v>
      </c>
      <c r="AD1002" t="n">
        <v>26</v>
      </c>
      <c r="AE1002" t="n">
        <v>26</v>
      </c>
      <c r="AF1002" t="n">
        <v>11</v>
      </c>
      <c r="AG1002" t="n">
        <v>11</v>
      </c>
      <c r="AH1002" t="n">
        <v>3</v>
      </c>
      <c r="AI1002" t="n">
        <v>3</v>
      </c>
      <c r="AJ1002" t="n">
        <v>16</v>
      </c>
      <c r="AK1002" t="n">
        <v>16</v>
      </c>
      <c r="AL1002" t="n">
        <v>3</v>
      </c>
      <c r="AM1002" t="n">
        <v>3</v>
      </c>
      <c r="AN1002" t="n">
        <v>0</v>
      </c>
      <c r="AO1002" t="n">
        <v>0</v>
      </c>
      <c r="AP1002" t="inlineStr">
        <is>
          <t>No</t>
        </is>
      </c>
      <c r="AQ1002" t="inlineStr">
        <is>
          <t>Yes</t>
        </is>
      </c>
      <c r="AR1002">
        <f>HYPERLINK("http://catalog.hathitrust.org/Record/000727384","HathiTrust Record")</f>
        <v/>
      </c>
      <c r="AS1002">
        <f>HYPERLINK("https://creighton-primo.hosted.exlibrisgroup.com/primo-explore/search?tab=default_tab&amp;search_scope=EVERYTHING&amp;vid=01CRU&amp;lang=en_US&amp;offset=0&amp;query=any,contains,991005060289702656","Catalog Record")</f>
        <v/>
      </c>
      <c r="AT1002">
        <f>HYPERLINK("http://www.worldcat.org/oclc/6916814","WorldCat Record")</f>
        <v/>
      </c>
      <c r="AU1002" t="inlineStr">
        <is>
          <t>24748023:eng</t>
        </is>
      </c>
      <c r="AV1002" t="inlineStr">
        <is>
          <t>6916814</t>
        </is>
      </c>
      <c r="AW1002" t="inlineStr">
        <is>
          <t>991005060289702656</t>
        </is>
      </c>
      <c r="AX1002" t="inlineStr">
        <is>
          <t>991005060289702656</t>
        </is>
      </c>
      <c r="AY1002" t="inlineStr">
        <is>
          <t>2266349140002656</t>
        </is>
      </c>
      <c r="AZ1002" t="inlineStr">
        <is>
          <t>BOOK</t>
        </is>
      </c>
      <c r="BB1002" t="inlineStr">
        <is>
          <t>9780805773019</t>
        </is>
      </c>
      <c r="BC1002" t="inlineStr">
        <is>
          <t>32285000453778</t>
        </is>
      </c>
      <c r="BD1002" t="inlineStr">
        <is>
          <t>893776761</t>
        </is>
      </c>
    </row>
    <row r="1003">
      <c r="A1003" t="inlineStr">
        <is>
          <t>No</t>
        </is>
      </c>
      <c r="B1003" t="inlineStr">
        <is>
          <t>PS3566.L27 Z895 2004</t>
        </is>
      </c>
      <c r="C1003" t="inlineStr">
        <is>
          <t>0                      PS 3566000L  27                 Z  895         2004</t>
        </is>
      </c>
      <c r="D1003" t="inlineStr">
        <is>
          <t>Sylvia Plath / Peter K. Steinberg ; foreword by Linda Wagner-Martin.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Steinberg, Peter K., 1974-</t>
        </is>
      </c>
      <c r="L1003" t="inlineStr">
        <is>
          <t>Philadelphia : Chelsea House Publishers, c2004.</t>
        </is>
      </c>
      <c r="M1003" t="inlineStr">
        <is>
          <t>2004</t>
        </is>
      </c>
      <c r="O1003" t="inlineStr">
        <is>
          <t>eng</t>
        </is>
      </c>
      <c r="P1003" t="inlineStr">
        <is>
          <t>pau</t>
        </is>
      </c>
      <c r="Q1003" t="inlineStr">
        <is>
          <t>Great writers</t>
        </is>
      </c>
      <c r="R1003" t="inlineStr">
        <is>
          <t xml:space="preserve">PS </t>
        </is>
      </c>
      <c r="S1003" t="n">
        <v>1</v>
      </c>
      <c r="T1003" t="n">
        <v>1</v>
      </c>
      <c r="U1003" t="inlineStr">
        <is>
          <t>2004-09-30</t>
        </is>
      </c>
      <c r="V1003" t="inlineStr">
        <is>
          <t>2004-09-30</t>
        </is>
      </c>
      <c r="W1003" t="inlineStr">
        <is>
          <t>2004-09-30</t>
        </is>
      </c>
      <c r="X1003" t="inlineStr">
        <is>
          <t>2004-09-30</t>
        </is>
      </c>
      <c r="Y1003" t="n">
        <v>283</v>
      </c>
      <c r="Z1003" t="n">
        <v>260</v>
      </c>
      <c r="AA1003" t="n">
        <v>277</v>
      </c>
      <c r="AB1003" t="n">
        <v>1</v>
      </c>
      <c r="AC1003" t="n">
        <v>1</v>
      </c>
      <c r="AD1003" t="n">
        <v>4</v>
      </c>
      <c r="AE1003" t="n">
        <v>4</v>
      </c>
      <c r="AF1003" t="n">
        <v>3</v>
      </c>
      <c r="AG1003" t="n">
        <v>3</v>
      </c>
      <c r="AH1003" t="n">
        <v>0</v>
      </c>
      <c r="AI1003" t="n">
        <v>0</v>
      </c>
      <c r="AJ1003" t="n">
        <v>3</v>
      </c>
      <c r="AK1003" t="n">
        <v>3</v>
      </c>
      <c r="AL1003" t="n">
        <v>0</v>
      </c>
      <c r="AM1003" t="n">
        <v>0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No</t>
        </is>
      </c>
      <c r="AS1003">
        <f>HYPERLINK("https://creighton-primo.hosted.exlibrisgroup.com/primo-explore/search?tab=default_tab&amp;search_scope=EVERYTHING&amp;vid=01CRU&amp;lang=en_US&amp;offset=0&amp;query=any,contains,991004331349702656","Catalog Record")</f>
        <v/>
      </c>
      <c r="AT1003">
        <f>HYPERLINK("http://www.worldcat.org/oclc/54280002","WorldCat Record")</f>
        <v/>
      </c>
      <c r="AU1003" t="inlineStr">
        <is>
          <t>776017:eng</t>
        </is>
      </c>
      <c r="AV1003" t="inlineStr">
        <is>
          <t>54280002</t>
        </is>
      </c>
      <c r="AW1003" t="inlineStr">
        <is>
          <t>991004331349702656</t>
        </is>
      </c>
      <c r="AX1003" t="inlineStr">
        <is>
          <t>991004331349702656</t>
        </is>
      </c>
      <c r="AY1003" t="inlineStr">
        <is>
          <t>2270926740002656</t>
        </is>
      </c>
      <c r="AZ1003" t="inlineStr">
        <is>
          <t>BOOK</t>
        </is>
      </c>
      <c r="BB1003" t="inlineStr">
        <is>
          <t>9780791078433</t>
        </is>
      </c>
      <c r="BC1003" t="inlineStr">
        <is>
          <t>32285005000210</t>
        </is>
      </c>
      <c r="BD1003" t="inlineStr">
        <is>
          <t>893319079</t>
        </is>
      </c>
    </row>
    <row r="1004">
      <c r="A1004" t="inlineStr">
        <is>
          <t>No</t>
        </is>
      </c>
      <c r="B1004" t="inlineStr">
        <is>
          <t>PS3566.O533 S83 2001</t>
        </is>
      </c>
      <c r="C1004" t="inlineStr">
        <is>
          <t>0                      PS 3566000O  533                S  83          2001</t>
        </is>
      </c>
      <c r="D1004" t="inlineStr">
        <is>
          <t>Subject to debate : sense and dissents on women, politics, and culture / Katha Pollitt.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Pollitt, Katha.</t>
        </is>
      </c>
      <c r="L1004" t="inlineStr">
        <is>
          <t>New York : Modern Library, c2001.</t>
        </is>
      </c>
      <c r="M1004" t="inlineStr">
        <is>
          <t>2001</t>
        </is>
      </c>
      <c r="O1004" t="inlineStr">
        <is>
          <t>eng</t>
        </is>
      </c>
      <c r="P1004" t="inlineStr">
        <is>
          <t>nyu</t>
        </is>
      </c>
      <c r="R1004" t="inlineStr">
        <is>
          <t xml:space="preserve">PS </t>
        </is>
      </c>
      <c r="S1004" t="n">
        <v>3</v>
      </c>
      <c r="T1004" t="n">
        <v>3</v>
      </c>
      <c r="U1004" t="inlineStr">
        <is>
          <t>2001-05-16</t>
        </is>
      </c>
      <c r="V1004" t="inlineStr">
        <is>
          <t>2001-05-16</t>
        </is>
      </c>
      <c r="W1004" t="inlineStr">
        <is>
          <t>2001-03-27</t>
        </is>
      </c>
      <c r="X1004" t="inlineStr">
        <is>
          <t>2001-03-27</t>
        </is>
      </c>
      <c r="Y1004" t="n">
        <v>649</v>
      </c>
      <c r="Z1004" t="n">
        <v>618</v>
      </c>
      <c r="AA1004" t="n">
        <v>652</v>
      </c>
      <c r="AB1004" t="n">
        <v>2</v>
      </c>
      <c r="AC1004" t="n">
        <v>2</v>
      </c>
      <c r="AD1004" t="n">
        <v>22</v>
      </c>
      <c r="AE1004" t="n">
        <v>22</v>
      </c>
      <c r="AF1004" t="n">
        <v>10</v>
      </c>
      <c r="AG1004" t="n">
        <v>10</v>
      </c>
      <c r="AH1004" t="n">
        <v>6</v>
      </c>
      <c r="AI1004" t="n">
        <v>6</v>
      </c>
      <c r="AJ1004" t="n">
        <v>13</v>
      </c>
      <c r="AK1004" t="n">
        <v>13</v>
      </c>
      <c r="AL1004" t="n">
        <v>1</v>
      </c>
      <c r="AM1004" t="n">
        <v>1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HYPERLINK("http://catalog.hathitrust.org/Record/004156418","HathiTrust Record")</f>
        <v/>
      </c>
      <c r="AS1004">
        <f>HYPERLINK("https://creighton-primo.hosted.exlibrisgroup.com/primo-explore/search?tab=default_tab&amp;search_scope=EVERYTHING&amp;vid=01CRU&amp;lang=en_US&amp;offset=0&amp;query=any,contains,991003506349702656","Catalog Record")</f>
        <v/>
      </c>
      <c r="AT1004">
        <f>HYPERLINK("http://www.worldcat.org/oclc/44632942","WorldCat Record")</f>
        <v/>
      </c>
      <c r="AU1004" t="inlineStr">
        <is>
          <t>1043851185:eng</t>
        </is>
      </c>
      <c r="AV1004" t="inlineStr">
        <is>
          <t>44632942</t>
        </is>
      </c>
      <c r="AW1004" t="inlineStr">
        <is>
          <t>991003506349702656</t>
        </is>
      </c>
      <c r="AX1004" t="inlineStr">
        <is>
          <t>991003506349702656</t>
        </is>
      </c>
      <c r="AY1004" t="inlineStr">
        <is>
          <t>2255128660002656</t>
        </is>
      </c>
      <c r="AZ1004" t="inlineStr">
        <is>
          <t>BOOK</t>
        </is>
      </c>
      <c r="BB1004" t="inlineStr">
        <is>
          <t>9780679783435</t>
        </is>
      </c>
      <c r="BC1004" t="inlineStr">
        <is>
          <t>32285004307616</t>
        </is>
      </c>
      <c r="BD1004" t="inlineStr">
        <is>
          <t>893617403</t>
        </is>
      </c>
    </row>
    <row r="1005">
      <c r="A1005" t="inlineStr">
        <is>
          <t>No</t>
        </is>
      </c>
      <c r="B1005" t="inlineStr">
        <is>
          <t>PS3566.U9 G64 1969</t>
        </is>
      </c>
      <c r="C1005" t="inlineStr">
        <is>
          <t>0                      PS 3566000U  9                  G  64          1969</t>
        </is>
      </c>
      <c r="D1005" t="inlineStr">
        <is>
          <t>Der pate : roman / Mario Puzo ; Aus dem Amerikanischen ubertragen von Gisela Stege.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Puzo, Mario, 1920-1999.</t>
        </is>
      </c>
      <c r="L1005" t="inlineStr">
        <is>
          <t>Wien : Verlag F. Molden, c1969</t>
        </is>
      </c>
      <c r="M1005" t="inlineStr">
        <is>
          <t>1969</t>
        </is>
      </c>
      <c r="O1005" t="inlineStr">
        <is>
          <t>ger</t>
        </is>
      </c>
      <c r="P1005" t="inlineStr">
        <is>
          <t xml:space="preserve">au </t>
        </is>
      </c>
      <c r="R1005" t="inlineStr">
        <is>
          <t xml:space="preserve">PS </t>
        </is>
      </c>
      <c r="S1005" t="n">
        <v>1</v>
      </c>
      <c r="T1005" t="n">
        <v>1</v>
      </c>
      <c r="U1005" t="inlineStr">
        <is>
          <t>1993-11-16</t>
        </is>
      </c>
      <c r="V1005" t="inlineStr">
        <is>
          <t>1993-11-16</t>
        </is>
      </c>
      <c r="W1005" t="inlineStr">
        <is>
          <t>1994-01-06</t>
        </is>
      </c>
      <c r="X1005" t="inlineStr">
        <is>
          <t>1994-01-06</t>
        </is>
      </c>
      <c r="Y1005" t="n">
        <v>18</v>
      </c>
      <c r="Z1005" t="n">
        <v>12</v>
      </c>
      <c r="AA1005" t="n">
        <v>37</v>
      </c>
      <c r="AB1005" t="n">
        <v>1</v>
      </c>
      <c r="AC1005" t="n">
        <v>1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I1005" t="n">
        <v>0</v>
      </c>
      <c r="AJ1005" t="n">
        <v>0</v>
      </c>
      <c r="AK1005" t="n">
        <v>0</v>
      </c>
      <c r="AL1005" t="n">
        <v>0</v>
      </c>
      <c r="AM1005" t="n">
        <v>0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No</t>
        </is>
      </c>
      <c r="AS1005">
        <f>HYPERLINK("https://creighton-primo.hosted.exlibrisgroup.com/primo-explore/search?tab=default_tab&amp;search_scope=EVERYTHING&amp;vid=01CRU&amp;lang=en_US&amp;offset=0&amp;query=any,contains,991003916489702656","Catalog Record")</f>
        <v/>
      </c>
      <c r="AT1005">
        <f>HYPERLINK("http://www.worldcat.org/oclc/1861042","WorldCat Record")</f>
        <v/>
      </c>
      <c r="AU1005" t="inlineStr">
        <is>
          <t>52746946:ger</t>
        </is>
      </c>
      <c r="AV1005" t="inlineStr">
        <is>
          <t>1861042</t>
        </is>
      </c>
      <c r="AW1005" t="inlineStr">
        <is>
          <t>991003916489702656</t>
        </is>
      </c>
      <c r="AX1005" t="inlineStr">
        <is>
          <t>991003916489702656</t>
        </is>
      </c>
      <c r="AY1005" t="inlineStr">
        <is>
          <t>2260062270002656</t>
        </is>
      </c>
      <c r="AZ1005" t="inlineStr">
        <is>
          <t>BOOK</t>
        </is>
      </c>
      <c r="BC1005" t="inlineStr">
        <is>
          <t>32285001777415</t>
        </is>
      </c>
      <c r="BD1005" t="inlineStr">
        <is>
          <t>893788063</t>
        </is>
      </c>
    </row>
    <row r="1006">
      <c r="A1006" t="inlineStr">
        <is>
          <t>No</t>
        </is>
      </c>
      <c r="B1006" t="inlineStr">
        <is>
          <t>PS3568.E365 Z63 1999</t>
        </is>
      </c>
      <c r="C1006" t="inlineStr">
        <is>
          <t>0                      PS 3568000E  365                Z  63          1999</t>
        </is>
      </c>
      <c r="D1006" t="inlineStr">
        <is>
          <t>The critical response to Ishmael Reed / edited by Bruce Allen Dick with the assistance of Pavel Zemliansky.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L1006" t="inlineStr">
        <is>
          <t>Westport, Conn. : Greenwood Press, 1999.</t>
        </is>
      </c>
      <c r="M1006" t="inlineStr">
        <is>
          <t>1999</t>
        </is>
      </c>
      <c r="O1006" t="inlineStr">
        <is>
          <t>eng</t>
        </is>
      </c>
      <c r="P1006" t="inlineStr">
        <is>
          <t>ctu</t>
        </is>
      </c>
      <c r="Q1006" t="inlineStr">
        <is>
          <t>Critical responses in arts and letters, 1057-0993 ; no. 31</t>
        </is>
      </c>
      <c r="R1006" t="inlineStr">
        <is>
          <t xml:space="preserve">PS </t>
        </is>
      </c>
      <c r="S1006" t="n">
        <v>3</v>
      </c>
      <c r="T1006" t="n">
        <v>3</v>
      </c>
      <c r="U1006" t="inlineStr">
        <is>
          <t>2003-04-24</t>
        </is>
      </c>
      <c r="V1006" t="inlineStr">
        <is>
          <t>2003-04-24</t>
        </is>
      </c>
      <c r="W1006" t="inlineStr">
        <is>
          <t>2001-05-17</t>
        </is>
      </c>
      <c r="X1006" t="inlineStr">
        <is>
          <t>2001-05-17</t>
        </is>
      </c>
      <c r="Y1006" t="n">
        <v>420</v>
      </c>
      <c r="Z1006" t="n">
        <v>376</v>
      </c>
      <c r="AA1006" t="n">
        <v>378</v>
      </c>
      <c r="AB1006" t="n">
        <v>4</v>
      </c>
      <c r="AC1006" t="n">
        <v>4</v>
      </c>
      <c r="AD1006" t="n">
        <v>23</v>
      </c>
      <c r="AE1006" t="n">
        <v>23</v>
      </c>
      <c r="AF1006" t="n">
        <v>7</v>
      </c>
      <c r="AG1006" t="n">
        <v>7</v>
      </c>
      <c r="AH1006" t="n">
        <v>5</v>
      </c>
      <c r="AI1006" t="n">
        <v>5</v>
      </c>
      <c r="AJ1006" t="n">
        <v>16</v>
      </c>
      <c r="AK1006" t="n">
        <v>16</v>
      </c>
      <c r="AL1006" t="n">
        <v>3</v>
      </c>
      <c r="AM1006" t="n">
        <v>3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Yes</t>
        </is>
      </c>
      <c r="AR1006">
        <f>HYPERLINK("http://catalog.hathitrust.org/Record/004053023","HathiTrust Record")</f>
        <v/>
      </c>
      <c r="AS1006">
        <f>HYPERLINK("https://creighton-primo.hosted.exlibrisgroup.com/primo-explore/search?tab=default_tab&amp;search_scope=EVERYTHING&amp;vid=01CRU&amp;lang=en_US&amp;offset=0&amp;query=any,contains,991003505419702656","Catalog Record")</f>
        <v/>
      </c>
      <c r="AT1006">
        <f>HYPERLINK("http://www.worldcat.org/oclc/39713277","WorldCat Record")</f>
        <v/>
      </c>
      <c r="AU1006" t="inlineStr">
        <is>
          <t>365459363:eng</t>
        </is>
      </c>
      <c r="AV1006" t="inlineStr">
        <is>
          <t>39713277</t>
        </is>
      </c>
      <c r="AW1006" t="inlineStr">
        <is>
          <t>991003505419702656</t>
        </is>
      </c>
      <c r="AX1006" t="inlineStr">
        <is>
          <t>991003505419702656</t>
        </is>
      </c>
      <c r="AY1006" t="inlineStr">
        <is>
          <t>2258056310002656</t>
        </is>
      </c>
      <c r="AZ1006" t="inlineStr">
        <is>
          <t>BOOK</t>
        </is>
      </c>
      <c r="BB1006" t="inlineStr">
        <is>
          <t>9780313300257</t>
        </is>
      </c>
      <c r="BC1006" t="inlineStr">
        <is>
          <t>32285004317979</t>
        </is>
      </c>
      <c r="BD1006" t="inlineStr">
        <is>
          <t>893518540</t>
        </is>
      </c>
    </row>
    <row r="1007">
      <c r="A1007" t="inlineStr">
        <is>
          <t>No</t>
        </is>
      </c>
      <c r="B1007" t="inlineStr">
        <is>
          <t>PS3568.I265 Z54 1997</t>
        </is>
      </c>
      <c r="C1007" t="inlineStr">
        <is>
          <t>0                      PS 3568000I  265                Z  54          1997</t>
        </is>
      </c>
      <c r="D1007" t="inlineStr">
        <is>
          <t>The Anne Rice reader / edited by Katherine Ramsland.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L1007" t="inlineStr">
        <is>
          <t>New York : Ballantine Books, 1997.</t>
        </is>
      </c>
      <c r="M1007" t="inlineStr">
        <is>
          <t>1997</t>
        </is>
      </c>
      <c r="N1007" t="inlineStr">
        <is>
          <t>1st ed.</t>
        </is>
      </c>
      <c r="O1007" t="inlineStr">
        <is>
          <t>eng</t>
        </is>
      </c>
      <c r="P1007" t="inlineStr">
        <is>
          <t>nyu</t>
        </is>
      </c>
      <c r="R1007" t="inlineStr">
        <is>
          <t xml:space="preserve">PS </t>
        </is>
      </c>
      <c r="S1007" t="n">
        <v>3</v>
      </c>
      <c r="T1007" t="n">
        <v>3</v>
      </c>
      <c r="U1007" t="inlineStr">
        <is>
          <t>2003-11-06</t>
        </is>
      </c>
      <c r="V1007" t="inlineStr">
        <is>
          <t>2003-11-06</t>
        </is>
      </c>
      <c r="W1007" t="inlineStr">
        <is>
          <t>1997-05-12</t>
        </is>
      </c>
      <c r="X1007" t="inlineStr">
        <is>
          <t>1997-05-12</t>
        </is>
      </c>
      <c r="Y1007" t="n">
        <v>376</v>
      </c>
      <c r="Z1007" t="n">
        <v>352</v>
      </c>
      <c r="AA1007" t="n">
        <v>375</v>
      </c>
      <c r="AB1007" t="n">
        <v>2</v>
      </c>
      <c r="AC1007" t="n">
        <v>2</v>
      </c>
      <c r="AD1007" t="n">
        <v>8</v>
      </c>
      <c r="AE1007" t="n">
        <v>8</v>
      </c>
      <c r="AF1007" t="n">
        <v>3</v>
      </c>
      <c r="AG1007" t="n">
        <v>3</v>
      </c>
      <c r="AH1007" t="n">
        <v>1</v>
      </c>
      <c r="AI1007" t="n">
        <v>1</v>
      </c>
      <c r="AJ1007" t="n">
        <v>7</v>
      </c>
      <c r="AK1007" t="n">
        <v>7</v>
      </c>
      <c r="AL1007" t="n">
        <v>0</v>
      </c>
      <c r="AM1007" t="n">
        <v>0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No</t>
        </is>
      </c>
      <c r="AS1007">
        <f>HYPERLINK("https://creighton-primo.hosted.exlibrisgroup.com/primo-explore/search?tab=default_tab&amp;search_scope=EVERYTHING&amp;vid=01CRU&amp;lang=en_US&amp;offset=0&amp;query=any,contains,991002742649702656","Catalog Record")</f>
        <v/>
      </c>
      <c r="AT1007">
        <f>HYPERLINK("http://www.worldcat.org/oclc/36011633","WorldCat Record")</f>
        <v/>
      </c>
      <c r="AU1007" t="inlineStr">
        <is>
          <t>40568726:eng</t>
        </is>
      </c>
      <c r="AV1007" t="inlineStr">
        <is>
          <t>36011633</t>
        </is>
      </c>
      <c r="AW1007" t="inlineStr">
        <is>
          <t>991002742649702656</t>
        </is>
      </c>
      <c r="AX1007" t="inlineStr">
        <is>
          <t>991002742649702656</t>
        </is>
      </c>
      <c r="AY1007" t="inlineStr">
        <is>
          <t>2254867910002656</t>
        </is>
      </c>
      <c r="AZ1007" t="inlineStr">
        <is>
          <t>BOOK</t>
        </is>
      </c>
      <c r="BB1007" t="inlineStr">
        <is>
          <t>9780345402677</t>
        </is>
      </c>
      <c r="BC1007" t="inlineStr">
        <is>
          <t>32285002607009</t>
        </is>
      </c>
      <c r="BD1007" t="inlineStr">
        <is>
          <t>893591713</t>
        </is>
      </c>
    </row>
    <row r="1008">
      <c r="A1008" t="inlineStr">
        <is>
          <t>No</t>
        </is>
      </c>
      <c r="B1008" t="inlineStr">
        <is>
          <t>PS3568.O855 Z69 1992</t>
        </is>
      </c>
      <c r="C1008" t="inlineStr">
        <is>
          <t>0                      PS 3568000O  855                Z  69          1992</t>
        </is>
      </c>
      <c r="D1008" t="inlineStr">
        <is>
          <t>Philip Roth revisited / Jay L. Halio.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Halio, Jay L.</t>
        </is>
      </c>
      <c r="L1008" t="inlineStr">
        <is>
          <t>New York : Twayne Publishers, c1992.</t>
        </is>
      </c>
      <c r="M1008" t="inlineStr">
        <is>
          <t>1992</t>
        </is>
      </c>
      <c r="O1008" t="inlineStr">
        <is>
          <t>eng</t>
        </is>
      </c>
      <c r="P1008" t="inlineStr">
        <is>
          <t>nyu</t>
        </is>
      </c>
      <c r="Q1008" t="inlineStr">
        <is>
          <t>Twayne's United States authors series ; TUSAS 611</t>
        </is>
      </c>
      <c r="R1008" t="inlineStr">
        <is>
          <t xml:space="preserve">PS </t>
        </is>
      </c>
      <c r="S1008" t="n">
        <v>7</v>
      </c>
      <c r="T1008" t="n">
        <v>7</v>
      </c>
      <c r="U1008" t="inlineStr">
        <is>
          <t>2005-06-07</t>
        </is>
      </c>
      <c r="V1008" t="inlineStr">
        <is>
          <t>2005-06-07</t>
        </is>
      </c>
      <c r="W1008" t="inlineStr">
        <is>
          <t>1992-11-09</t>
        </is>
      </c>
      <c r="X1008" t="inlineStr">
        <is>
          <t>1992-11-09</t>
        </is>
      </c>
      <c r="Y1008" t="n">
        <v>793</v>
      </c>
      <c r="Z1008" t="n">
        <v>701</v>
      </c>
      <c r="AA1008" t="n">
        <v>782</v>
      </c>
      <c r="AB1008" t="n">
        <v>6</v>
      </c>
      <c r="AC1008" t="n">
        <v>6</v>
      </c>
      <c r="AD1008" t="n">
        <v>33</v>
      </c>
      <c r="AE1008" t="n">
        <v>34</v>
      </c>
      <c r="AF1008" t="n">
        <v>13</v>
      </c>
      <c r="AG1008" t="n">
        <v>13</v>
      </c>
      <c r="AH1008" t="n">
        <v>6</v>
      </c>
      <c r="AI1008" t="n">
        <v>6</v>
      </c>
      <c r="AJ1008" t="n">
        <v>17</v>
      </c>
      <c r="AK1008" t="n">
        <v>18</v>
      </c>
      <c r="AL1008" t="n">
        <v>5</v>
      </c>
      <c r="AM1008" t="n">
        <v>5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Yes</t>
        </is>
      </c>
      <c r="AR1008">
        <f>HYPERLINK("http://catalog.hathitrust.org/Record/002595393","HathiTrust Record")</f>
        <v/>
      </c>
      <c r="AS1008">
        <f>HYPERLINK("https://creighton-primo.hosted.exlibrisgroup.com/primo-explore/search?tab=default_tab&amp;search_scope=EVERYTHING&amp;vid=01CRU&amp;lang=en_US&amp;offset=0&amp;query=any,contains,991002017889702656","Catalog Record")</f>
        <v/>
      </c>
      <c r="AT1008">
        <f>HYPERLINK("http://www.worldcat.org/oclc/25674962","WorldCat Record")</f>
        <v/>
      </c>
      <c r="AU1008" t="inlineStr">
        <is>
          <t>28663966:eng</t>
        </is>
      </c>
      <c r="AV1008" t="inlineStr">
        <is>
          <t>25674962</t>
        </is>
      </c>
      <c r="AW1008" t="inlineStr">
        <is>
          <t>991002017889702656</t>
        </is>
      </c>
      <c r="AX1008" t="inlineStr">
        <is>
          <t>991002017889702656</t>
        </is>
      </c>
      <c r="AY1008" t="inlineStr">
        <is>
          <t>2270052570002656</t>
        </is>
      </c>
      <c r="AZ1008" t="inlineStr">
        <is>
          <t>BOOK</t>
        </is>
      </c>
      <c r="BB1008" t="inlineStr">
        <is>
          <t>9780805739626</t>
        </is>
      </c>
      <c r="BC1008" t="inlineStr">
        <is>
          <t>32285001386571</t>
        </is>
      </c>
      <c r="BD1008" t="inlineStr">
        <is>
          <t>893238540</t>
        </is>
      </c>
    </row>
    <row r="1009">
      <c r="A1009" t="inlineStr">
        <is>
          <t>No</t>
        </is>
      </c>
      <c r="B1009" t="inlineStr">
        <is>
          <t>PS3568.O855 Z88</t>
        </is>
      </c>
      <c r="C1009" t="inlineStr">
        <is>
          <t>0                      PS 3568000O  855                Z  88</t>
        </is>
      </c>
      <c r="D1009" t="inlineStr">
        <is>
          <t>Philip Roth / by Bernard F. Rodgers, Jr. --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Rodgers, Bernard F., 1947-</t>
        </is>
      </c>
      <c r="L1009" t="inlineStr">
        <is>
          <t>Boston : Twayne Publishers, 1978.</t>
        </is>
      </c>
      <c r="M1009" t="inlineStr">
        <is>
          <t>1978</t>
        </is>
      </c>
      <c r="O1009" t="inlineStr">
        <is>
          <t>eng</t>
        </is>
      </c>
      <c r="P1009" t="inlineStr">
        <is>
          <t>mau</t>
        </is>
      </c>
      <c r="Q1009" t="inlineStr">
        <is>
          <t>Twayne's United States authors series ; TUSAS 318</t>
        </is>
      </c>
      <c r="R1009" t="inlineStr">
        <is>
          <t xml:space="preserve">PS </t>
        </is>
      </c>
      <c r="S1009" t="n">
        <v>1</v>
      </c>
      <c r="T1009" t="n">
        <v>1</v>
      </c>
      <c r="U1009" t="inlineStr">
        <is>
          <t>2005-06-07</t>
        </is>
      </c>
      <c r="V1009" t="inlineStr">
        <is>
          <t>2005-06-07</t>
        </is>
      </c>
      <c r="W1009" t="inlineStr">
        <is>
          <t>1990-08-01</t>
        </is>
      </c>
      <c r="X1009" t="inlineStr">
        <is>
          <t>1990-08-01</t>
        </is>
      </c>
      <c r="Y1009" t="n">
        <v>1191</v>
      </c>
      <c r="Z1009" t="n">
        <v>1072</v>
      </c>
      <c r="AA1009" t="n">
        <v>1086</v>
      </c>
      <c r="AB1009" t="n">
        <v>6</v>
      </c>
      <c r="AC1009" t="n">
        <v>6</v>
      </c>
      <c r="AD1009" t="n">
        <v>36</v>
      </c>
      <c r="AE1009" t="n">
        <v>37</v>
      </c>
      <c r="AF1009" t="n">
        <v>14</v>
      </c>
      <c r="AG1009" t="n">
        <v>15</v>
      </c>
      <c r="AH1009" t="n">
        <v>9</v>
      </c>
      <c r="AI1009" t="n">
        <v>9</v>
      </c>
      <c r="AJ1009" t="n">
        <v>18</v>
      </c>
      <c r="AK1009" t="n">
        <v>18</v>
      </c>
      <c r="AL1009" t="n">
        <v>5</v>
      </c>
      <c r="AM1009" t="n">
        <v>5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HYPERLINK("http://catalog.hathitrust.org/Record/000176564","HathiTrust Record")</f>
        <v/>
      </c>
      <c r="AS1009">
        <f>HYPERLINK("https://creighton-primo.hosted.exlibrisgroup.com/primo-explore/search?tab=default_tab&amp;search_scope=EVERYTHING&amp;vid=01CRU&amp;lang=en_US&amp;offset=0&amp;query=any,contains,991004563839702656","Catalog Record")</f>
        <v/>
      </c>
      <c r="AT1009">
        <f>HYPERLINK("http://www.worldcat.org/oclc/4004069","WorldCat Record")</f>
        <v/>
      </c>
      <c r="AU1009" t="inlineStr">
        <is>
          <t>10596768403:eng</t>
        </is>
      </c>
      <c r="AV1009" t="inlineStr">
        <is>
          <t>4004069</t>
        </is>
      </c>
      <c r="AW1009" t="inlineStr">
        <is>
          <t>991004563839702656</t>
        </is>
      </c>
      <c r="AX1009" t="inlineStr">
        <is>
          <t>991004563839702656</t>
        </is>
      </c>
      <c r="AY1009" t="inlineStr">
        <is>
          <t>2265210780002656</t>
        </is>
      </c>
      <c r="AZ1009" t="inlineStr">
        <is>
          <t>BOOK</t>
        </is>
      </c>
      <c r="BB1009" t="inlineStr">
        <is>
          <t>9780805772494</t>
        </is>
      </c>
      <c r="BC1009" t="inlineStr">
        <is>
          <t>32285000262765</t>
        </is>
      </c>
      <c r="BD1009" t="inlineStr">
        <is>
          <t>893337878</t>
        </is>
      </c>
    </row>
    <row r="1010">
      <c r="A1010" t="inlineStr">
        <is>
          <t>No</t>
        </is>
      </c>
      <c r="B1010" t="inlineStr">
        <is>
          <t>PS3569.O6547 Z875 2001</t>
        </is>
      </c>
      <c r="C1010" t="inlineStr">
        <is>
          <t>0                      PS 3569000O  6547               Z  875         2001</t>
        </is>
      </c>
      <c r="D1010" t="inlineStr">
        <is>
          <t>Reading Susan Sontag : a critical introduction to her work / Carl Rollyson.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K1010" t="inlineStr">
        <is>
          <t>Rollyson, Carl E. (Carl Edmund)</t>
        </is>
      </c>
      <c r="L1010" t="inlineStr">
        <is>
          <t>Chicago : Ivan R. Dee, c2001.</t>
        </is>
      </c>
      <c r="M1010" t="inlineStr">
        <is>
          <t>2001</t>
        </is>
      </c>
      <c r="O1010" t="inlineStr">
        <is>
          <t>eng</t>
        </is>
      </c>
      <c r="P1010" t="inlineStr">
        <is>
          <t>ilu</t>
        </is>
      </c>
      <c r="R1010" t="inlineStr">
        <is>
          <t xml:space="preserve">PS </t>
        </is>
      </c>
      <c r="S1010" t="n">
        <v>1</v>
      </c>
      <c r="T1010" t="n">
        <v>1</v>
      </c>
      <c r="U1010" t="inlineStr">
        <is>
          <t>2002-02-07</t>
        </is>
      </c>
      <c r="V1010" t="inlineStr">
        <is>
          <t>2002-02-07</t>
        </is>
      </c>
      <c r="W1010" t="inlineStr">
        <is>
          <t>2002-02-07</t>
        </is>
      </c>
      <c r="X1010" t="inlineStr">
        <is>
          <t>2002-02-07</t>
        </is>
      </c>
      <c r="Y1010" t="n">
        <v>476</v>
      </c>
      <c r="Z1010" t="n">
        <v>402</v>
      </c>
      <c r="AA1010" t="n">
        <v>405</v>
      </c>
      <c r="AB1010" t="n">
        <v>3</v>
      </c>
      <c r="AC1010" t="n">
        <v>3</v>
      </c>
      <c r="AD1010" t="n">
        <v>15</v>
      </c>
      <c r="AE1010" t="n">
        <v>15</v>
      </c>
      <c r="AF1010" t="n">
        <v>5</v>
      </c>
      <c r="AG1010" t="n">
        <v>5</v>
      </c>
      <c r="AH1010" t="n">
        <v>4</v>
      </c>
      <c r="AI1010" t="n">
        <v>4</v>
      </c>
      <c r="AJ1010" t="n">
        <v>8</v>
      </c>
      <c r="AK1010" t="n">
        <v>8</v>
      </c>
      <c r="AL1010" t="n">
        <v>2</v>
      </c>
      <c r="AM1010" t="n">
        <v>2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Yes</t>
        </is>
      </c>
      <c r="AR1010">
        <f>HYPERLINK("http://catalog.hathitrust.org/Record/004206688","HathiTrust Record")</f>
        <v/>
      </c>
      <c r="AS1010">
        <f>HYPERLINK("https://creighton-primo.hosted.exlibrisgroup.com/primo-explore/search?tab=default_tab&amp;search_scope=EVERYTHING&amp;vid=01CRU&amp;lang=en_US&amp;offset=0&amp;query=any,contains,991003710009702656","Catalog Record")</f>
        <v/>
      </c>
      <c r="AT1010">
        <f>HYPERLINK("http://www.worldcat.org/oclc/46641564","WorldCat Record")</f>
        <v/>
      </c>
      <c r="AU1010" t="inlineStr">
        <is>
          <t>35012825:eng</t>
        </is>
      </c>
      <c r="AV1010" t="inlineStr">
        <is>
          <t>46641564</t>
        </is>
      </c>
      <c r="AW1010" t="inlineStr">
        <is>
          <t>991003710009702656</t>
        </is>
      </c>
      <c r="AX1010" t="inlineStr">
        <is>
          <t>991003710009702656</t>
        </is>
      </c>
      <c r="AY1010" t="inlineStr">
        <is>
          <t>2265211950002656</t>
        </is>
      </c>
      <c r="AZ1010" t="inlineStr">
        <is>
          <t>BOOK</t>
        </is>
      </c>
      <c r="BB1010" t="inlineStr">
        <is>
          <t>9781566633918</t>
        </is>
      </c>
      <c r="BC1010" t="inlineStr">
        <is>
          <t>32285004452925</t>
        </is>
      </c>
      <c r="BD1010" t="inlineStr">
        <is>
          <t>893422857</t>
        </is>
      </c>
    </row>
    <row r="1011">
      <c r="A1011" t="inlineStr">
        <is>
          <t>No</t>
        </is>
      </c>
      <c r="B1011" t="inlineStr">
        <is>
          <t>PS3569.T6418 Z86 1994</t>
        </is>
      </c>
      <c r="C1011" t="inlineStr">
        <is>
          <t>0                      PS 3569000T  6418               Z  86          1994</t>
        </is>
      </c>
      <c r="D1011" t="inlineStr">
        <is>
          <t>Robert Stone / Robert Solotaroff.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Solotaroff, Robert.</t>
        </is>
      </c>
      <c r="L1011" t="inlineStr">
        <is>
          <t>New York : Twayne Publishers, c1994.</t>
        </is>
      </c>
      <c r="M1011" t="inlineStr">
        <is>
          <t>1994</t>
        </is>
      </c>
      <c r="O1011" t="inlineStr">
        <is>
          <t>eng</t>
        </is>
      </c>
      <c r="P1011" t="inlineStr">
        <is>
          <t>nyu</t>
        </is>
      </c>
      <c r="Q1011" t="inlineStr">
        <is>
          <t>Twayne's United States authors series ; TUSAS 632</t>
        </is>
      </c>
      <c r="R1011" t="inlineStr">
        <is>
          <t xml:space="preserve">PS </t>
        </is>
      </c>
      <c r="S1011" t="n">
        <v>1</v>
      </c>
      <c r="T1011" t="n">
        <v>1</v>
      </c>
      <c r="U1011" t="inlineStr">
        <is>
          <t>1996-03-31</t>
        </is>
      </c>
      <c r="V1011" t="inlineStr">
        <is>
          <t>1996-03-31</t>
        </is>
      </c>
      <c r="W1011" t="inlineStr">
        <is>
          <t>1994-01-20</t>
        </is>
      </c>
      <c r="X1011" t="inlineStr">
        <is>
          <t>1994-01-20</t>
        </is>
      </c>
      <c r="Y1011" t="n">
        <v>511</v>
      </c>
      <c r="Z1011" t="n">
        <v>474</v>
      </c>
      <c r="AA1011" t="n">
        <v>482</v>
      </c>
      <c r="AB1011" t="n">
        <v>6</v>
      </c>
      <c r="AC1011" t="n">
        <v>6</v>
      </c>
      <c r="AD1011" t="n">
        <v>20</v>
      </c>
      <c r="AE1011" t="n">
        <v>20</v>
      </c>
      <c r="AF1011" t="n">
        <v>7</v>
      </c>
      <c r="AG1011" t="n">
        <v>7</v>
      </c>
      <c r="AH1011" t="n">
        <v>2</v>
      </c>
      <c r="AI1011" t="n">
        <v>2</v>
      </c>
      <c r="AJ1011" t="n">
        <v>11</v>
      </c>
      <c r="AK1011" t="n">
        <v>11</v>
      </c>
      <c r="AL1011" t="n">
        <v>5</v>
      </c>
      <c r="AM1011" t="n">
        <v>5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Yes</t>
        </is>
      </c>
      <c r="AR1011">
        <f>HYPERLINK("http://catalog.hathitrust.org/Record/002795647","HathiTrust Record")</f>
        <v/>
      </c>
      <c r="AS1011">
        <f>HYPERLINK("https://creighton-primo.hosted.exlibrisgroup.com/primo-explore/search?tab=default_tab&amp;search_scope=EVERYTHING&amp;vid=01CRU&amp;lang=en_US&amp;offset=0&amp;query=any,contains,991002234949702656","Catalog Record")</f>
        <v/>
      </c>
      <c r="AT1011">
        <f>HYPERLINK("http://www.worldcat.org/oclc/28800801","WorldCat Record")</f>
        <v/>
      </c>
      <c r="AU1011" t="inlineStr">
        <is>
          <t>8909610896:eng</t>
        </is>
      </c>
      <c r="AV1011" t="inlineStr">
        <is>
          <t>28800801</t>
        </is>
      </c>
      <c r="AW1011" t="inlineStr">
        <is>
          <t>991002234949702656</t>
        </is>
      </c>
      <c r="AX1011" t="inlineStr">
        <is>
          <t>991002234949702656</t>
        </is>
      </c>
      <c r="AY1011" t="inlineStr">
        <is>
          <t>2258524200002656</t>
        </is>
      </c>
      <c r="AZ1011" t="inlineStr">
        <is>
          <t>BOOK</t>
        </is>
      </c>
      <c r="BB1011" t="inlineStr">
        <is>
          <t>9780805740110</t>
        </is>
      </c>
      <c r="BC1011" t="inlineStr">
        <is>
          <t>32285001804417</t>
        </is>
      </c>
      <c r="BD1011" t="inlineStr">
        <is>
          <t>893445042</t>
        </is>
      </c>
    </row>
    <row r="1012">
      <c r="A1012" t="inlineStr">
        <is>
          <t>No</t>
        </is>
      </c>
      <c r="B1012" t="inlineStr">
        <is>
          <t>PS3572.O5 Z4594 1972</t>
        </is>
      </c>
      <c r="C1012" t="inlineStr">
        <is>
          <t>0                      PS 3572000O  5                  Z  4594        1972</t>
        </is>
      </c>
      <c r="D1012" t="inlineStr">
        <is>
          <t>Kurt Vonnegut, Jr. ... a checklist / introd. by Vance Bourjaily.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K1012" t="inlineStr">
        <is>
          <t>Hudgens, Betty Lenhardt.</t>
        </is>
      </c>
      <c r="L1012" t="inlineStr">
        <is>
          <t>Detroit : Gale Research Co., 1972.</t>
        </is>
      </c>
      <c r="M1012" t="inlineStr">
        <is>
          <t>1972</t>
        </is>
      </c>
      <c r="O1012" t="inlineStr">
        <is>
          <t>eng</t>
        </is>
      </c>
      <c r="P1012" t="inlineStr">
        <is>
          <t>miu</t>
        </is>
      </c>
      <c r="R1012" t="inlineStr">
        <is>
          <t xml:space="preserve">PS </t>
        </is>
      </c>
      <c r="S1012" t="n">
        <v>6</v>
      </c>
      <c r="T1012" t="n">
        <v>6</v>
      </c>
      <c r="U1012" t="inlineStr">
        <is>
          <t>2004-12-02</t>
        </is>
      </c>
      <c r="V1012" t="inlineStr">
        <is>
          <t>2004-12-02</t>
        </is>
      </c>
      <c r="W1012" t="inlineStr">
        <is>
          <t>1990-07-25</t>
        </is>
      </c>
      <c r="X1012" t="inlineStr">
        <is>
          <t>1990-07-25</t>
        </is>
      </c>
      <c r="Y1012" t="n">
        <v>367</v>
      </c>
      <c r="Z1012" t="n">
        <v>325</v>
      </c>
      <c r="AA1012" t="n">
        <v>337</v>
      </c>
      <c r="AB1012" t="n">
        <v>4</v>
      </c>
      <c r="AC1012" t="n">
        <v>4</v>
      </c>
      <c r="AD1012" t="n">
        <v>14</v>
      </c>
      <c r="AE1012" t="n">
        <v>15</v>
      </c>
      <c r="AF1012" t="n">
        <v>6</v>
      </c>
      <c r="AG1012" t="n">
        <v>6</v>
      </c>
      <c r="AH1012" t="n">
        <v>3</v>
      </c>
      <c r="AI1012" t="n">
        <v>4</v>
      </c>
      <c r="AJ1012" t="n">
        <v>7</v>
      </c>
      <c r="AK1012" t="n">
        <v>7</v>
      </c>
      <c r="AL1012" t="n">
        <v>3</v>
      </c>
      <c r="AM1012" t="n">
        <v>3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HYPERLINK("http://catalog.hathitrust.org/Record/000010472","HathiTrust Record")</f>
        <v/>
      </c>
      <c r="AS1012">
        <f>HYPERLINK("https://creighton-primo.hosted.exlibrisgroup.com/primo-explore/search?tab=default_tab&amp;search_scope=EVERYTHING&amp;vid=01CRU&amp;lang=en_US&amp;offset=0&amp;query=any,contains,991003201149702656","Catalog Record")</f>
        <v/>
      </c>
      <c r="AT1012">
        <f>HYPERLINK("http://www.worldcat.org/oclc/725971","WorldCat Record")</f>
        <v/>
      </c>
      <c r="AU1012" t="inlineStr">
        <is>
          <t>468039:eng</t>
        </is>
      </c>
      <c r="AV1012" t="inlineStr">
        <is>
          <t>725971</t>
        </is>
      </c>
      <c r="AW1012" t="inlineStr">
        <is>
          <t>991003201149702656</t>
        </is>
      </c>
      <c r="AX1012" t="inlineStr">
        <is>
          <t>991003201149702656</t>
        </is>
      </c>
      <c r="AY1012" t="inlineStr">
        <is>
          <t>2256697460002656</t>
        </is>
      </c>
      <c r="AZ1012" t="inlineStr">
        <is>
          <t>BOOK</t>
        </is>
      </c>
      <c r="BC1012" t="inlineStr">
        <is>
          <t>32285000250356</t>
        </is>
      </c>
      <c r="BD1012" t="inlineStr">
        <is>
          <t>893686283</t>
        </is>
      </c>
    </row>
    <row r="1013">
      <c r="A1013" t="inlineStr">
        <is>
          <t>No</t>
        </is>
      </c>
      <c r="B1013" t="inlineStr">
        <is>
          <t>PS3572.O5 Z4597 1974</t>
        </is>
      </c>
      <c r="C1013" t="inlineStr">
        <is>
          <t>0                      PS 3572000O  5                  Z  4597        1974</t>
        </is>
      </c>
      <c r="D1013" t="inlineStr">
        <is>
          <t>Kurt Vonnegut, Jr. : a descriptive bibliography and annotated secondary checklist / by Asa B. Pieratt, Jr., and Jerome Klinkowitz.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K1013" t="inlineStr">
        <is>
          <t>Pieratt, Asa B.</t>
        </is>
      </c>
      <c r="L1013" t="inlineStr">
        <is>
          <t>[Hamden, Conn.] : Archon Books, 1974.</t>
        </is>
      </c>
      <c r="M1013" t="inlineStr">
        <is>
          <t>1974</t>
        </is>
      </c>
      <c r="O1013" t="inlineStr">
        <is>
          <t>eng</t>
        </is>
      </c>
      <c r="P1013" t="inlineStr">
        <is>
          <t>ctu</t>
        </is>
      </c>
      <c r="R1013" t="inlineStr">
        <is>
          <t xml:space="preserve">PS </t>
        </is>
      </c>
      <c r="S1013" t="n">
        <v>16</v>
      </c>
      <c r="T1013" t="n">
        <v>16</v>
      </c>
      <c r="U1013" t="inlineStr">
        <is>
          <t>2004-12-02</t>
        </is>
      </c>
      <c r="V1013" t="inlineStr">
        <is>
          <t>2004-12-02</t>
        </is>
      </c>
      <c r="W1013" t="inlineStr">
        <is>
          <t>1990-07-25</t>
        </is>
      </c>
      <c r="X1013" t="inlineStr">
        <is>
          <t>1990-07-25</t>
        </is>
      </c>
      <c r="Y1013" t="n">
        <v>467</v>
      </c>
      <c r="Z1013" t="n">
        <v>418</v>
      </c>
      <c r="AA1013" t="n">
        <v>418</v>
      </c>
      <c r="AB1013" t="n">
        <v>4</v>
      </c>
      <c r="AC1013" t="n">
        <v>4</v>
      </c>
      <c r="AD1013" t="n">
        <v>19</v>
      </c>
      <c r="AE1013" t="n">
        <v>19</v>
      </c>
      <c r="AF1013" t="n">
        <v>5</v>
      </c>
      <c r="AG1013" t="n">
        <v>5</v>
      </c>
      <c r="AH1013" t="n">
        <v>6</v>
      </c>
      <c r="AI1013" t="n">
        <v>6</v>
      </c>
      <c r="AJ1013" t="n">
        <v>11</v>
      </c>
      <c r="AK1013" t="n">
        <v>11</v>
      </c>
      <c r="AL1013" t="n">
        <v>3</v>
      </c>
      <c r="AM1013" t="n">
        <v>3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No</t>
        </is>
      </c>
      <c r="AS1013">
        <f>HYPERLINK("https://creighton-primo.hosted.exlibrisgroup.com/primo-explore/search?tab=default_tab&amp;search_scope=EVERYTHING&amp;vid=01CRU&amp;lang=en_US&amp;offset=0&amp;query=any,contains,991003409869702656","Catalog Record")</f>
        <v/>
      </c>
      <c r="AT1013">
        <f>HYPERLINK("http://www.worldcat.org/oclc/948134","WorldCat Record")</f>
        <v/>
      </c>
      <c r="AU1013" t="inlineStr">
        <is>
          <t>1079072664:eng</t>
        </is>
      </c>
      <c r="AV1013" t="inlineStr">
        <is>
          <t>948134</t>
        </is>
      </c>
      <c r="AW1013" t="inlineStr">
        <is>
          <t>991003409869702656</t>
        </is>
      </c>
      <c r="AX1013" t="inlineStr">
        <is>
          <t>991003409869702656</t>
        </is>
      </c>
      <c r="AY1013" t="inlineStr">
        <is>
          <t>2264852020002656</t>
        </is>
      </c>
      <c r="AZ1013" t="inlineStr">
        <is>
          <t>BOOK</t>
        </is>
      </c>
      <c r="BB1013" t="inlineStr">
        <is>
          <t>9780208014498</t>
        </is>
      </c>
      <c r="BC1013" t="inlineStr">
        <is>
          <t>32285000250349</t>
        </is>
      </c>
      <c r="BD1013" t="inlineStr">
        <is>
          <t>893711353</t>
        </is>
      </c>
    </row>
    <row r="1014">
      <c r="A1014" t="inlineStr">
        <is>
          <t>No</t>
        </is>
      </c>
      <c r="B1014" t="inlineStr">
        <is>
          <t>PS3573.R5358 Z65 1987</t>
        </is>
      </c>
      <c r="C1014" t="inlineStr">
        <is>
          <t>0                      PS 3573000R  5358               Z  65          1987</t>
        </is>
      </c>
      <c r="D1014" t="inlineStr">
        <is>
          <t>James Wright / by David C. Dougherty.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K1014" t="inlineStr">
        <is>
          <t>Dougherty, David C.</t>
        </is>
      </c>
      <c r="L1014" t="inlineStr">
        <is>
          <t>Boston : Twayne Publishers, c1987.</t>
        </is>
      </c>
      <c r="M1014" t="inlineStr">
        <is>
          <t>1987</t>
        </is>
      </c>
      <c r="O1014" t="inlineStr">
        <is>
          <t>eng</t>
        </is>
      </c>
      <c r="P1014" t="inlineStr">
        <is>
          <t>mau</t>
        </is>
      </c>
      <c r="Q1014" t="inlineStr">
        <is>
          <t>Twayne's United States authors series ; TUSAS 494</t>
        </is>
      </c>
      <c r="R1014" t="inlineStr">
        <is>
          <t xml:space="preserve">PS </t>
        </is>
      </c>
      <c r="S1014" t="n">
        <v>6</v>
      </c>
      <c r="T1014" t="n">
        <v>6</v>
      </c>
      <c r="U1014" t="inlineStr">
        <is>
          <t>1999-09-10</t>
        </is>
      </c>
      <c r="V1014" t="inlineStr">
        <is>
          <t>1999-09-10</t>
        </is>
      </c>
      <c r="W1014" t="inlineStr">
        <is>
          <t>1991-01-21</t>
        </is>
      </c>
      <c r="X1014" t="inlineStr">
        <is>
          <t>1991-01-21</t>
        </is>
      </c>
      <c r="Y1014" t="n">
        <v>583</v>
      </c>
      <c r="Z1014" t="n">
        <v>517</v>
      </c>
      <c r="AA1014" t="n">
        <v>660</v>
      </c>
      <c r="AB1014" t="n">
        <v>5</v>
      </c>
      <c r="AC1014" t="n">
        <v>7</v>
      </c>
      <c r="AD1014" t="n">
        <v>26</v>
      </c>
      <c r="AE1014" t="n">
        <v>30</v>
      </c>
      <c r="AF1014" t="n">
        <v>9</v>
      </c>
      <c r="AG1014" t="n">
        <v>10</v>
      </c>
      <c r="AH1014" t="n">
        <v>5</v>
      </c>
      <c r="AI1014" t="n">
        <v>5</v>
      </c>
      <c r="AJ1014" t="n">
        <v>16</v>
      </c>
      <c r="AK1014" t="n">
        <v>17</v>
      </c>
      <c r="AL1014" t="n">
        <v>4</v>
      </c>
      <c r="AM1014" t="n">
        <v>6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HYPERLINK("http://catalog.hathitrust.org/Record/000829337","HathiTrust Record")</f>
        <v/>
      </c>
      <c r="AS1014">
        <f>HYPERLINK("https://creighton-primo.hosted.exlibrisgroup.com/primo-explore/search?tab=default_tab&amp;search_scope=EVERYTHING&amp;vid=01CRU&amp;lang=en_US&amp;offset=0&amp;query=any,contains,991000969959702656","Catalog Record")</f>
        <v/>
      </c>
      <c r="AT1014">
        <f>HYPERLINK("http://www.worldcat.org/oclc/14933046","WorldCat Record")</f>
        <v/>
      </c>
      <c r="AU1014" t="inlineStr">
        <is>
          <t>9592830427:eng</t>
        </is>
      </c>
      <c r="AV1014" t="inlineStr">
        <is>
          <t>14933046</t>
        </is>
      </c>
      <c r="AW1014" t="inlineStr">
        <is>
          <t>991000969959702656</t>
        </is>
      </c>
      <c r="AX1014" t="inlineStr">
        <is>
          <t>991000969959702656</t>
        </is>
      </c>
      <c r="AY1014" t="inlineStr">
        <is>
          <t>2260897490002656</t>
        </is>
      </c>
      <c r="AZ1014" t="inlineStr">
        <is>
          <t>BOOK</t>
        </is>
      </c>
      <c r="BB1014" t="inlineStr">
        <is>
          <t>9780805774962</t>
        </is>
      </c>
      <c r="BC1014" t="inlineStr">
        <is>
          <t>32285000477553</t>
        </is>
      </c>
      <c r="BD1014" t="inlineStr">
        <is>
          <t>893614663</t>
        </is>
      </c>
    </row>
    <row r="1015">
      <c r="A1015" t="inlineStr">
        <is>
          <t>No</t>
        </is>
      </c>
      <c r="B1015" t="inlineStr">
        <is>
          <t>PS362 .M94 2002</t>
        </is>
      </c>
      <c r="C1015" t="inlineStr">
        <is>
          <t>0                      PS 0362000M  94          2002</t>
        </is>
      </c>
      <c r="D1015" t="inlineStr">
        <is>
          <t>A reader's manifesto : an attack on the growing pretentiousness in American literary prose / B. R. Myers.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K1015" t="inlineStr">
        <is>
          <t>Myers, B. R., 1963-</t>
        </is>
      </c>
      <c r="L1015" t="inlineStr">
        <is>
          <t>Hoboken, NJ : Melville House Pub., 2002.</t>
        </is>
      </c>
      <c r="M1015" t="inlineStr">
        <is>
          <t>2002</t>
        </is>
      </c>
      <c r="N1015" t="inlineStr">
        <is>
          <t>1st ed.</t>
        </is>
      </c>
      <c r="O1015" t="inlineStr">
        <is>
          <t>eng</t>
        </is>
      </c>
      <c r="P1015" t="inlineStr">
        <is>
          <t>nju</t>
        </is>
      </c>
      <c r="R1015" t="inlineStr">
        <is>
          <t xml:space="preserve">PS </t>
        </is>
      </c>
      <c r="S1015" t="n">
        <v>1</v>
      </c>
      <c r="T1015" t="n">
        <v>1</v>
      </c>
      <c r="U1015" t="inlineStr">
        <is>
          <t>2002-10-09</t>
        </is>
      </c>
      <c r="V1015" t="inlineStr">
        <is>
          <t>2002-10-09</t>
        </is>
      </c>
      <c r="W1015" t="inlineStr">
        <is>
          <t>2002-10-09</t>
        </is>
      </c>
      <c r="X1015" t="inlineStr">
        <is>
          <t>2002-10-09</t>
        </is>
      </c>
      <c r="Y1015" t="n">
        <v>399</v>
      </c>
      <c r="Z1015" t="n">
        <v>368</v>
      </c>
      <c r="AA1015" t="n">
        <v>376</v>
      </c>
      <c r="AB1015" t="n">
        <v>2</v>
      </c>
      <c r="AC1015" t="n">
        <v>2</v>
      </c>
      <c r="AD1015" t="n">
        <v>9</v>
      </c>
      <c r="AE1015" t="n">
        <v>9</v>
      </c>
      <c r="AF1015" t="n">
        <v>5</v>
      </c>
      <c r="AG1015" t="n">
        <v>5</v>
      </c>
      <c r="AH1015" t="n">
        <v>3</v>
      </c>
      <c r="AI1015" t="n">
        <v>3</v>
      </c>
      <c r="AJ1015" t="n">
        <v>4</v>
      </c>
      <c r="AK1015" t="n">
        <v>4</v>
      </c>
      <c r="AL1015" t="n">
        <v>0</v>
      </c>
      <c r="AM1015" t="n">
        <v>0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Yes</t>
        </is>
      </c>
      <c r="AR1015">
        <f>HYPERLINK("http://catalog.hathitrust.org/Record/004287835","HathiTrust Record")</f>
        <v/>
      </c>
      <c r="AS1015">
        <f>HYPERLINK("https://creighton-primo.hosted.exlibrisgroup.com/primo-explore/search?tab=default_tab&amp;search_scope=EVERYTHING&amp;vid=01CRU&amp;lang=en_US&amp;offset=0&amp;query=any,contains,991003901659702656","Catalog Record")</f>
        <v/>
      </c>
      <c r="AT1015">
        <f>HYPERLINK("http://www.worldcat.org/oclc/50243166","WorldCat Record")</f>
        <v/>
      </c>
      <c r="AU1015" t="inlineStr">
        <is>
          <t>4202365299:eng</t>
        </is>
      </c>
      <c r="AV1015" t="inlineStr">
        <is>
          <t>50243166</t>
        </is>
      </c>
      <c r="AW1015" t="inlineStr">
        <is>
          <t>991003901659702656</t>
        </is>
      </c>
      <c r="AX1015" t="inlineStr">
        <is>
          <t>991003901659702656</t>
        </is>
      </c>
      <c r="AY1015" t="inlineStr">
        <is>
          <t>2268167580002656</t>
        </is>
      </c>
      <c r="AZ1015" t="inlineStr">
        <is>
          <t>BOOK</t>
        </is>
      </c>
      <c r="BB1015" t="inlineStr">
        <is>
          <t>9780971865907</t>
        </is>
      </c>
      <c r="BC1015" t="inlineStr">
        <is>
          <t>32285004653738</t>
        </is>
      </c>
      <c r="BD1015" t="inlineStr">
        <is>
          <t>893693295</t>
        </is>
      </c>
    </row>
    <row r="1016">
      <c r="A1016" t="inlineStr">
        <is>
          <t>No</t>
        </is>
      </c>
      <c r="B1016" t="inlineStr">
        <is>
          <t>PS366.A44 P67</t>
        </is>
      </c>
      <c r="C1016" t="inlineStr">
        <is>
          <t>0                      PS 0366000A  44                 P  67</t>
        </is>
      </c>
      <c r="D1016" t="inlineStr">
        <is>
          <t>Seeing and being : the plight of the participant observer in Emerson, James, Adams, and Faulkner / Carolyn Porter.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K1016" t="inlineStr">
        <is>
          <t>Porter, Carolyn, 1946-</t>
        </is>
      </c>
      <c r="L1016" t="inlineStr">
        <is>
          <t>Middletown, Conn. : Wesleyan University Press ; Irvington, N.Y. : distributed by Columbia University Press, c1981.</t>
        </is>
      </c>
      <c r="M1016" t="inlineStr">
        <is>
          <t>1981</t>
        </is>
      </c>
      <c r="N1016" t="inlineStr">
        <is>
          <t>1st ed.</t>
        </is>
      </c>
      <c r="O1016" t="inlineStr">
        <is>
          <t>eng</t>
        </is>
      </c>
      <c r="P1016" t="inlineStr">
        <is>
          <t>ctu</t>
        </is>
      </c>
      <c r="R1016" t="inlineStr">
        <is>
          <t xml:space="preserve">PS </t>
        </is>
      </c>
      <c r="S1016" t="n">
        <v>3</v>
      </c>
      <c r="T1016" t="n">
        <v>3</v>
      </c>
      <c r="U1016" t="inlineStr">
        <is>
          <t>1997-02-26</t>
        </is>
      </c>
      <c r="V1016" t="inlineStr">
        <is>
          <t>1997-02-26</t>
        </is>
      </c>
      <c r="W1016" t="inlineStr">
        <is>
          <t>1992-08-24</t>
        </is>
      </c>
      <c r="X1016" t="inlineStr">
        <is>
          <t>1992-08-24</t>
        </is>
      </c>
      <c r="Y1016" t="n">
        <v>624</v>
      </c>
      <c r="Z1016" t="n">
        <v>528</v>
      </c>
      <c r="AA1016" t="n">
        <v>554</v>
      </c>
      <c r="AB1016" t="n">
        <v>6</v>
      </c>
      <c r="AC1016" t="n">
        <v>6</v>
      </c>
      <c r="AD1016" t="n">
        <v>26</v>
      </c>
      <c r="AE1016" t="n">
        <v>27</v>
      </c>
      <c r="AF1016" t="n">
        <v>9</v>
      </c>
      <c r="AG1016" t="n">
        <v>9</v>
      </c>
      <c r="AH1016" t="n">
        <v>8</v>
      </c>
      <c r="AI1016" t="n">
        <v>8</v>
      </c>
      <c r="AJ1016" t="n">
        <v>12</v>
      </c>
      <c r="AK1016" t="n">
        <v>13</v>
      </c>
      <c r="AL1016" t="n">
        <v>5</v>
      </c>
      <c r="AM1016" t="n">
        <v>5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Yes</t>
        </is>
      </c>
      <c r="AR1016">
        <f>HYPERLINK("http://catalog.hathitrust.org/Record/000140755","HathiTrust Record")</f>
        <v/>
      </c>
      <c r="AS1016">
        <f>HYPERLINK("https://creighton-primo.hosted.exlibrisgroup.com/primo-explore/search?tab=default_tab&amp;search_scope=EVERYTHING&amp;vid=01CRU&amp;lang=en_US&amp;offset=0&amp;query=any,contains,991005083449702656","Catalog Record")</f>
        <v/>
      </c>
      <c r="AT1016">
        <f>HYPERLINK("http://www.worldcat.org/oclc/7176295","WorldCat Record")</f>
        <v/>
      </c>
      <c r="AU1016" t="inlineStr">
        <is>
          <t>7376475:eng</t>
        </is>
      </c>
      <c r="AV1016" t="inlineStr">
        <is>
          <t>7176295</t>
        </is>
      </c>
      <c r="AW1016" t="inlineStr">
        <is>
          <t>991005083449702656</t>
        </is>
      </c>
      <c r="AX1016" t="inlineStr">
        <is>
          <t>991005083449702656</t>
        </is>
      </c>
      <c r="AY1016" t="inlineStr">
        <is>
          <t>2272718430002656</t>
        </is>
      </c>
      <c r="AZ1016" t="inlineStr">
        <is>
          <t>BOOK</t>
        </is>
      </c>
      <c r="BB1016" t="inlineStr">
        <is>
          <t>9780819550545</t>
        </is>
      </c>
      <c r="BC1016" t="inlineStr">
        <is>
          <t>32285001271252</t>
        </is>
      </c>
      <c r="BD1016" t="inlineStr">
        <is>
          <t>893694734</t>
        </is>
      </c>
    </row>
    <row r="1017">
      <c r="A1017" t="inlineStr">
        <is>
          <t>No</t>
        </is>
      </c>
      <c r="B1017" t="inlineStr">
        <is>
          <t>PS366.A88 F53 1989</t>
        </is>
      </c>
      <c r="C1017" t="inlineStr">
        <is>
          <t>0                      PS 0366000A  88                 F  53          1989</t>
        </is>
      </c>
      <c r="D1017" t="inlineStr">
        <is>
          <t>The complex image : faith and method in American autobiography / Joseph Fichtelberg.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K1017" t="inlineStr">
        <is>
          <t>Fichtelberg, Joseph.</t>
        </is>
      </c>
      <c r="L1017" t="inlineStr">
        <is>
          <t>Philadelphia : University of Pennsylvania Press, c1989.</t>
        </is>
      </c>
      <c r="M1017" t="inlineStr">
        <is>
          <t>1989</t>
        </is>
      </c>
      <c r="O1017" t="inlineStr">
        <is>
          <t>eng</t>
        </is>
      </c>
      <c r="P1017" t="inlineStr">
        <is>
          <t>pau</t>
        </is>
      </c>
      <c r="R1017" t="inlineStr">
        <is>
          <t xml:space="preserve">PS </t>
        </is>
      </c>
      <c r="S1017" t="n">
        <v>1</v>
      </c>
      <c r="T1017" t="n">
        <v>1</v>
      </c>
      <c r="U1017" t="inlineStr">
        <is>
          <t>2005-05-04</t>
        </is>
      </c>
      <c r="V1017" t="inlineStr">
        <is>
          <t>2005-05-04</t>
        </is>
      </c>
      <c r="W1017" t="inlineStr">
        <is>
          <t>2005-05-04</t>
        </is>
      </c>
      <c r="X1017" t="inlineStr">
        <is>
          <t>2005-05-04</t>
        </is>
      </c>
      <c r="Y1017" t="n">
        <v>363</v>
      </c>
      <c r="Z1017" t="n">
        <v>301</v>
      </c>
      <c r="AA1017" t="n">
        <v>480</v>
      </c>
      <c r="AB1017" t="n">
        <v>5</v>
      </c>
      <c r="AC1017" t="n">
        <v>5</v>
      </c>
      <c r="AD1017" t="n">
        <v>18</v>
      </c>
      <c r="AE1017" t="n">
        <v>26</v>
      </c>
      <c r="AF1017" t="n">
        <v>2</v>
      </c>
      <c r="AG1017" t="n">
        <v>8</v>
      </c>
      <c r="AH1017" t="n">
        <v>6</v>
      </c>
      <c r="AI1017" t="n">
        <v>8</v>
      </c>
      <c r="AJ1017" t="n">
        <v>10</v>
      </c>
      <c r="AK1017" t="n">
        <v>13</v>
      </c>
      <c r="AL1017" t="n">
        <v>4</v>
      </c>
      <c r="AM1017" t="n">
        <v>4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Yes</t>
        </is>
      </c>
      <c r="AR1017">
        <f>HYPERLINK("http://catalog.hathitrust.org/Record/001831923","HathiTrust Record")</f>
        <v/>
      </c>
      <c r="AS1017">
        <f>HYPERLINK("https://creighton-primo.hosted.exlibrisgroup.com/primo-explore/search?tab=default_tab&amp;search_scope=EVERYTHING&amp;vid=01CRU&amp;lang=en_US&amp;offset=0&amp;query=any,contains,991004549519702656","Catalog Record")</f>
        <v/>
      </c>
      <c r="AT1017">
        <f>HYPERLINK("http://www.worldcat.org/oclc/19847336","WorldCat Record")</f>
        <v/>
      </c>
      <c r="AU1017" t="inlineStr">
        <is>
          <t>21933621:eng</t>
        </is>
      </c>
      <c r="AV1017" t="inlineStr">
        <is>
          <t>19847336</t>
        </is>
      </c>
      <c r="AW1017" t="inlineStr">
        <is>
          <t>991004549519702656</t>
        </is>
      </c>
      <c r="AX1017" t="inlineStr">
        <is>
          <t>991004549519702656</t>
        </is>
      </c>
      <c r="AY1017" t="inlineStr">
        <is>
          <t>2262733370002656</t>
        </is>
      </c>
      <c r="AZ1017" t="inlineStr">
        <is>
          <t>BOOK</t>
        </is>
      </c>
      <c r="BB1017" t="inlineStr">
        <is>
          <t>9780812281460</t>
        </is>
      </c>
      <c r="BC1017" t="inlineStr">
        <is>
          <t>32285005035794</t>
        </is>
      </c>
      <c r="BD1017" t="inlineStr">
        <is>
          <t>893628222</t>
        </is>
      </c>
    </row>
    <row r="1018">
      <c r="A1018" t="inlineStr">
        <is>
          <t>No</t>
        </is>
      </c>
      <c r="B1018" t="inlineStr">
        <is>
          <t>PS366.A88 R4 2001</t>
        </is>
      </c>
      <c r="C1018" t="inlineStr">
        <is>
          <t>0                      PS 0366000A  88                 R  4           2001</t>
        </is>
      </c>
      <c r="D1018" t="inlineStr">
        <is>
          <t>Mapping the private geography : autobiography, identity, and America / Gerri Reaves.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K1018" t="inlineStr">
        <is>
          <t>Reaves, Gerri, 1951-</t>
        </is>
      </c>
      <c r="L1018" t="inlineStr">
        <is>
          <t>Jefferson, N.C. : McFarland, c2001.</t>
        </is>
      </c>
      <c r="M1018" t="inlineStr">
        <is>
          <t>2001</t>
        </is>
      </c>
      <c r="O1018" t="inlineStr">
        <is>
          <t>eng</t>
        </is>
      </c>
      <c r="P1018" t="inlineStr">
        <is>
          <t>ncu</t>
        </is>
      </c>
      <c r="R1018" t="inlineStr">
        <is>
          <t xml:space="preserve">PS </t>
        </is>
      </c>
      <c r="S1018" t="n">
        <v>1</v>
      </c>
      <c r="T1018" t="n">
        <v>1</v>
      </c>
      <c r="U1018" t="inlineStr">
        <is>
          <t>2001-10-18</t>
        </is>
      </c>
      <c r="V1018" t="inlineStr">
        <is>
          <t>2001-10-18</t>
        </is>
      </c>
      <c r="W1018" t="inlineStr">
        <is>
          <t>2001-10-18</t>
        </is>
      </c>
      <c r="X1018" t="inlineStr">
        <is>
          <t>2001-10-18</t>
        </is>
      </c>
      <c r="Y1018" t="n">
        <v>235</v>
      </c>
      <c r="Z1018" t="n">
        <v>200</v>
      </c>
      <c r="AA1018" t="n">
        <v>203</v>
      </c>
      <c r="AB1018" t="n">
        <v>3</v>
      </c>
      <c r="AC1018" t="n">
        <v>3</v>
      </c>
      <c r="AD1018" t="n">
        <v>11</v>
      </c>
      <c r="AE1018" t="n">
        <v>11</v>
      </c>
      <c r="AF1018" t="n">
        <v>1</v>
      </c>
      <c r="AG1018" t="n">
        <v>1</v>
      </c>
      <c r="AH1018" t="n">
        <v>4</v>
      </c>
      <c r="AI1018" t="n">
        <v>4</v>
      </c>
      <c r="AJ1018" t="n">
        <v>7</v>
      </c>
      <c r="AK1018" t="n">
        <v>7</v>
      </c>
      <c r="AL1018" t="n">
        <v>2</v>
      </c>
      <c r="AM1018" t="n">
        <v>2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HYPERLINK("http://catalog.hathitrust.org/Record/004143269","HathiTrust Record")</f>
        <v/>
      </c>
      <c r="AS1018">
        <f>HYPERLINK("https://creighton-primo.hosted.exlibrisgroup.com/primo-explore/search?tab=default_tab&amp;search_scope=EVERYTHING&amp;vid=01CRU&amp;lang=en_US&amp;offset=0&amp;query=any,contains,991003635929702656","Catalog Record")</f>
        <v/>
      </c>
      <c r="AT1018">
        <f>HYPERLINK("http://www.worldcat.org/oclc/44693983","WorldCat Record")</f>
        <v/>
      </c>
      <c r="AU1018" t="inlineStr">
        <is>
          <t>229869208:eng</t>
        </is>
      </c>
      <c r="AV1018" t="inlineStr">
        <is>
          <t>44693983</t>
        </is>
      </c>
      <c r="AW1018" t="inlineStr">
        <is>
          <t>991003635929702656</t>
        </is>
      </c>
      <c r="AX1018" t="inlineStr">
        <is>
          <t>991003635929702656</t>
        </is>
      </c>
      <c r="AY1018" t="inlineStr">
        <is>
          <t>2270835560002656</t>
        </is>
      </c>
      <c r="AZ1018" t="inlineStr">
        <is>
          <t>BOOK</t>
        </is>
      </c>
      <c r="BB1018" t="inlineStr">
        <is>
          <t>9780786408771</t>
        </is>
      </c>
      <c r="BC1018" t="inlineStr">
        <is>
          <t>32285004398102</t>
        </is>
      </c>
      <c r="BD1018" t="inlineStr">
        <is>
          <t>893904450</t>
        </is>
      </c>
    </row>
    <row r="1019">
      <c r="A1019" t="inlineStr">
        <is>
          <t>No</t>
        </is>
      </c>
      <c r="B1019" t="inlineStr">
        <is>
          <t>PS366.E58 T42 1985</t>
        </is>
      </c>
      <c r="C1019" t="inlineStr">
        <is>
          <t>0                      PS 0366000E  58                 T  42          1985</t>
        </is>
      </c>
      <c r="D1019" t="inlineStr">
        <is>
          <t>Teaching environmental literature : materials, methods, resources / edited by Frederick O. Waage.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L1019" t="inlineStr">
        <is>
          <t>New York : Modern Language Association of America, 1985.</t>
        </is>
      </c>
      <c r="M1019" t="inlineStr">
        <is>
          <t>1985</t>
        </is>
      </c>
      <c r="O1019" t="inlineStr">
        <is>
          <t>eng</t>
        </is>
      </c>
      <c r="P1019" t="inlineStr">
        <is>
          <t>nyu</t>
        </is>
      </c>
      <c r="Q1019" t="inlineStr">
        <is>
          <t>Options for teaching ; 7</t>
        </is>
      </c>
      <c r="R1019" t="inlineStr">
        <is>
          <t xml:space="preserve">PS </t>
        </is>
      </c>
      <c r="S1019" t="n">
        <v>1</v>
      </c>
      <c r="T1019" t="n">
        <v>1</v>
      </c>
      <c r="U1019" t="inlineStr">
        <is>
          <t>2004-05-10</t>
        </is>
      </c>
      <c r="V1019" t="inlineStr">
        <is>
          <t>2004-05-10</t>
        </is>
      </c>
      <c r="W1019" t="inlineStr">
        <is>
          <t>1992-08-24</t>
        </is>
      </c>
      <c r="X1019" t="inlineStr">
        <is>
          <t>1992-08-24</t>
        </is>
      </c>
      <c r="Y1019" t="n">
        <v>364</v>
      </c>
      <c r="Z1019" t="n">
        <v>335</v>
      </c>
      <c r="AA1019" t="n">
        <v>340</v>
      </c>
      <c r="AB1019" t="n">
        <v>3</v>
      </c>
      <c r="AC1019" t="n">
        <v>3</v>
      </c>
      <c r="AD1019" t="n">
        <v>19</v>
      </c>
      <c r="AE1019" t="n">
        <v>19</v>
      </c>
      <c r="AF1019" t="n">
        <v>5</v>
      </c>
      <c r="AG1019" t="n">
        <v>5</v>
      </c>
      <c r="AH1019" t="n">
        <v>4</v>
      </c>
      <c r="AI1019" t="n">
        <v>4</v>
      </c>
      <c r="AJ1019" t="n">
        <v>11</v>
      </c>
      <c r="AK1019" t="n">
        <v>11</v>
      </c>
      <c r="AL1019" t="n">
        <v>2</v>
      </c>
      <c r="AM1019" t="n">
        <v>2</v>
      </c>
      <c r="AN1019" t="n">
        <v>0</v>
      </c>
      <c r="AO1019" t="n">
        <v>0</v>
      </c>
      <c r="AP1019" t="inlineStr">
        <is>
          <t>No</t>
        </is>
      </c>
      <c r="AQ1019" t="inlineStr">
        <is>
          <t>No</t>
        </is>
      </c>
      <c r="AS1019">
        <f>HYPERLINK("https://creighton-primo.hosted.exlibrisgroup.com/primo-explore/search?tab=default_tab&amp;search_scope=EVERYTHING&amp;vid=01CRU&amp;lang=en_US&amp;offset=0&amp;query=any,contains,991000550449702656","Catalog Record")</f>
        <v/>
      </c>
      <c r="AT1019">
        <f>HYPERLINK("http://www.worldcat.org/oclc/11533043","WorldCat Record")</f>
        <v/>
      </c>
      <c r="AU1019" t="inlineStr">
        <is>
          <t>4154216:eng</t>
        </is>
      </c>
      <c r="AV1019" t="inlineStr">
        <is>
          <t>11533043</t>
        </is>
      </c>
      <c r="AW1019" t="inlineStr">
        <is>
          <t>991000550449702656</t>
        </is>
      </c>
      <c r="AX1019" t="inlineStr">
        <is>
          <t>991000550449702656</t>
        </is>
      </c>
      <c r="AY1019" t="inlineStr">
        <is>
          <t>2258268150002656</t>
        </is>
      </c>
      <c r="AZ1019" t="inlineStr">
        <is>
          <t>BOOK</t>
        </is>
      </c>
      <c r="BB1019" t="inlineStr">
        <is>
          <t>9780873523097</t>
        </is>
      </c>
      <c r="BC1019" t="inlineStr">
        <is>
          <t>32285001271286</t>
        </is>
      </c>
      <c r="BD1019" t="inlineStr">
        <is>
          <t>893255524</t>
        </is>
      </c>
    </row>
    <row r="1020">
      <c r="A1020" t="inlineStr">
        <is>
          <t>No</t>
        </is>
      </c>
      <c r="B1020" t="inlineStr">
        <is>
          <t>PS366.T73 P75 1996</t>
        </is>
      </c>
      <c r="C1020" t="inlineStr">
        <is>
          <t>0                      PS 0366000T  73                 P  75          1996</t>
        </is>
      </c>
      <c r="D1020" t="inlineStr">
        <is>
          <t>Romance of the road : the literature of the American highway / Ronald Primeau.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Primeau, Ronald.</t>
        </is>
      </c>
      <c r="L1020" t="inlineStr">
        <is>
          <t>Bowling Green, OH : Bowling Green State University Popular Press, c1996.</t>
        </is>
      </c>
      <c r="M1020" t="inlineStr">
        <is>
          <t>1996</t>
        </is>
      </c>
      <c r="O1020" t="inlineStr">
        <is>
          <t>eng</t>
        </is>
      </c>
      <c r="P1020" t="inlineStr">
        <is>
          <t>ohu</t>
        </is>
      </c>
      <c r="R1020" t="inlineStr">
        <is>
          <t xml:space="preserve">PS </t>
        </is>
      </c>
      <c r="S1020" t="n">
        <v>3</v>
      </c>
      <c r="T1020" t="n">
        <v>3</v>
      </c>
      <c r="U1020" t="inlineStr">
        <is>
          <t>2001-12-02</t>
        </is>
      </c>
      <c r="V1020" t="inlineStr">
        <is>
          <t>2001-12-02</t>
        </is>
      </c>
      <c r="W1020" t="inlineStr">
        <is>
          <t>1996-11-12</t>
        </is>
      </c>
      <c r="X1020" t="inlineStr">
        <is>
          <t>1996-11-12</t>
        </is>
      </c>
      <c r="Y1020" t="n">
        <v>339</v>
      </c>
      <c r="Z1020" t="n">
        <v>292</v>
      </c>
      <c r="AA1020" t="n">
        <v>294</v>
      </c>
      <c r="AB1020" t="n">
        <v>4</v>
      </c>
      <c r="AC1020" t="n">
        <v>4</v>
      </c>
      <c r="AD1020" t="n">
        <v>12</v>
      </c>
      <c r="AE1020" t="n">
        <v>12</v>
      </c>
      <c r="AF1020" t="n">
        <v>3</v>
      </c>
      <c r="AG1020" t="n">
        <v>3</v>
      </c>
      <c r="AH1020" t="n">
        <v>3</v>
      </c>
      <c r="AI1020" t="n">
        <v>3</v>
      </c>
      <c r="AJ1020" t="n">
        <v>7</v>
      </c>
      <c r="AK1020" t="n">
        <v>7</v>
      </c>
      <c r="AL1020" t="n">
        <v>3</v>
      </c>
      <c r="AM1020" t="n">
        <v>3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HYPERLINK("http://catalog.hathitrust.org/Record/003067501","HathiTrust Record")</f>
        <v/>
      </c>
      <c r="AS1020">
        <f>HYPERLINK("https://creighton-primo.hosted.exlibrisgroup.com/primo-explore/search?tab=default_tab&amp;search_scope=EVERYTHING&amp;vid=01CRU&amp;lang=en_US&amp;offset=0&amp;query=any,contains,991002616389702656","Catalog Record")</f>
        <v/>
      </c>
      <c r="AT1020">
        <f>HYPERLINK("http://www.worldcat.org/oclc/34285087","WorldCat Record")</f>
        <v/>
      </c>
      <c r="AU1020" t="inlineStr">
        <is>
          <t>334979602:eng</t>
        </is>
      </c>
      <c r="AV1020" t="inlineStr">
        <is>
          <t>34285087</t>
        </is>
      </c>
      <c r="AW1020" t="inlineStr">
        <is>
          <t>991002616389702656</t>
        </is>
      </c>
      <c r="AX1020" t="inlineStr">
        <is>
          <t>991002616389702656</t>
        </is>
      </c>
      <c r="AY1020" t="inlineStr">
        <is>
          <t>2258282650002656</t>
        </is>
      </c>
      <c r="AZ1020" t="inlineStr">
        <is>
          <t>BOOK</t>
        </is>
      </c>
      <c r="BB1020" t="inlineStr">
        <is>
          <t>9780879726973</t>
        </is>
      </c>
      <c r="BC1020" t="inlineStr">
        <is>
          <t>32285002371945</t>
        </is>
      </c>
      <c r="BD1020" t="inlineStr">
        <is>
          <t>893773813</t>
        </is>
      </c>
    </row>
    <row r="1021">
      <c r="A1021" t="inlineStr">
        <is>
          <t>No</t>
        </is>
      </c>
      <c r="B1021" t="inlineStr">
        <is>
          <t>PS366.W58 L3 1986</t>
        </is>
      </c>
      <c r="C1021" t="inlineStr">
        <is>
          <t>0                      PS 0366000W  58                 L  3           1986</t>
        </is>
      </c>
      <c r="D1021" t="inlineStr">
        <is>
          <t>Elegant Jeremiahs : the sage from Carlyle to Mailer / George P. Landow.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Landow, George P.</t>
        </is>
      </c>
      <c r="L1021" t="inlineStr">
        <is>
          <t>Ithaca : Cornell University Press, 1986.</t>
        </is>
      </c>
      <c r="M1021" t="inlineStr">
        <is>
          <t>1986</t>
        </is>
      </c>
      <c r="O1021" t="inlineStr">
        <is>
          <t>eng</t>
        </is>
      </c>
      <c r="P1021" t="inlineStr">
        <is>
          <t>nyu</t>
        </is>
      </c>
      <c r="R1021" t="inlineStr">
        <is>
          <t xml:space="preserve">PS </t>
        </is>
      </c>
      <c r="S1021" t="n">
        <v>3</v>
      </c>
      <c r="T1021" t="n">
        <v>3</v>
      </c>
      <c r="U1021" t="inlineStr">
        <is>
          <t>1995-09-09</t>
        </is>
      </c>
      <c r="V1021" t="inlineStr">
        <is>
          <t>1995-09-09</t>
        </is>
      </c>
      <c r="W1021" t="inlineStr">
        <is>
          <t>1992-08-24</t>
        </is>
      </c>
      <c r="X1021" t="inlineStr">
        <is>
          <t>1992-08-24</t>
        </is>
      </c>
      <c r="Y1021" t="n">
        <v>481</v>
      </c>
      <c r="Z1021" t="n">
        <v>410</v>
      </c>
      <c r="AA1021" t="n">
        <v>457</v>
      </c>
      <c r="AB1021" t="n">
        <v>4</v>
      </c>
      <c r="AC1021" t="n">
        <v>4</v>
      </c>
      <c r="AD1021" t="n">
        <v>24</v>
      </c>
      <c r="AE1021" t="n">
        <v>25</v>
      </c>
      <c r="AF1021" t="n">
        <v>8</v>
      </c>
      <c r="AG1021" t="n">
        <v>9</v>
      </c>
      <c r="AH1021" t="n">
        <v>7</v>
      </c>
      <c r="AI1021" t="n">
        <v>7</v>
      </c>
      <c r="AJ1021" t="n">
        <v>13</v>
      </c>
      <c r="AK1021" t="n">
        <v>14</v>
      </c>
      <c r="AL1021" t="n">
        <v>3</v>
      </c>
      <c r="AM1021" t="n">
        <v>3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HYPERLINK("http://catalog.hathitrust.org/Record/000396631","HathiTrust Record")</f>
        <v/>
      </c>
      <c r="AS1021">
        <f>HYPERLINK("https://creighton-primo.hosted.exlibrisgroup.com/primo-explore/search?tab=default_tab&amp;search_scope=EVERYTHING&amp;vid=01CRU&amp;lang=en_US&amp;offset=0&amp;query=any,contains,991000994759702656","Catalog Record")</f>
        <v/>
      </c>
      <c r="AT1021">
        <f>HYPERLINK("http://www.worldcat.org/oclc/13947758","WorldCat Record")</f>
        <v/>
      </c>
      <c r="AU1021" t="inlineStr">
        <is>
          <t>312193998:eng</t>
        </is>
      </c>
      <c r="AV1021" t="inlineStr">
        <is>
          <t>13947758</t>
        </is>
      </c>
      <c r="AW1021" t="inlineStr">
        <is>
          <t>991000994759702656</t>
        </is>
      </c>
      <c r="AX1021" t="inlineStr">
        <is>
          <t>991000994759702656</t>
        </is>
      </c>
      <c r="AY1021" t="inlineStr">
        <is>
          <t>2255103400002656</t>
        </is>
      </c>
      <c r="AZ1021" t="inlineStr">
        <is>
          <t>BOOK</t>
        </is>
      </c>
      <c r="BB1021" t="inlineStr">
        <is>
          <t>9780801419058</t>
        </is>
      </c>
      <c r="BC1021" t="inlineStr">
        <is>
          <t>32285001271294</t>
        </is>
      </c>
      <c r="BD1021" t="inlineStr">
        <is>
          <t>893438780</t>
        </is>
      </c>
    </row>
    <row r="1022">
      <c r="A1022" t="inlineStr">
        <is>
          <t>No</t>
        </is>
      </c>
      <c r="B1022" t="inlineStr">
        <is>
          <t>PS368 .G87</t>
        </is>
      </c>
      <c r="C1022" t="inlineStr">
        <is>
          <t>0                      PS 0368000G  87</t>
        </is>
      </c>
      <c r="D1022" t="inlineStr">
        <is>
          <t>The wisdom of words : language, theology, and literature in the New England renaissance / Philip F. Gura.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K1022" t="inlineStr">
        <is>
          <t>Gura, Philip F., 1950-</t>
        </is>
      </c>
      <c r="L1022" t="inlineStr">
        <is>
          <t>Middletown, Conn. : Wesleyan University Press ; Irvington, NY : distributed by Columbia University Press, c1981.</t>
        </is>
      </c>
      <c r="M1022" t="inlineStr">
        <is>
          <t>1981</t>
        </is>
      </c>
      <c r="N1022" t="inlineStr">
        <is>
          <t>1st ed.</t>
        </is>
      </c>
      <c r="O1022" t="inlineStr">
        <is>
          <t>eng</t>
        </is>
      </c>
      <c r="P1022" t="inlineStr">
        <is>
          <t>ctu</t>
        </is>
      </c>
      <c r="R1022" t="inlineStr">
        <is>
          <t xml:space="preserve">PS </t>
        </is>
      </c>
      <c r="S1022" t="n">
        <v>1</v>
      </c>
      <c r="T1022" t="n">
        <v>1</v>
      </c>
      <c r="U1022" t="inlineStr">
        <is>
          <t>2001-03-18</t>
        </is>
      </c>
      <c r="V1022" t="inlineStr">
        <is>
          <t>2001-03-18</t>
        </is>
      </c>
      <c r="W1022" t="inlineStr">
        <is>
          <t>1992-08-24</t>
        </is>
      </c>
      <c r="X1022" t="inlineStr">
        <is>
          <t>1992-08-24</t>
        </is>
      </c>
      <c r="Y1022" t="n">
        <v>760</v>
      </c>
      <c r="Z1022" t="n">
        <v>674</v>
      </c>
      <c r="AA1022" t="n">
        <v>703</v>
      </c>
      <c r="AB1022" t="n">
        <v>8</v>
      </c>
      <c r="AC1022" t="n">
        <v>8</v>
      </c>
      <c r="AD1022" t="n">
        <v>36</v>
      </c>
      <c r="AE1022" t="n">
        <v>38</v>
      </c>
      <c r="AF1022" t="n">
        <v>13</v>
      </c>
      <c r="AG1022" t="n">
        <v>13</v>
      </c>
      <c r="AH1022" t="n">
        <v>7</v>
      </c>
      <c r="AI1022" t="n">
        <v>8</v>
      </c>
      <c r="AJ1022" t="n">
        <v>16</v>
      </c>
      <c r="AK1022" t="n">
        <v>18</v>
      </c>
      <c r="AL1022" t="n">
        <v>7</v>
      </c>
      <c r="AM1022" t="n">
        <v>7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HYPERLINK("http://catalog.hathitrust.org/Record/000139356","HathiTrust Record")</f>
        <v/>
      </c>
      <c r="AS1022">
        <f>HYPERLINK("https://creighton-primo.hosted.exlibrisgroup.com/primo-explore/search?tab=default_tab&amp;search_scope=EVERYTHING&amp;vid=01CRU&amp;lang=en_US&amp;offset=0&amp;query=any,contains,991005050139702656","Catalog Record")</f>
        <v/>
      </c>
      <c r="AT1022">
        <f>HYPERLINK("http://www.worldcat.org/oclc/6864119","WorldCat Record")</f>
        <v/>
      </c>
      <c r="AU1022" t="inlineStr">
        <is>
          <t>7607430:eng</t>
        </is>
      </c>
      <c r="AV1022" t="inlineStr">
        <is>
          <t>6864119</t>
        </is>
      </c>
      <c r="AW1022" t="inlineStr">
        <is>
          <t>991005050139702656</t>
        </is>
      </c>
      <c r="AX1022" t="inlineStr">
        <is>
          <t>991005050139702656</t>
        </is>
      </c>
      <c r="AY1022" t="inlineStr">
        <is>
          <t>2269592130002656</t>
        </is>
      </c>
      <c r="AZ1022" t="inlineStr">
        <is>
          <t>BOOK</t>
        </is>
      </c>
      <c r="BB1022" t="inlineStr">
        <is>
          <t>9780819550538</t>
        </is>
      </c>
      <c r="BC1022" t="inlineStr">
        <is>
          <t>32285001271302</t>
        </is>
      </c>
      <c r="BD1022" t="inlineStr">
        <is>
          <t>893326087</t>
        </is>
      </c>
    </row>
    <row r="1023">
      <c r="A1023" t="inlineStr">
        <is>
          <t>No</t>
        </is>
      </c>
      <c r="B1023" t="inlineStr">
        <is>
          <t>PS369 .L68 1990</t>
        </is>
      </c>
      <c r="C1023" t="inlineStr">
        <is>
          <t>0                      PS 0369000L  68          1990</t>
        </is>
      </c>
      <c r="D1023" t="inlineStr">
        <is>
          <t>The art of fact : contemporary artists of nonfiction / Barbara Lounsberry.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K1023" t="inlineStr">
        <is>
          <t>Lounsberry, Barbara.</t>
        </is>
      </c>
      <c r="L1023" t="inlineStr">
        <is>
          <t>New York : Greenwood Press, 1990.</t>
        </is>
      </c>
      <c r="M1023" t="inlineStr">
        <is>
          <t>1990</t>
        </is>
      </c>
      <c r="O1023" t="inlineStr">
        <is>
          <t>eng</t>
        </is>
      </c>
      <c r="P1023" t="inlineStr">
        <is>
          <t>nyu</t>
        </is>
      </c>
      <c r="Q1023" t="inlineStr">
        <is>
          <t>Contributions to the study of world literature, 0738-9345 ; no. 35</t>
        </is>
      </c>
      <c r="R1023" t="inlineStr">
        <is>
          <t xml:space="preserve">PS </t>
        </is>
      </c>
      <c r="S1023" t="n">
        <v>3</v>
      </c>
      <c r="T1023" t="n">
        <v>3</v>
      </c>
      <c r="U1023" t="inlineStr">
        <is>
          <t>1997-04-02</t>
        </is>
      </c>
      <c r="V1023" t="inlineStr">
        <is>
          <t>1997-04-02</t>
        </is>
      </c>
      <c r="W1023" t="inlineStr">
        <is>
          <t>1991-04-09</t>
        </is>
      </c>
      <c r="X1023" t="inlineStr">
        <is>
          <t>1991-04-09</t>
        </is>
      </c>
      <c r="Y1023" t="n">
        <v>541</v>
      </c>
      <c r="Z1023" t="n">
        <v>480</v>
      </c>
      <c r="AA1023" t="n">
        <v>486</v>
      </c>
      <c r="AB1023" t="n">
        <v>3</v>
      </c>
      <c r="AC1023" t="n">
        <v>3</v>
      </c>
      <c r="AD1023" t="n">
        <v>19</v>
      </c>
      <c r="AE1023" t="n">
        <v>19</v>
      </c>
      <c r="AF1023" t="n">
        <v>5</v>
      </c>
      <c r="AG1023" t="n">
        <v>5</v>
      </c>
      <c r="AH1023" t="n">
        <v>5</v>
      </c>
      <c r="AI1023" t="n">
        <v>5</v>
      </c>
      <c r="AJ1023" t="n">
        <v>12</v>
      </c>
      <c r="AK1023" t="n">
        <v>12</v>
      </c>
      <c r="AL1023" t="n">
        <v>2</v>
      </c>
      <c r="AM1023" t="n">
        <v>2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HYPERLINK("http://catalog.hathitrust.org/Record/002059357","HathiTrust Record")</f>
        <v/>
      </c>
      <c r="AS1023">
        <f>HYPERLINK("https://creighton-primo.hosted.exlibrisgroup.com/primo-explore/search?tab=default_tab&amp;search_scope=EVERYTHING&amp;vid=01CRU&amp;lang=en_US&amp;offset=0&amp;query=any,contains,991001551179702656","Catalog Record")</f>
        <v/>
      </c>
      <c r="AT1023">
        <f>HYPERLINK("http://www.worldcat.org/oclc/20220281","WorldCat Record")</f>
        <v/>
      </c>
      <c r="AU1023" t="inlineStr">
        <is>
          <t>836724536:eng</t>
        </is>
      </c>
      <c r="AV1023" t="inlineStr">
        <is>
          <t>20220281</t>
        </is>
      </c>
      <c r="AW1023" t="inlineStr">
        <is>
          <t>991001551179702656</t>
        </is>
      </c>
      <c r="AX1023" t="inlineStr">
        <is>
          <t>991001551179702656</t>
        </is>
      </c>
      <c r="AY1023" t="inlineStr">
        <is>
          <t>2261323330002656</t>
        </is>
      </c>
      <c r="AZ1023" t="inlineStr">
        <is>
          <t>BOOK</t>
        </is>
      </c>
      <c r="BB1023" t="inlineStr">
        <is>
          <t>9780313268939</t>
        </is>
      </c>
      <c r="BC1023" t="inlineStr">
        <is>
          <t>32285000567031</t>
        </is>
      </c>
      <c r="BD1023" t="inlineStr">
        <is>
          <t>893439203</t>
        </is>
      </c>
    </row>
    <row r="1024">
      <c r="A1024" t="inlineStr">
        <is>
          <t>No</t>
        </is>
      </c>
      <c r="B1024" t="inlineStr">
        <is>
          <t>PS369 .S76 1988</t>
        </is>
      </c>
      <c r="C1024" t="inlineStr">
        <is>
          <t>0                      PS 0369000S  76          1988</t>
        </is>
      </c>
      <c r="D1024" t="inlineStr">
        <is>
          <t>The self-conscious novel : artifice in fiction from Joyce to Pynchon / Brian Stonehill.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K1024" t="inlineStr">
        <is>
          <t>Stonehill, Brian.</t>
        </is>
      </c>
      <c r="L1024" t="inlineStr">
        <is>
          <t>Philadelphia : University of Pennsylvania Press, c1988.</t>
        </is>
      </c>
      <c r="M1024" t="inlineStr">
        <is>
          <t>1988</t>
        </is>
      </c>
      <c r="O1024" t="inlineStr">
        <is>
          <t>eng</t>
        </is>
      </c>
      <c r="P1024" t="inlineStr">
        <is>
          <t>pau</t>
        </is>
      </c>
      <c r="Q1024" t="inlineStr">
        <is>
          <t>Penn studies in contemporary American fiction</t>
        </is>
      </c>
      <c r="R1024" t="inlineStr">
        <is>
          <t xml:space="preserve">PS </t>
        </is>
      </c>
      <c r="S1024" t="n">
        <v>1</v>
      </c>
      <c r="T1024" t="n">
        <v>1</v>
      </c>
      <c r="U1024" t="inlineStr">
        <is>
          <t>2004-04-13</t>
        </is>
      </c>
      <c r="V1024" t="inlineStr">
        <is>
          <t>2004-04-13</t>
        </is>
      </c>
      <c r="W1024" t="inlineStr">
        <is>
          <t>2004-04-13</t>
        </is>
      </c>
      <c r="X1024" t="inlineStr">
        <is>
          <t>2004-04-13</t>
        </is>
      </c>
      <c r="Y1024" t="n">
        <v>559</v>
      </c>
      <c r="Z1024" t="n">
        <v>473</v>
      </c>
      <c r="AA1024" t="n">
        <v>708</v>
      </c>
      <c r="AB1024" t="n">
        <v>3</v>
      </c>
      <c r="AC1024" t="n">
        <v>3</v>
      </c>
      <c r="AD1024" t="n">
        <v>28</v>
      </c>
      <c r="AE1024" t="n">
        <v>36</v>
      </c>
      <c r="AF1024" t="n">
        <v>8</v>
      </c>
      <c r="AG1024" t="n">
        <v>15</v>
      </c>
      <c r="AH1024" t="n">
        <v>8</v>
      </c>
      <c r="AI1024" t="n">
        <v>10</v>
      </c>
      <c r="AJ1024" t="n">
        <v>17</v>
      </c>
      <c r="AK1024" t="n">
        <v>19</v>
      </c>
      <c r="AL1024" t="n">
        <v>2</v>
      </c>
      <c r="AM1024" t="n">
        <v>2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HYPERLINK("http://catalog.hathitrust.org/Record/000905052","HathiTrust Record")</f>
        <v/>
      </c>
      <c r="AS1024">
        <f>HYPERLINK("https://creighton-primo.hosted.exlibrisgroup.com/primo-explore/search?tab=default_tab&amp;search_scope=EVERYTHING&amp;vid=01CRU&amp;lang=en_US&amp;offset=0&amp;query=any,contains,991004280959702656","Catalog Record")</f>
        <v/>
      </c>
      <c r="AT1024">
        <f>HYPERLINK("http://www.worldcat.org/oclc/17106756","WorldCat Record")</f>
        <v/>
      </c>
      <c r="AU1024" t="inlineStr">
        <is>
          <t>13204113:eng</t>
        </is>
      </c>
      <c r="AV1024" t="inlineStr">
        <is>
          <t>17106756</t>
        </is>
      </c>
      <c r="AW1024" t="inlineStr">
        <is>
          <t>991004280959702656</t>
        </is>
      </c>
      <c r="AX1024" t="inlineStr">
        <is>
          <t>991004280959702656</t>
        </is>
      </c>
      <c r="AY1024" t="inlineStr">
        <is>
          <t>2270313260002656</t>
        </is>
      </c>
      <c r="AZ1024" t="inlineStr">
        <is>
          <t>BOOK</t>
        </is>
      </c>
      <c r="BB1024" t="inlineStr">
        <is>
          <t>9780812280982</t>
        </is>
      </c>
      <c r="BC1024" t="inlineStr">
        <is>
          <t>32285004899182</t>
        </is>
      </c>
      <c r="BD1024" t="inlineStr">
        <is>
          <t>893442427</t>
        </is>
      </c>
    </row>
    <row r="1025">
      <c r="A1025" t="inlineStr">
        <is>
          <t>No</t>
        </is>
      </c>
      <c r="B1025" t="inlineStr">
        <is>
          <t>PS371 .A2 1961</t>
        </is>
      </c>
      <c r="C1025" t="inlineStr">
        <is>
          <t>0                      PS 0371000A  2           1961</t>
        </is>
      </c>
      <c r="D1025" t="inlineStr">
        <is>
          <t>The beginnings of naturalism in American fiction : a study of the works of Hamlin Garland, Stephen Crane, and Frank Norris, with special reference to some European influences, 1891-1903.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K1025" t="inlineStr">
        <is>
          <t>Åhnebrink, Lars.</t>
        </is>
      </c>
      <c r="L1025" t="inlineStr">
        <is>
          <t>New York : Russell &amp; Russell, 1961.</t>
        </is>
      </c>
      <c r="M1025" t="inlineStr">
        <is>
          <t>1961</t>
        </is>
      </c>
      <c r="O1025" t="inlineStr">
        <is>
          <t>eng</t>
        </is>
      </c>
      <c r="P1025" t="inlineStr">
        <is>
          <t>nyu</t>
        </is>
      </c>
      <c r="Q1025" t="inlineStr">
        <is>
          <t>Essays and studies on American language and literature ; 9</t>
        </is>
      </c>
      <c r="R1025" t="inlineStr">
        <is>
          <t xml:space="preserve">PS </t>
        </is>
      </c>
      <c r="S1025" t="n">
        <v>22</v>
      </c>
      <c r="T1025" t="n">
        <v>22</v>
      </c>
      <c r="U1025" t="inlineStr">
        <is>
          <t>2007-11-12</t>
        </is>
      </c>
      <c r="V1025" t="inlineStr">
        <is>
          <t>2007-11-12</t>
        </is>
      </c>
      <c r="W1025" t="inlineStr">
        <is>
          <t>1992-03-26</t>
        </is>
      </c>
      <c r="X1025" t="inlineStr">
        <is>
          <t>1992-03-26</t>
        </is>
      </c>
      <c r="Y1025" t="n">
        <v>1073</v>
      </c>
      <c r="Z1025" t="n">
        <v>959</v>
      </c>
      <c r="AA1025" t="n">
        <v>1000</v>
      </c>
      <c r="AB1025" t="n">
        <v>10</v>
      </c>
      <c r="AC1025" t="n">
        <v>10</v>
      </c>
      <c r="AD1025" t="n">
        <v>39</v>
      </c>
      <c r="AE1025" t="n">
        <v>40</v>
      </c>
      <c r="AF1025" t="n">
        <v>16</v>
      </c>
      <c r="AG1025" t="n">
        <v>17</v>
      </c>
      <c r="AH1025" t="n">
        <v>8</v>
      </c>
      <c r="AI1025" t="n">
        <v>8</v>
      </c>
      <c r="AJ1025" t="n">
        <v>13</v>
      </c>
      <c r="AK1025" t="n">
        <v>14</v>
      </c>
      <c r="AL1025" t="n">
        <v>8</v>
      </c>
      <c r="AM1025" t="n">
        <v>8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HYPERLINK("http://catalog.hathitrust.org/Record/001026628","HathiTrust Record")</f>
        <v/>
      </c>
      <c r="AS1025">
        <f>HYPERLINK("https://creighton-primo.hosted.exlibrisgroup.com/primo-explore/search?tab=default_tab&amp;search_scope=EVERYTHING&amp;vid=01CRU&amp;lang=en_US&amp;offset=0&amp;query=any,contains,991003428019702656","Catalog Record")</f>
        <v/>
      </c>
      <c r="AT1025">
        <f>HYPERLINK("http://www.worldcat.org/oclc/964956","WorldCat Record")</f>
        <v/>
      </c>
      <c r="AU1025" t="inlineStr">
        <is>
          <t>10076262604:eng</t>
        </is>
      </c>
      <c r="AV1025" t="inlineStr">
        <is>
          <t>964956</t>
        </is>
      </c>
      <c r="AW1025" t="inlineStr">
        <is>
          <t>991003428019702656</t>
        </is>
      </c>
      <c r="AX1025" t="inlineStr">
        <is>
          <t>991003428019702656</t>
        </is>
      </c>
      <c r="AY1025" t="inlineStr">
        <is>
          <t>2261753420002656</t>
        </is>
      </c>
      <c r="AZ1025" t="inlineStr">
        <is>
          <t>BOOK</t>
        </is>
      </c>
      <c r="BC1025" t="inlineStr">
        <is>
          <t>32285001028967</t>
        </is>
      </c>
      <c r="BD1025" t="inlineStr">
        <is>
          <t>893874742</t>
        </is>
      </c>
    </row>
    <row r="1026">
      <c r="A1026" t="inlineStr">
        <is>
          <t>No</t>
        </is>
      </c>
      <c r="B1026" t="inlineStr">
        <is>
          <t>PS371 .B7 1966</t>
        </is>
      </c>
      <c r="C1026" t="inlineStr">
        <is>
          <t>0                      PS 0371000B  7           1966</t>
        </is>
      </c>
      <c r="D1026" t="inlineStr">
        <is>
          <t>The colloquial style in America.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Bridgman, Richard.</t>
        </is>
      </c>
      <c r="L1026" t="inlineStr">
        <is>
          <t>New York, Oxford University Press, 1966.</t>
        </is>
      </c>
      <c r="M1026" t="inlineStr">
        <is>
          <t>1966</t>
        </is>
      </c>
      <c r="O1026" t="inlineStr">
        <is>
          <t>eng</t>
        </is>
      </c>
      <c r="P1026" t="inlineStr">
        <is>
          <t>nyu</t>
        </is>
      </c>
      <c r="R1026" t="inlineStr">
        <is>
          <t xml:space="preserve">PS </t>
        </is>
      </c>
      <c r="S1026" t="n">
        <v>5</v>
      </c>
      <c r="T1026" t="n">
        <v>5</v>
      </c>
      <c r="U1026" t="inlineStr">
        <is>
          <t>2000-08-28</t>
        </is>
      </c>
      <c r="V1026" t="inlineStr">
        <is>
          <t>2000-08-28</t>
        </is>
      </c>
      <c r="W1026" t="inlineStr">
        <is>
          <t>1997-05-02</t>
        </is>
      </c>
      <c r="X1026" t="inlineStr">
        <is>
          <t>1997-05-02</t>
        </is>
      </c>
      <c r="Y1026" t="n">
        <v>1245</v>
      </c>
      <c r="Z1026" t="n">
        <v>1099</v>
      </c>
      <c r="AA1026" t="n">
        <v>1120</v>
      </c>
      <c r="AB1026" t="n">
        <v>7</v>
      </c>
      <c r="AC1026" t="n">
        <v>7</v>
      </c>
      <c r="AD1026" t="n">
        <v>44</v>
      </c>
      <c r="AE1026" t="n">
        <v>44</v>
      </c>
      <c r="AF1026" t="n">
        <v>17</v>
      </c>
      <c r="AG1026" t="n">
        <v>17</v>
      </c>
      <c r="AH1026" t="n">
        <v>10</v>
      </c>
      <c r="AI1026" t="n">
        <v>10</v>
      </c>
      <c r="AJ1026" t="n">
        <v>22</v>
      </c>
      <c r="AK1026" t="n">
        <v>22</v>
      </c>
      <c r="AL1026" t="n">
        <v>6</v>
      </c>
      <c r="AM1026" t="n">
        <v>6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Yes</t>
        </is>
      </c>
      <c r="AR1026">
        <f>HYPERLINK("http://catalog.hathitrust.org/Record/001113012","HathiTrust Record")</f>
        <v/>
      </c>
      <c r="AS1026">
        <f>HYPERLINK("https://creighton-primo.hosted.exlibrisgroup.com/primo-explore/search?tab=default_tab&amp;search_scope=EVERYTHING&amp;vid=01CRU&amp;lang=en_US&amp;offset=0&amp;query=any,contains,991001207509702656","Catalog Record")</f>
        <v/>
      </c>
      <c r="AT1026">
        <f>HYPERLINK("http://www.worldcat.org/oclc/192540","WorldCat Record")</f>
        <v/>
      </c>
      <c r="AU1026" t="inlineStr">
        <is>
          <t>1354368:eng</t>
        </is>
      </c>
      <c r="AV1026" t="inlineStr">
        <is>
          <t>192540</t>
        </is>
      </c>
      <c r="AW1026" t="inlineStr">
        <is>
          <t>991001207509702656</t>
        </is>
      </c>
      <c r="AX1026" t="inlineStr">
        <is>
          <t>991001207509702656</t>
        </is>
      </c>
      <c r="AY1026" t="inlineStr">
        <is>
          <t>2256240940002656</t>
        </is>
      </c>
      <c r="AZ1026" t="inlineStr">
        <is>
          <t>BOOK</t>
        </is>
      </c>
      <c r="BC1026" t="inlineStr">
        <is>
          <t>32285002636818</t>
        </is>
      </c>
      <c r="BD1026" t="inlineStr">
        <is>
          <t>893522387</t>
        </is>
      </c>
    </row>
    <row r="1027">
      <c r="A1027" t="inlineStr">
        <is>
          <t>No</t>
        </is>
      </c>
      <c r="B1027" t="inlineStr">
        <is>
          <t>PS371 .K55</t>
        </is>
      </c>
      <c r="C1027" t="inlineStr">
        <is>
          <t>0                      PS 0371000K  55</t>
        </is>
      </c>
      <c r="D1027" t="inlineStr">
        <is>
          <t>The practice of fiction in America : writers from Hawthorne to the present / Jerome Klinkowitz.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Klinkowitz, Jerome.</t>
        </is>
      </c>
      <c r="L1027" t="inlineStr">
        <is>
          <t>Ames : Iowa State University Press, 1980.</t>
        </is>
      </c>
      <c r="M1027" t="inlineStr">
        <is>
          <t>1980</t>
        </is>
      </c>
      <c r="N1027" t="inlineStr">
        <is>
          <t>1st ed.</t>
        </is>
      </c>
      <c r="O1027" t="inlineStr">
        <is>
          <t>eng</t>
        </is>
      </c>
      <c r="P1027" t="inlineStr">
        <is>
          <t>iau</t>
        </is>
      </c>
      <c r="R1027" t="inlineStr">
        <is>
          <t xml:space="preserve">PS </t>
        </is>
      </c>
      <c r="S1027" t="n">
        <v>3</v>
      </c>
      <c r="T1027" t="n">
        <v>3</v>
      </c>
      <c r="U1027" t="inlineStr">
        <is>
          <t>1997-04-02</t>
        </is>
      </c>
      <c r="V1027" t="inlineStr">
        <is>
          <t>1997-04-02</t>
        </is>
      </c>
      <c r="W1027" t="inlineStr">
        <is>
          <t>1992-08-24</t>
        </is>
      </c>
      <c r="X1027" t="inlineStr">
        <is>
          <t>1992-08-24</t>
        </is>
      </c>
      <c r="Y1027" t="n">
        <v>554</v>
      </c>
      <c r="Z1027" t="n">
        <v>471</v>
      </c>
      <c r="AA1027" t="n">
        <v>478</v>
      </c>
      <c r="AB1027" t="n">
        <v>5</v>
      </c>
      <c r="AC1027" t="n">
        <v>5</v>
      </c>
      <c r="AD1027" t="n">
        <v>20</v>
      </c>
      <c r="AE1027" t="n">
        <v>20</v>
      </c>
      <c r="AF1027" t="n">
        <v>9</v>
      </c>
      <c r="AG1027" t="n">
        <v>9</v>
      </c>
      <c r="AH1027" t="n">
        <v>7</v>
      </c>
      <c r="AI1027" t="n">
        <v>7</v>
      </c>
      <c r="AJ1027" t="n">
        <v>8</v>
      </c>
      <c r="AK1027" t="n">
        <v>8</v>
      </c>
      <c r="AL1027" t="n">
        <v>3</v>
      </c>
      <c r="AM1027" t="n">
        <v>3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HYPERLINK("http://catalog.hathitrust.org/Record/000726572","HathiTrust Record")</f>
        <v/>
      </c>
      <c r="AS1027">
        <f>HYPERLINK("https://creighton-primo.hosted.exlibrisgroup.com/primo-explore/search?tab=default_tab&amp;search_scope=EVERYTHING&amp;vid=01CRU&amp;lang=en_US&amp;offset=0&amp;query=any,contains,991004943629702656","Catalog Record")</f>
        <v/>
      </c>
      <c r="AT1027">
        <f>HYPERLINK("http://www.worldcat.org/oclc/6196389","WorldCat Record")</f>
        <v/>
      </c>
      <c r="AU1027" t="inlineStr">
        <is>
          <t>196602892:eng</t>
        </is>
      </c>
      <c r="AV1027" t="inlineStr">
        <is>
          <t>6196389</t>
        </is>
      </c>
      <c r="AW1027" t="inlineStr">
        <is>
          <t>991004943629702656</t>
        </is>
      </c>
      <c r="AX1027" t="inlineStr">
        <is>
          <t>991004943629702656</t>
        </is>
      </c>
      <c r="AY1027" t="inlineStr">
        <is>
          <t>2266267030002656</t>
        </is>
      </c>
      <c r="AZ1027" t="inlineStr">
        <is>
          <t>BOOK</t>
        </is>
      </c>
      <c r="BB1027" t="inlineStr">
        <is>
          <t>9780813814209</t>
        </is>
      </c>
      <c r="BC1027" t="inlineStr">
        <is>
          <t>32285001271369</t>
        </is>
      </c>
      <c r="BD1027" t="inlineStr">
        <is>
          <t>893325963</t>
        </is>
      </c>
    </row>
    <row r="1028">
      <c r="A1028" t="inlineStr">
        <is>
          <t>No</t>
        </is>
      </c>
      <c r="B1028" t="inlineStr">
        <is>
          <t>PS371 .Q5</t>
        </is>
      </c>
      <c r="C1028" t="inlineStr">
        <is>
          <t>0                      PS 0371000Q  5</t>
        </is>
      </c>
      <c r="D1028" t="inlineStr">
        <is>
          <t>American fiction; an historical and critical survey, by Arthur Hobson Quinn.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Quinn, Arthur Hobson, 1875-1960.</t>
        </is>
      </c>
      <c r="L1028" t="inlineStr">
        <is>
          <t>New York, London, D. Appleton-Century company, incorporated [c1936]</t>
        </is>
      </c>
      <c r="M1028" t="inlineStr">
        <is>
          <t>1936</t>
        </is>
      </c>
      <c r="O1028" t="inlineStr">
        <is>
          <t>eng</t>
        </is>
      </c>
      <c r="P1028" t="inlineStr">
        <is>
          <t>nyu</t>
        </is>
      </c>
      <c r="R1028" t="inlineStr">
        <is>
          <t xml:space="preserve">PS </t>
        </is>
      </c>
      <c r="S1028" t="n">
        <v>2</v>
      </c>
      <c r="T1028" t="n">
        <v>2</v>
      </c>
      <c r="U1028" t="inlineStr">
        <is>
          <t>1997-11-16</t>
        </is>
      </c>
      <c r="V1028" t="inlineStr">
        <is>
          <t>1997-11-16</t>
        </is>
      </c>
      <c r="W1028" t="inlineStr">
        <is>
          <t>1997-05-02</t>
        </is>
      </c>
      <c r="X1028" t="inlineStr">
        <is>
          <t>1997-05-02</t>
        </is>
      </c>
      <c r="Y1028" t="n">
        <v>1130</v>
      </c>
      <c r="Z1028" t="n">
        <v>1066</v>
      </c>
      <c r="AA1028" t="n">
        <v>1303</v>
      </c>
      <c r="AB1028" t="n">
        <v>10</v>
      </c>
      <c r="AC1028" t="n">
        <v>12</v>
      </c>
      <c r="AD1028" t="n">
        <v>39</v>
      </c>
      <c r="AE1028" t="n">
        <v>43</v>
      </c>
      <c r="AF1028" t="n">
        <v>12</v>
      </c>
      <c r="AG1028" t="n">
        <v>14</v>
      </c>
      <c r="AH1028" t="n">
        <v>7</v>
      </c>
      <c r="AI1028" t="n">
        <v>8</v>
      </c>
      <c r="AJ1028" t="n">
        <v>22</v>
      </c>
      <c r="AK1028" t="n">
        <v>22</v>
      </c>
      <c r="AL1028" t="n">
        <v>7</v>
      </c>
      <c r="AM1028" t="n">
        <v>9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HYPERLINK("http://catalog.hathitrust.org/Record/001026610","HathiTrust Record")</f>
        <v/>
      </c>
      <c r="AS1028">
        <f>HYPERLINK("https://creighton-primo.hosted.exlibrisgroup.com/primo-explore/search?tab=default_tab&amp;search_scope=EVERYTHING&amp;vid=01CRU&amp;lang=en_US&amp;offset=0&amp;query=any,contains,991003423939702656","Catalog Record")</f>
        <v/>
      </c>
      <c r="AT1028">
        <f>HYPERLINK("http://www.worldcat.org/oclc/964300","WorldCat Record")</f>
        <v/>
      </c>
      <c r="AU1028" t="inlineStr">
        <is>
          <t>1916781:eng</t>
        </is>
      </c>
      <c r="AV1028" t="inlineStr">
        <is>
          <t>964300</t>
        </is>
      </c>
      <c r="AW1028" t="inlineStr">
        <is>
          <t>991003423939702656</t>
        </is>
      </c>
      <c r="AX1028" t="inlineStr">
        <is>
          <t>991003423939702656</t>
        </is>
      </c>
      <c r="AY1028" t="inlineStr">
        <is>
          <t>2261795250002656</t>
        </is>
      </c>
      <c r="AZ1028" t="inlineStr">
        <is>
          <t>BOOK</t>
        </is>
      </c>
      <c r="BC1028" t="inlineStr">
        <is>
          <t>32285002636883</t>
        </is>
      </c>
      <c r="BD1028" t="inlineStr">
        <is>
          <t>893887444</t>
        </is>
      </c>
    </row>
    <row r="1029">
      <c r="A1029" t="inlineStr">
        <is>
          <t>No</t>
        </is>
      </c>
      <c r="B1029" t="inlineStr">
        <is>
          <t>PS371 .S73</t>
        </is>
      </c>
      <c r="C1029" t="inlineStr">
        <is>
          <t>0                      PS 0371000S  73</t>
        </is>
      </c>
      <c r="D1029" t="inlineStr">
        <is>
          <t>The American novel : from James Fenimore Cooper to William Faulkner / edited by Wallace Stegner.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Stegner, Wallace, 1909-1993 editor.</t>
        </is>
      </c>
      <c r="L1029" t="inlineStr">
        <is>
          <t>New York : Basic Books, [1965]</t>
        </is>
      </c>
      <c r="M1029" t="inlineStr">
        <is>
          <t>1965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PS </t>
        </is>
      </c>
      <c r="S1029" t="n">
        <v>5</v>
      </c>
      <c r="T1029" t="n">
        <v>5</v>
      </c>
      <c r="U1029" t="inlineStr">
        <is>
          <t>2000-03-30</t>
        </is>
      </c>
      <c r="V1029" t="inlineStr">
        <is>
          <t>2000-03-30</t>
        </is>
      </c>
      <c r="W1029" t="inlineStr">
        <is>
          <t>1990-09-14</t>
        </is>
      </c>
      <c r="X1029" t="inlineStr">
        <is>
          <t>1990-09-14</t>
        </is>
      </c>
      <c r="Y1029" t="n">
        <v>1422</v>
      </c>
      <c r="Z1029" t="n">
        <v>1303</v>
      </c>
      <c r="AA1029" t="n">
        <v>1313</v>
      </c>
      <c r="AB1029" t="n">
        <v>9</v>
      </c>
      <c r="AC1029" t="n">
        <v>9</v>
      </c>
      <c r="AD1029" t="n">
        <v>44</v>
      </c>
      <c r="AE1029" t="n">
        <v>44</v>
      </c>
      <c r="AF1029" t="n">
        <v>15</v>
      </c>
      <c r="AG1029" t="n">
        <v>15</v>
      </c>
      <c r="AH1029" t="n">
        <v>10</v>
      </c>
      <c r="AI1029" t="n">
        <v>10</v>
      </c>
      <c r="AJ1029" t="n">
        <v>22</v>
      </c>
      <c r="AK1029" t="n">
        <v>22</v>
      </c>
      <c r="AL1029" t="n">
        <v>7</v>
      </c>
      <c r="AM1029" t="n">
        <v>7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Yes</t>
        </is>
      </c>
      <c r="AR1029">
        <f>HYPERLINK("http://catalog.hathitrust.org/Record/001026612","HathiTrust Record")</f>
        <v/>
      </c>
      <c r="AS1029">
        <f>HYPERLINK("https://creighton-primo.hosted.exlibrisgroup.com/primo-explore/search?tab=default_tab&amp;search_scope=EVERYTHING&amp;vid=01CRU&amp;lang=en_US&amp;offset=0&amp;query=any,contains,991003594579702656","Catalog Record")</f>
        <v/>
      </c>
      <c r="AT1029">
        <f>HYPERLINK("http://www.worldcat.org/oclc/1175529","WorldCat Record")</f>
        <v/>
      </c>
      <c r="AU1029" t="inlineStr">
        <is>
          <t>3901124271:eng</t>
        </is>
      </c>
      <c r="AV1029" t="inlineStr">
        <is>
          <t>1175529</t>
        </is>
      </c>
      <c r="AW1029" t="inlineStr">
        <is>
          <t>991003594579702656</t>
        </is>
      </c>
      <c r="AX1029" t="inlineStr">
        <is>
          <t>991003594579702656</t>
        </is>
      </c>
      <c r="AY1029" t="inlineStr">
        <is>
          <t>2271911540002656</t>
        </is>
      </c>
      <c r="AZ1029" t="inlineStr">
        <is>
          <t>BOOK</t>
        </is>
      </c>
      <c r="BC1029" t="inlineStr">
        <is>
          <t>32285000303965</t>
        </is>
      </c>
      <c r="BD1029" t="inlineStr">
        <is>
          <t>893336678</t>
        </is>
      </c>
    </row>
    <row r="1030">
      <c r="A1030" t="inlineStr">
        <is>
          <t>No</t>
        </is>
      </c>
      <c r="B1030" t="inlineStr">
        <is>
          <t>PS371.S5 S4 1961</t>
        </is>
      </c>
      <c r="C1030" t="inlineStr">
        <is>
          <t>0                      PS 0371000S  5                  S  4           1961</t>
        </is>
      </c>
      <c r="D1030" t="inlineStr">
        <is>
          <t>The shapers of American fiction, 1798-1947.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Snell, George D. (George Dixon), 1909-1991.</t>
        </is>
      </c>
      <c r="L1030" t="inlineStr">
        <is>
          <t>New York : Cooper Square Publishers, 1961 [c1947]</t>
        </is>
      </c>
      <c r="M1030" t="inlineStr">
        <is>
          <t>1961</t>
        </is>
      </c>
      <c r="N1030" t="inlineStr">
        <is>
          <t>[2d ed.]</t>
        </is>
      </c>
      <c r="O1030" t="inlineStr">
        <is>
          <t>eng</t>
        </is>
      </c>
      <c r="P1030" t="inlineStr">
        <is>
          <t>nyu</t>
        </is>
      </c>
      <c r="R1030" t="inlineStr">
        <is>
          <t xml:space="preserve">PS </t>
        </is>
      </c>
      <c r="S1030" t="n">
        <v>2</v>
      </c>
      <c r="T1030" t="n">
        <v>2</v>
      </c>
      <c r="U1030" t="inlineStr">
        <is>
          <t>1995-07-21</t>
        </is>
      </c>
      <c r="V1030" t="inlineStr">
        <is>
          <t>1995-07-21</t>
        </is>
      </c>
      <c r="W1030" t="inlineStr">
        <is>
          <t>1990-04-02</t>
        </is>
      </c>
      <c r="X1030" t="inlineStr">
        <is>
          <t>1990-04-02</t>
        </is>
      </c>
      <c r="Y1030" t="n">
        <v>891</v>
      </c>
      <c r="Z1030" t="n">
        <v>816</v>
      </c>
      <c r="AA1030" t="n">
        <v>1225</v>
      </c>
      <c r="AB1030" t="n">
        <v>4</v>
      </c>
      <c r="AC1030" t="n">
        <v>7</v>
      </c>
      <c r="AD1030" t="n">
        <v>22</v>
      </c>
      <c r="AE1030" t="n">
        <v>38</v>
      </c>
      <c r="AF1030" t="n">
        <v>10</v>
      </c>
      <c r="AG1030" t="n">
        <v>15</v>
      </c>
      <c r="AH1030" t="n">
        <v>2</v>
      </c>
      <c r="AI1030" t="n">
        <v>7</v>
      </c>
      <c r="AJ1030" t="n">
        <v>10</v>
      </c>
      <c r="AK1030" t="n">
        <v>17</v>
      </c>
      <c r="AL1030" t="n">
        <v>3</v>
      </c>
      <c r="AM1030" t="n">
        <v>6</v>
      </c>
      <c r="AN1030" t="n">
        <v>0</v>
      </c>
      <c r="AO1030" t="n">
        <v>0</v>
      </c>
      <c r="AP1030" t="inlineStr">
        <is>
          <t>Yes</t>
        </is>
      </c>
      <c r="AQ1030" t="inlineStr">
        <is>
          <t>No</t>
        </is>
      </c>
      <c r="AR1030">
        <f>HYPERLINK("http://catalog.hathitrust.org/Record/001440814","HathiTrust Record")</f>
        <v/>
      </c>
      <c r="AS1030">
        <f>HYPERLINK("https://creighton-primo.hosted.exlibrisgroup.com/primo-explore/search?tab=default_tab&amp;search_scope=EVERYTHING&amp;vid=01CRU&amp;lang=en_US&amp;offset=0&amp;query=any,contains,991002129419702656","Catalog Record")</f>
        <v/>
      </c>
      <c r="AT1030">
        <f>HYPERLINK("http://www.worldcat.org/oclc/269682","WorldCat Record")</f>
        <v/>
      </c>
      <c r="AU1030" t="inlineStr">
        <is>
          <t>477147:eng</t>
        </is>
      </c>
      <c r="AV1030" t="inlineStr">
        <is>
          <t>269682</t>
        </is>
      </c>
      <c r="AW1030" t="inlineStr">
        <is>
          <t>991002129419702656</t>
        </is>
      </c>
      <c r="AX1030" t="inlineStr">
        <is>
          <t>991002129419702656</t>
        </is>
      </c>
      <c r="AY1030" t="inlineStr">
        <is>
          <t>2267550000002656</t>
        </is>
      </c>
      <c r="AZ1030" t="inlineStr">
        <is>
          <t>BOOK</t>
        </is>
      </c>
      <c r="BC1030" t="inlineStr">
        <is>
          <t>32285000101526</t>
        </is>
      </c>
      <c r="BD1030" t="inlineStr">
        <is>
          <t>893226493</t>
        </is>
      </c>
    </row>
    <row r="1031">
      <c r="A1031" t="inlineStr">
        <is>
          <t>No</t>
        </is>
      </c>
      <c r="B1031" t="inlineStr">
        <is>
          <t>PS373 .L28</t>
        </is>
      </c>
      <c r="C1031" t="inlineStr">
        <is>
          <t>0                      PS 0373000L  28</t>
        </is>
      </c>
      <c r="D1031" t="inlineStr">
        <is>
          <t>Plot guide to 100 American and British novels : plot outlines, character analyses, critical evaluations, with a special introduction on how to read a novel / edited by Abraham H. Lass.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K1031" t="inlineStr">
        <is>
          <t>Lass, Abraham H. (Abraham Harold), 1907-2001.</t>
        </is>
      </c>
      <c r="L1031" t="inlineStr">
        <is>
          <t>Boston : The Writer, [1971]</t>
        </is>
      </c>
      <c r="M1031" t="inlineStr">
        <is>
          <t>1971</t>
        </is>
      </c>
      <c r="O1031" t="inlineStr">
        <is>
          <t>eng</t>
        </is>
      </c>
      <c r="P1031" t="inlineStr">
        <is>
          <t>mau</t>
        </is>
      </c>
      <c r="R1031" t="inlineStr">
        <is>
          <t xml:space="preserve">PS </t>
        </is>
      </c>
      <c r="S1031" t="n">
        <v>2</v>
      </c>
      <c r="T1031" t="n">
        <v>2</v>
      </c>
      <c r="U1031" t="inlineStr">
        <is>
          <t>1994-04-17</t>
        </is>
      </c>
      <c r="V1031" t="inlineStr">
        <is>
          <t>1994-04-17</t>
        </is>
      </c>
      <c r="W1031" t="inlineStr">
        <is>
          <t>1990-07-18</t>
        </is>
      </c>
      <c r="X1031" t="inlineStr">
        <is>
          <t>1990-07-18</t>
        </is>
      </c>
      <c r="Y1031" t="n">
        <v>336</v>
      </c>
      <c r="Z1031" t="n">
        <v>322</v>
      </c>
      <c r="AA1031" t="n">
        <v>331</v>
      </c>
      <c r="AB1031" t="n">
        <v>3</v>
      </c>
      <c r="AC1031" t="n">
        <v>3</v>
      </c>
      <c r="AD1031" t="n">
        <v>3</v>
      </c>
      <c r="AE1031" t="n">
        <v>3</v>
      </c>
      <c r="AF1031" t="n">
        <v>2</v>
      </c>
      <c r="AG1031" t="n">
        <v>2</v>
      </c>
      <c r="AH1031" t="n">
        <v>1</v>
      </c>
      <c r="AI1031" t="n">
        <v>1</v>
      </c>
      <c r="AJ1031" t="n">
        <v>0</v>
      </c>
      <c r="AK1031" t="n">
        <v>0</v>
      </c>
      <c r="AL1031" t="n">
        <v>1</v>
      </c>
      <c r="AM1031" t="n">
        <v>1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No</t>
        </is>
      </c>
      <c r="AS1031">
        <f>HYPERLINK("https://creighton-primo.hosted.exlibrisgroup.com/primo-explore/search?tab=default_tab&amp;search_scope=EVERYTHING&amp;vid=01CRU&amp;lang=en_US&amp;offset=0&amp;query=any,contains,991000683789702656","Catalog Record")</f>
        <v/>
      </c>
      <c r="AT1031">
        <f>HYPERLINK("http://www.worldcat.org/oclc/122805","WorldCat Record")</f>
        <v/>
      </c>
      <c r="AU1031" t="inlineStr">
        <is>
          <t>516839:eng</t>
        </is>
      </c>
      <c r="AV1031" t="inlineStr">
        <is>
          <t>122805</t>
        </is>
      </c>
      <c r="AW1031" t="inlineStr">
        <is>
          <t>991000683789702656</t>
        </is>
      </c>
      <c r="AX1031" t="inlineStr">
        <is>
          <t>991000683789702656</t>
        </is>
      </c>
      <c r="AY1031" t="inlineStr">
        <is>
          <t>2263096810002656</t>
        </is>
      </c>
      <c r="AZ1031" t="inlineStr">
        <is>
          <t>BOOK</t>
        </is>
      </c>
      <c r="BB1031" t="inlineStr">
        <is>
          <t>9780871160614</t>
        </is>
      </c>
      <c r="BC1031" t="inlineStr">
        <is>
          <t>32285000232669</t>
        </is>
      </c>
      <c r="BD1031" t="inlineStr">
        <is>
          <t>893249578</t>
        </is>
      </c>
    </row>
    <row r="1032">
      <c r="A1032" t="inlineStr">
        <is>
          <t>No</t>
        </is>
      </c>
      <c r="B1032" t="inlineStr">
        <is>
          <t>PS374.A28 H56 1984</t>
        </is>
      </c>
      <c r="C1032" t="inlineStr">
        <is>
          <t>0                      PS 0374000A  28                 H  56          1984</t>
        </is>
      </c>
      <c r="D1032" t="inlineStr">
        <is>
          <t>The American absurd : Pynchon, Vonnegut, and Barth / by Robert A. Hipkiss.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Hipkiss, Robert A., 1935-</t>
        </is>
      </c>
      <c r="L1032" t="inlineStr">
        <is>
          <t>Port Washington, N.Y. : Associated Faculty Press, 1984.</t>
        </is>
      </c>
      <c r="M1032" t="inlineStr">
        <is>
          <t>1984</t>
        </is>
      </c>
      <c r="O1032" t="inlineStr">
        <is>
          <t>eng</t>
        </is>
      </c>
      <c r="P1032" t="inlineStr">
        <is>
          <t>nyu</t>
        </is>
      </c>
      <c r="Q1032" t="inlineStr">
        <is>
          <t>National university publications</t>
        </is>
      </c>
      <c r="R1032" t="inlineStr">
        <is>
          <t xml:space="preserve">PS </t>
        </is>
      </c>
      <c r="S1032" t="n">
        <v>7</v>
      </c>
      <c r="T1032" t="n">
        <v>7</v>
      </c>
      <c r="U1032" t="inlineStr">
        <is>
          <t>2002-02-24</t>
        </is>
      </c>
      <c r="V1032" t="inlineStr">
        <is>
          <t>2002-02-24</t>
        </is>
      </c>
      <c r="W1032" t="inlineStr">
        <is>
          <t>1990-10-17</t>
        </is>
      </c>
      <c r="X1032" t="inlineStr">
        <is>
          <t>1990-10-17</t>
        </is>
      </c>
      <c r="Y1032" t="n">
        <v>425</v>
      </c>
      <c r="Z1032" t="n">
        <v>373</v>
      </c>
      <c r="AA1032" t="n">
        <v>376</v>
      </c>
      <c r="AB1032" t="n">
        <v>4</v>
      </c>
      <c r="AC1032" t="n">
        <v>4</v>
      </c>
      <c r="AD1032" t="n">
        <v>19</v>
      </c>
      <c r="AE1032" t="n">
        <v>19</v>
      </c>
      <c r="AF1032" t="n">
        <v>7</v>
      </c>
      <c r="AG1032" t="n">
        <v>7</v>
      </c>
      <c r="AH1032" t="n">
        <v>5</v>
      </c>
      <c r="AI1032" t="n">
        <v>5</v>
      </c>
      <c r="AJ1032" t="n">
        <v>10</v>
      </c>
      <c r="AK1032" t="n">
        <v>10</v>
      </c>
      <c r="AL1032" t="n">
        <v>3</v>
      </c>
      <c r="AM1032" t="n">
        <v>3</v>
      </c>
      <c r="AN1032" t="n">
        <v>0</v>
      </c>
      <c r="AO1032" t="n">
        <v>0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HYPERLINK("http://catalog.hathitrust.org/Record/000644296","HathiTrust Record")</f>
        <v/>
      </c>
      <c r="AS1032">
        <f>HYPERLINK("https://creighton-primo.hosted.exlibrisgroup.com/primo-explore/search?tab=default_tab&amp;search_scope=EVERYTHING&amp;vid=01CRU&amp;lang=en_US&amp;offset=0&amp;query=any,contains,991005403529702656","Catalog Record")</f>
        <v/>
      </c>
      <c r="AT1032">
        <f>HYPERLINK("http://www.worldcat.org/oclc/10072975","WorldCat Record")</f>
        <v/>
      </c>
      <c r="AU1032" t="inlineStr">
        <is>
          <t>199355837:eng</t>
        </is>
      </c>
      <c r="AV1032" t="inlineStr">
        <is>
          <t>10072975</t>
        </is>
      </c>
      <c r="AW1032" t="inlineStr">
        <is>
          <t>991005403529702656</t>
        </is>
      </c>
      <c r="AX1032" t="inlineStr">
        <is>
          <t>991005403529702656</t>
        </is>
      </c>
      <c r="AY1032" t="inlineStr">
        <is>
          <t>2263602260002656</t>
        </is>
      </c>
      <c r="AZ1032" t="inlineStr">
        <is>
          <t>BOOK</t>
        </is>
      </c>
      <c r="BB1032" t="inlineStr">
        <is>
          <t>9780804693400</t>
        </is>
      </c>
      <c r="BC1032" t="inlineStr">
        <is>
          <t>32285000360015</t>
        </is>
      </c>
      <c r="BD1032" t="inlineStr">
        <is>
          <t>893890174</t>
        </is>
      </c>
    </row>
    <row r="1033">
      <c r="A1033" t="inlineStr">
        <is>
          <t>No</t>
        </is>
      </c>
      <c r="B1033" t="inlineStr">
        <is>
          <t>PS374.A76 S36 1988</t>
        </is>
      </c>
      <c r="C1033" t="inlineStr">
        <is>
          <t>0                      PS 0374000A  76                 S  36          1988</t>
        </is>
      </c>
      <c r="D1033" t="inlineStr">
        <is>
          <t>The pictorial in modernist fiction from Stephen Crane to Ernest Hemingway / by Deborah Schnitzer.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Schnitzer, Deborah, 1950-</t>
        </is>
      </c>
      <c r="L1033" t="inlineStr">
        <is>
          <t>Ann Arbor : UMI Research Press, c1988.</t>
        </is>
      </c>
      <c r="M1033" t="inlineStr">
        <is>
          <t>1988</t>
        </is>
      </c>
      <c r="O1033" t="inlineStr">
        <is>
          <t>eng</t>
        </is>
      </c>
      <c r="P1033" t="inlineStr">
        <is>
          <t>miu</t>
        </is>
      </c>
      <c r="Q1033" t="inlineStr">
        <is>
          <t>Studies in modern literature ; no. 93</t>
        </is>
      </c>
      <c r="R1033" t="inlineStr">
        <is>
          <t xml:space="preserve">PS </t>
        </is>
      </c>
      <c r="S1033" t="n">
        <v>9</v>
      </c>
      <c r="T1033" t="n">
        <v>9</v>
      </c>
      <c r="U1033" t="inlineStr">
        <is>
          <t>2005-03-15</t>
        </is>
      </c>
      <c r="V1033" t="inlineStr">
        <is>
          <t>2005-03-15</t>
        </is>
      </c>
      <c r="W1033" t="inlineStr">
        <is>
          <t>1990-10-17</t>
        </is>
      </c>
      <c r="X1033" t="inlineStr">
        <is>
          <t>1990-10-17</t>
        </is>
      </c>
      <c r="Y1033" t="n">
        <v>403</v>
      </c>
      <c r="Z1033" t="n">
        <v>346</v>
      </c>
      <c r="AA1033" t="n">
        <v>353</v>
      </c>
      <c r="AB1033" t="n">
        <v>5</v>
      </c>
      <c r="AC1033" t="n">
        <v>5</v>
      </c>
      <c r="AD1033" t="n">
        <v>21</v>
      </c>
      <c r="AE1033" t="n">
        <v>21</v>
      </c>
      <c r="AF1033" t="n">
        <v>5</v>
      </c>
      <c r="AG1033" t="n">
        <v>5</v>
      </c>
      <c r="AH1033" t="n">
        <v>7</v>
      </c>
      <c r="AI1033" t="n">
        <v>7</v>
      </c>
      <c r="AJ1033" t="n">
        <v>10</v>
      </c>
      <c r="AK1033" t="n">
        <v>10</v>
      </c>
      <c r="AL1033" t="n">
        <v>4</v>
      </c>
      <c r="AM1033" t="n">
        <v>4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HYPERLINK("http://catalog.hathitrust.org/Record/001079912","HathiTrust Record")</f>
        <v/>
      </c>
      <c r="AS1033">
        <f>HYPERLINK("https://creighton-primo.hosted.exlibrisgroup.com/primo-explore/search?tab=default_tab&amp;search_scope=EVERYTHING&amp;vid=01CRU&amp;lang=en_US&amp;offset=0&amp;query=any,contains,991001274769702656","Catalog Record")</f>
        <v/>
      </c>
      <c r="AT1033">
        <f>HYPERLINK("http://www.worldcat.org/oclc/17872917","WorldCat Record")</f>
        <v/>
      </c>
      <c r="AU1033" t="inlineStr">
        <is>
          <t>16661259:eng</t>
        </is>
      </c>
      <c r="AV1033" t="inlineStr">
        <is>
          <t>17872917</t>
        </is>
      </c>
      <c r="AW1033" t="inlineStr">
        <is>
          <t>991001274769702656</t>
        </is>
      </c>
      <c r="AX1033" t="inlineStr">
        <is>
          <t>991001274769702656</t>
        </is>
      </c>
      <c r="AY1033" t="inlineStr">
        <is>
          <t>2268857820002656</t>
        </is>
      </c>
      <c r="AZ1033" t="inlineStr">
        <is>
          <t>BOOK</t>
        </is>
      </c>
      <c r="BB1033" t="inlineStr">
        <is>
          <t>9780835718769</t>
        </is>
      </c>
      <c r="BC1033" t="inlineStr">
        <is>
          <t>32285000360031</t>
        </is>
      </c>
      <c r="BD1033" t="inlineStr">
        <is>
          <t>893696627</t>
        </is>
      </c>
    </row>
    <row r="1034">
      <c r="A1034" t="inlineStr">
        <is>
          <t>No</t>
        </is>
      </c>
      <c r="B1034" t="inlineStr">
        <is>
          <t>PS374.A87 B37 1988</t>
        </is>
      </c>
      <c r="C1034" t="inlineStr">
        <is>
          <t>0                      PS 0374000A  87                 B  37          1988</t>
        </is>
      </c>
      <c r="D1034" t="inlineStr">
        <is>
          <t>The way to ground zero : the atomic bomb in American science fiction / Martha A. Bartter.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Bartter, Martha A.</t>
        </is>
      </c>
      <c r="L1034" t="inlineStr">
        <is>
          <t>New York : Greenwood Press, 1988.</t>
        </is>
      </c>
      <c r="M1034" t="inlineStr">
        <is>
          <t>1988</t>
        </is>
      </c>
      <c r="O1034" t="inlineStr">
        <is>
          <t>eng</t>
        </is>
      </c>
      <c r="P1034" t="inlineStr">
        <is>
          <t>nyu</t>
        </is>
      </c>
      <c r="Q1034" t="inlineStr">
        <is>
          <t>Contributions to the study of science fiction and fantasy, 0193-6875 ; no. 33</t>
        </is>
      </c>
      <c r="R1034" t="inlineStr">
        <is>
          <t xml:space="preserve">PS </t>
        </is>
      </c>
      <c r="S1034" t="n">
        <v>1</v>
      </c>
      <c r="T1034" t="n">
        <v>1</v>
      </c>
      <c r="U1034" t="inlineStr">
        <is>
          <t>1992-05-08</t>
        </is>
      </c>
      <c r="V1034" t="inlineStr">
        <is>
          <t>1992-05-08</t>
        </is>
      </c>
      <c r="W1034" t="inlineStr">
        <is>
          <t>1990-10-17</t>
        </is>
      </c>
      <c r="X1034" t="inlineStr">
        <is>
          <t>1990-10-17</t>
        </is>
      </c>
      <c r="Y1034" t="n">
        <v>368</v>
      </c>
      <c r="Z1034" t="n">
        <v>311</v>
      </c>
      <c r="AA1034" t="n">
        <v>311</v>
      </c>
      <c r="AB1034" t="n">
        <v>3</v>
      </c>
      <c r="AC1034" t="n">
        <v>3</v>
      </c>
      <c r="AD1034" t="n">
        <v>17</v>
      </c>
      <c r="AE1034" t="n">
        <v>17</v>
      </c>
      <c r="AF1034" t="n">
        <v>5</v>
      </c>
      <c r="AG1034" t="n">
        <v>5</v>
      </c>
      <c r="AH1034" t="n">
        <v>6</v>
      </c>
      <c r="AI1034" t="n">
        <v>6</v>
      </c>
      <c r="AJ1034" t="n">
        <v>8</v>
      </c>
      <c r="AK1034" t="n">
        <v>8</v>
      </c>
      <c r="AL1034" t="n">
        <v>2</v>
      </c>
      <c r="AM1034" t="n">
        <v>2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No</t>
        </is>
      </c>
      <c r="AS1034">
        <f>HYPERLINK("https://creighton-primo.hosted.exlibrisgroup.com/primo-explore/search?tab=default_tab&amp;search_scope=EVERYTHING&amp;vid=01CRU&amp;lang=en_US&amp;offset=0&amp;query=any,contains,991001289199702656","Catalog Record")</f>
        <v/>
      </c>
      <c r="AT1034">
        <f>HYPERLINK("http://www.worldcat.org/oclc/17982356","WorldCat Record")</f>
        <v/>
      </c>
      <c r="AU1034" t="inlineStr">
        <is>
          <t>836886870:eng</t>
        </is>
      </c>
      <c r="AV1034" t="inlineStr">
        <is>
          <t>17982356</t>
        </is>
      </c>
      <c r="AW1034" t="inlineStr">
        <is>
          <t>991001289199702656</t>
        </is>
      </c>
      <c r="AX1034" t="inlineStr">
        <is>
          <t>991001289199702656</t>
        </is>
      </c>
      <c r="AY1034" t="inlineStr">
        <is>
          <t>2259486910002656</t>
        </is>
      </c>
      <c r="AZ1034" t="inlineStr">
        <is>
          <t>BOOK</t>
        </is>
      </c>
      <c r="BB1034" t="inlineStr">
        <is>
          <t>9780313258923</t>
        </is>
      </c>
      <c r="BC1034" t="inlineStr">
        <is>
          <t>32285000360049</t>
        </is>
      </c>
      <c r="BD1034" t="inlineStr">
        <is>
          <t>893346395</t>
        </is>
      </c>
    </row>
    <row r="1035">
      <c r="A1035" t="inlineStr">
        <is>
          <t>No</t>
        </is>
      </c>
      <c r="B1035" t="inlineStr">
        <is>
          <t>PS374.B64 C3</t>
        </is>
      </c>
      <c r="C1035" t="inlineStr">
        <is>
          <t>0                      PS 0374000B  64                 C  3</t>
        </is>
      </c>
      <c r="D1035" t="inlineStr">
        <is>
          <t>The corporeal self : allegories of the body in Melville and Hawthorne / Sharon Cameron.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K1035" t="inlineStr">
        <is>
          <t>Cameron, Sharon.</t>
        </is>
      </c>
      <c r="L1035" t="inlineStr">
        <is>
          <t>Baltimore : Johns Hopkins University Press, c1981.</t>
        </is>
      </c>
      <c r="M1035" t="inlineStr">
        <is>
          <t>1981</t>
        </is>
      </c>
      <c r="O1035" t="inlineStr">
        <is>
          <t>eng</t>
        </is>
      </c>
      <c r="P1035" t="inlineStr">
        <is>
          <t>mau</t>
        </is>
      </c>
      <c r="R1035" t="inlineStr">
        <is>
          <t xml:space="preserve">PS </t>
        </is>
      </c>
      <c r="S1035" t="n">
        <v>11</v>
      </c>
      <c r="T1035" t="n">
        <v>11</v>
      </c>
      <c r="U1035" t="inlineStr">
        <is>
          <t>2001-09-25</t>
        </is>
      </c>
      <c r="V1035" t="inlineStr">
        <is>
          <t>2001-09-25</t>
        </is>
      </c>
      <c r="W1035" t="inlineStr">
        <is>
          <t>1990-10-17</t>
        </is>
      </c>
      <c r="X1035" t="inlineStr">
        <is>
          <t>1990-10-17</t>
        </is>
      </c>
      <c r="Y1035" t="n">
        <v>753</v>
      </c>
      <c r="Z1035" t="n">
        <v>640</v>
      </c>
      <c r="AA1035" t="n">
        <v>701</v>
      </c>
      <c r="AB1035" t="n">
        <v>8</v>
      </c>
      <c r="AC1035" t="n">
        <v>8</v>
      </c>
      <c r="AD1035" t="n">
        <v>34</v>
      </c>
      <c r="AE1035" t="n">
        <v>38</v>
      </c>
      <c r="AF1035" t="n">
        <v>12</v>
      </c>
      <c r="AG1035" t="n">
        <v>14</v>
      </c>
      <c r="AH1035" t="n">
        <v>8</v>
      </c>
      <c r="AI1035" t="n">
        <v>10</v>
      </c>
      <c r="AJ1035" t="n">
        <v>18</v>
      </c>
      <c r="AK1035" t="n">
        <v>19</v>
      </c>
      <c r="AL1035" t="n">
        <v>7</v>
      </c>
      <c r="AM1035" t="n">
        <v>7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Yes</t>
        </is>
      </c>
      <c r="AR1035">
        <f>HYPERLINK("http://catalog.hathitrust.org/Record/000183321","HathiTrust Record")</f>
        <v/>
      </c>
      <c r="AS1035">
        <f>HYPERLINK("https://creighton-primo.hosted.exlibrisgroup.com/primo-explore/search?tab=default_tab&amp;search_scope=EVERYTHING&amp;vid=01CRU&amp;lang=en_US&amp;offset=0&amp;query=any,contains,991005154249702656","Catalog Record")</f>
        <v/>
      </c>
      <c r="AT1035">
        <f>HYPERLINK("http://www.worldcat.org/oclc/7737744","WorldCat Record")</f>
        <v/>
      </c>
      <c r="AU1035" t="inlineStr">
        <is>
          <t>866846229:eng</t>
        </is>
      </c>
      <c r="AV1035" t="inlineStr">
        <is>
          <t>7737744</t>
        </is>
      </c>
      <c r="AW1035" t="inlineStr">
        <is>
          <t>991005154249702656</t>
        </is>
      </c>
      <c r="AX1035" t="inlineStr">
        <is>
          <t>991005154249702656</t>
        </is>
      </c>
      <c r="AY1035" t="inlineStr">
        <is>
          <t>2259787650002656</t>
        </is>
      </c>
      <c r="AZ1035" t="inlineStr">
        <is>
          <t>BOOK</t>
        </is>
      </c>
      <c r="BB1035" t="inlineStr">
        <is>
          <t>9780801826436</t>
        </is>
      </c>
      <c r="BC1035" t="inlineStr">
        <is>
          <t>32285000360056</t>
        </is>
      </c>
      <c r="BD1035" t="inlineStr">
        <is>
          <t>893870612</t>
        </is>
      </c>
    </row>
    <row r="1036">
      <c r="A1036" t="inlineStr">
        <is>
          <t>No</t>
        </is>
      </c>
      <c r="B1036" t="inlineStr">
        <is>
          <t>PS374.C5 W57 1996</t>
        </is>
      </c>
      <c r="C1036" t="inlineStr">
        <is>
          <t>0                      PS 0374000C  5                  W  57          1996</t>
        </is>
      </c>
      <c r="D1036" t="inlineStr">
        <is>
          <t>City codes : reading the modern urban novel / Hana Wirth-Nesher.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K1036" t="inlineStr">
        <is>
          <t>Wirth-Nesher, Hana, 1948-</t>
        </is>
      </c>
      <c r="L1036" t="inlineStr">
        <is>
          <t>Cambridge [England] ; New York, NY, USA : Cambridge University Press, 1996.</t>
        </is>
      </c>
      <c r="M1036" t="inlineStr">
        <is>
          <t>1996</t>
        </is>
      </c>
      <c r="O1036" t="inlineStr">
        <is>
          <t>eng</t>
        </is>
      </c>
      <c r="P1036" t="inlineStr">
        <is>
          <t>enk</t>
        </is>
      </c>
      <c r="R1036" t="inlineStr">
        <is>
          <t xml:space="preserve">PS </t>
        </is>
      </c>
      <c r="S1036" t="n">
        <v>1</v>
      </c>
      <c r="T1036" t="n">
        <v>1</v>
      </c>
      <c r="U1036" t="inlineStr">
        <is>
          <t>2002-04-27</t>
        </is>
      </c>
      <c r="V1036" t="inlineStr">
        <is>
          <t>2002-04-27</t>
        </is>
      </c>
      <c r="W1036" t="inlineStr">
        <is>
          <t>1998-03-18</t>
        </is>
      </c>
      <c r="X1036" t="inlineStr">
        <is>
          <t>1998-03-18</t>
        </is>
      </c>
      <c r="Y1036" t="n">
        <v>628</v>
      </c>
      <c r="Z1036" t="n">
        <v>500</v>
      </c>
      <c r="AA1036" t="n">
        <v>502</v>
      </c>
      <c r="AB1036" t="n">
        <v>3</v>
      </c>
      <c r="AC1036" t="n">
        <v>3</v>
      </c>
      <c r="AD1036" t="n">
        <v>28</v>
      </c>
      <c r="AE1036" t="n">
        <v>28</v>
      </c>
      <c r="AF1036" t="n">
        <v>11</v>
      </c>
      <c r="AG1036" t="n">
        <v>11</v>
      </c>
      <c r="AH1036" t="n">
        <v>6</v>
      </c>
      <c r="AI1036" t="n">
        <v>6</v>
      </c>
      <c r="AJ1036" t="n">
        <v>17</v>
      </c>
      <c r="AK1036" t="n">
        <v>17</v>
      </c>
      <c r="AL1036" t="n">
        <v>2</v>
      </c>
      <c r="AM1036" t="n">
        <v>2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No</t>
        </is>
      </c>
      <c r="AS1036">
        <f>HYPERLINK("https://creighton-primo.hosted.exlibrisgroup.com/primo-explore/search?tab=default_tab&amp;search_scope=EVERYTHING&amp;vid=01CRU&amp;lang=en_US&amp;offset=0&amp;query=any,contains,991002440849702656","Catalog Record")</f>
        <v/>
      </c>
      <c r="AT1036">
        <f>HYPERLINK("http://www.worldcat.org/oclc/31815274","WorldCat Record")</f>
        <v/>
      </c>
      <c r="AU1036" t="inlineStr">
        <is>
          <t>2662921:eng</t>
        </is>
      </c>
      <c r="AV1036" t="inlineStr">
        <is>
          <t>31815274</t>
        </is>
      </c>
      <c r="AW1036" t="inlineStr">
        <is>
          <t>991002440849702656</t>
        </is>
      </c>
      <c r="AX1036" t="inlineStr">
        <is>
          <t>991002440849702656</t>
        </is>
      </c>
      <c r="AY1036" t="inlineStr">
        <is>
          <t>2264064800002656</t>
        </is>
      </c>
      <c r="AZ1036" t="inlineStr">
        <is>
          <t>BOOK</t>
        </is>
      </c>
      <c r="BB1036" t="inlineStr">
        <is>
          <t>9780521473149</t>
        </is>
      </c>
      <c r="BC1036" t="inlineStr">
        <is>
          <t>32285003358743</t>
        </is>
      </c>
      <c r="BD1036" t="inlineStr">
        <is>
          <t>893867217</t>
        </is>
      </c>
    </row>
    <row r="1037">
      <c r="A1037" t="inlineStr">
        <is>
          <t>No</t>
        </is>
      </c>
      <c r="B1037" t="inlineStr">
        <is>
          <t>PS374.D4 A53 1988</t>
        </is>
      </c>
      <c r="C1037" t="inlineStr">
        <is>
          <t>0                      PS 0374000D  4                  A  53          1988</t>
        </is>
      </c>
      <c r="D1037" t="inlineStr">
        <is>
          <t>American crime fiction : studies in the genre / edited by Brian Docherty.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L1037" t="inlineStr">
        <is>
          <t>Basingstoke : Macmillan, 1988.</t>
        </is>
      </c>
      <c r="M1037" t="inlineStr">
        <is>
          <t>1988</t>
        </is>
      </c>
      <c r="O1037" t="inlineStr">
        <is>
          <t>eng</t>
        </is>
      </c>
      <c r="P1037" t="inlineStr">
        <is>
          <t>enk</t>
        </is>
      </c>
      <c r="Q1037" t="inlineStr">
        <is>
          <t>Insights</t>
        </is>
      </c>
      <c r="R1037" t="inlineStr">
        <is>
          <t xml:space="preserve">PS </t>
        </is>
      </c>
      <c r="S1037" t="n">
        <v>1</v>
      </c>
      <c r="T1037" t="n">
        <v>1</v>
      </c>
      <c r="U1037" t="inlineStr">
        <is>
          <t>2005-10-07</t>
        </is>
      </c>
      <c r="V1037" t="inlineStr">
        <is>
          <t>2005-10-07</t>
        </is>
      </c>
      <c r="W1037" t="inlineStr">
        <is>
          <t>1990-06-13</t>
        </is>
      </c>
      <c r="X1037" t="inlineStr">
        <is>
          <t>1990-06-13</t>
        </is>
      </c>
      <c r="Y1037" t="n">
        <v>109</v>
      </c>
      <c r="Z1037" t="n">
        <v>41</v>
      </c>
      <c r="AA1037" t="n">
        <v>318</v>
      </c>
      <c r="AB1037" t="n">
        <v>1</v>
      </c>
      <c r="AC1037" t="n">
        <v>2</v>
      </c>
      <c r="AD1037" t="n">
        <v>2</v>
      </c>
      <c r="AE1037" t="n">
        <v>19</v>
      </c>
      <c r="AF1037" t="n">
        <v>0</v>
      </c>
      <c r="AG1037" t="n">
        <v>5</v>
      </c>
      <c r="AH1037" t="n">
        <v>2</v>
      </c>
      <c r="AI1037" t="n">
        <v>8</v>
      </c>
      <c r="AJ1037" t="n">
        <v>2</v>
      </c>
      <c r="AK1037" t="n">
        <v>11</v>
      </c>
      <c r="AL1037" t="n">
        <v>0</v>
      </c>
      <c r="AM1037" t="n">
        <v>1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Yes</t>
        </is>
      </c>
      <c r="AR1037">
        <f>HYPERLINK("http://catalog.hathitrust.org/Record/000923131","HathiTrust Record")</f>
        <v/>
      </c>
      <c r="AS1037">
        <f>HYPERLINK("https://creighton-primo.hosted.exlibrisgroup.com/primo-explore/search?tab=default_tab&amp;search_scope=EVERYTHING&amp;vid=01CRU&amp;lang=en_US&amp;offset=0&amp;query=any,contains,991001079519702656","Catalog Record")</f>
        <v/>
      </c>
      <c r="AT1037">
        <f>HYPERLINK("http://www.worldcat.org/oclc/16083832","WorldCat Record")</f>
        <v/>
      </c>
      <c r="AU1037" t="inlineStr">
        <is>
          <t>836632251:eng</t>
        </is>
      </c>
      <c r="AV1037" t="inlineStr">
        <is>
          <t>16083832</t>
        </is>
      </c>
      <c r="AW1037" t="inlineStr">
        <is>
          <t>991001079519702656</t>
        </is>
      </c>
      <c r="AX1037" t="inlineStr">
        <is>
          <t>991001079519702656</t>
        </is>
      </c>
      <c r="AY1037" t="inlineStr">
        <is>
          <t>2256264780002656</t>
        </is>
      </c>
      <c r="AZ1037" t="inlineStr">
        <is>
          <t>BOOK</t>
        </is>
      </c>
      <c r="BB1037" t="inlineStr">
        <is>
          <t>9780333444771</t>
        </is>
      </c>
      <c r="BC1037" t="inlineStr">
        <is>
          <t>32285000191444</t>
        </is>
      </c>
      <c r="BD1037" t="inlineStr">
        <is>
          <t>893496798</t>
        </is>
      </c>
    </row>
    <row r="1038">
      <c r="A1038" t="inlineStr">
        <is>
          <t>No</t>
        </is>
      </c>
      <c r="B1038" t="inlineStr">
        <is>
          <t>PS374.D4 B56 1989</t>
        </is>
      </c>
      <c r="C1038" t="inlineStr">
        <is>
          <t>0                      PS 0374000D  4                  B  56          1989</t>
        </is>
      </c>
      <c r="D1038" t="inlineStr">
        <is>
          <t>Murder will out : the detective in fiction / T.J. Binyon.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Binyon, T. J.</t>
        </is>
      </c>
      <c r="L1038" t="inlineStr">
        <is>
          <t>Oxford ; New York : Oxford University Press, 1989.</t>
        </is>
      </c>
      <c r="M1038" t="inlineStr">
        <is>
          <t>1989</t>
        </is>
      </c>
      <c r="O1038" t="inlineStr">
        <is>
          <t>eng</t>
        </is>
      </c>
      <c r="P1038" t="inlineStr">
        <is>
          <t>enk</t>
        </is>
      </c>
      <c r="R1038" t="inlineStr">
        <is>
          <t xml:space="preserve">PS </t>
        </is>
      </c>
      <c r="S1038" t="n">
        <v>4</v>
      </c>
      <c r="T1038" t="n">
        <v>4</v>
      </c>
      <c r="U1038" t="inlineStr">
        <is>
          <t>1997-04-28</t>
        </is>
      </c>
      <c r="V1038" t="inlineStr">
        <is>
          <t>1997-04-28</t>
        </is>
      </c>
      <c r="W1038" t="inlineStr">
        <is>
          <t>1989-11-01</t>
        </is>
      </c>
      <c r="X1038" t="inlineStr">
        <is>
          <t>1989-11-01</t>
        </is>
      </c>
      <c r="Y1038" t="n">
        <v>590</v>
      </c>
      <c r="Z1038" t="n">
        <v>453</v>
      </c>
      <c r="AA1038" t="n">
        <v>528</v>
      </c>
      <c r="AB1038" t="n">
        <v>3</v>
      </c>
      <c r="AC1038" t="n">
        <v>3</v>
      </c>
      <c r="AD1038" t="n">
        <v>20</v>
      </c>
      <c r="AE1038" t="n">
        <v>25</v>
      </c>
      <c r="AF1038" t="n">
        <v>6</v>
      </c>
      <c r="AG1038" t="n">
        <v>10</v>
      </c>
      <c r="AH1038" t="n">
        <v>5</v>
      </c>
      <c r="AI1038" t="n">
        <v>5</v>
      </c>
      <c r="AJ1038" t="n">
        <v>10</v>
      </c>
      <c r="AK1038" t="n">
        <v>13</v>
      </c>
      <c r="AL1038" t="n">
        <v>2</v>
      </c>
      <c r="AM1038" t="n">
        <v>2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Yes</t>
        </is>
      </c>
      <c r="AR1038">
        <f>HYPERLINK("http://catalog.hathitrust.org/Record/001536149","HathiTrust Record")</f>
        <v/>
      </c>
      <c r="AS1038">
        <f>HYPERLINK("https://creighton-primo.hosted.exlibrisgroup.com/primo-explore/search?tab=default_tab&amp;search_scope=EVERYTHING&amp;vid=01CRU&amp;lang=en_US&amp;offset=0&amp;query=any,contains,991001414899702656","Catalog Record")</f>
        <v/>
      </c>
      <c r="AT1038">
        <f>HYPERLINK("http://www.worldcat.org/oclc/18947696","WorldCat Record")</f>
        <v/>
      </c>
      <c r="AU1038" t="inlineStr">
        <is>
          <t>808248756:eng</t>
        </is>
      </c>
      <c r="AV1038" t="inlineStr">
        <is>
          <t>18947696</t>
        </is>
      </c>
      <c r="AW1038" t="inlineStr">
        <is>
          <t>991001414899702656</t>
        </is>
      </c>
      <c r="AX1038" t="inlineStr">
        <is>
          <t>991001414899702656</t>
        </is>
      </c>
      <c r="AY1038" t="inlineStr">
        <is>
          <t>2272229850002656</t>
        </is>
      </c>
      <c r="AZ1038" t="inlineStr">
        <is>
          <t>BOOK</t>
        </is>
      </c>
      <c r="BB1038" t="inlineStr">
        <is>
          <t>9780192192233</t>
        </is>
      </c>
      <c r="BC1038" t="inlineStr">
        <is>
          <t>32285000011063</t>
        </is>
      </c>
      <c r="BD1038" t="inlineStr">
        <is>
          <t>893878875</t>
        </is>
      </c>
    </row>
    <row r="1039">
      <c r="A1039" t="inlineStr">
        <is>
          <t>No</t>
        </is>
      </c>
      <c r="B1039" t="inlineStr">
        <is>
          <t>PS374.D4 M3 1982</t>
        </is>
      </c>
      <c r="C1039" t="inlineStr">
        <is>
          <t>0                      PS 0374000D  4                  M  3           1982</t>
        </is>
      </c>
      <c r="D1039" t="inlineStr">
        <is>
          <t>Which way did he go? : the private eye in Dashiell Hammett, Raymond Chandler, Chester Himes, and Ross Macdonald / Edward Margolies.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Margolies, Edward.</t>
        </is>
      </c>
      <c r="L1039" t="inlineStr">
        <is>
          <t>New York : Holmes &amp; Meier, c1982.</t>
        </is>
      </c>
      <c r="M1039" t="inlineStr">
        <is>
          <t>1982</t>
        </is>
      </c>
      <c r="O1039" t="inlineStr">
        <is>
          <t>eng</t>
        </is>
      </c>
      <c r="P1039" t="inlineStr">
        <is>
          <t>nyu</t>
        </is>
      </c>
      <c r="R1039" t="inlineStr">
        <is>
          <t xml:space="preserve">PS </t>
        </is>
      </c>
      <c r="S1039" t="n">
        <v>3</v>
      </c>
      <c r="T1039" t="n">
        <v>3</v>
      </c>
      <c r="U1039" t="inlineStr">
        <is>
          <t>2004-12-16</t>
        </is>
      </c>
      <c r="V1039" t="inlineStr">
        <is>
          <t>2004-12-16</t>
        </is>
      </c>
      <c r="W1039" t="inlineStr">
        <is>
          <t>1990-10-17</t>
        </is>
      </c>
      <c r="X1039" t="inlineStr">
        <is>
          <t>1990-10-17</t>
        </is>
      </c>
      <c r="Y1039" t="n">
        <v>588</v>
      </c>
      <c r="Z1039" t="n">
        <v>526</v>
      </c>
      <c r="AA1039" t="n">
        <v>529</v>
      </c>
      <c r="AB1039" t="n">
        <v>4</v>
      </c>
      <c r="AC1039" t="n">
        <v>4</v>
      </c>
      <c r="AD1039" t="n">
        <v>23</v>
      </c>
      <c r="AE1039" t="n">
        <v>23</v>
      </c>
      <c r="AF1039" t="n">
        <v>10</v>
      </c>
      <c r="AG1039" t="n">
        <v>10</v>
      </c>
      <c r="AH1039" t="n">
        <v>6</v>
      </c>
      <c r="AI1039" t="n">
        <v>6</v>
      </c>
      <c r="AJ1039" t="n">
        <v>12</v>
      </c>
      <c r="AK1039" t="n">
        <v>12</v>
      </c>
      <c r="AL1039" t="n">
        <v>3</v>
      </c>
      <c r="AM1039" t="n">
        <v>3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HYPERLINK("http://catalog.hathitrust.org/Record/000764114","HathiTrust Record")</f>
        <v/>
      </c>
      <c r="AS1039">
        <f>HYPERLINK("https://creighton-primo.hosted.exlibrisgroup.com/primo-explore/search?tab=default_tab&amp;search_scope=EVERYTHING&amp;vid=01CRU&amp;lang=en_US&amp;offset=0&amp;query=any,contains,991005100579702656","Catalog Record")</f>
        <v/>
      </c>
      <c r="AT1039">
        <f>HYPERLINK("http://www.worldcat.org/oclc/7282849","WorldCat Record")</f>
        <v/>
      </c>
      <c r="AU1039" t="inlineStr">
        <is>
          <t>252833082:eng</t>
        </is>
      </c>
      <c r="AV1039" t="inlineStr">
        <is>
          <t>7282849</t>
        </is>
      </c>
      <c r="AW1039" t="inlineStr">
        <is>
          <t>991005100579702656</t>
        </is>
      </c>
      <c r="AX1039" t="inlineStr">
        <is>
          <t>991005100579702656</t>
        </is>
      </c>
      <c r="AY1039" t="inlineStr">
        <is>
          <t>2257784850002656</t>
        </is>
      </c>
      <c r="AZ1039" t="inlineStr">
        <is>
          <t>BOOK</t>
        </is>
      </c>
      <c r="BB1039" t="inlineStr">
        <is>
          <t>9780841904361</t>
        </is>
      </c>
      <c r="BC1039" t="inlineStr">
        <is>
          <t>32285000360122</t>
        </is>
      </c>
      <c r="BD1039" t="inlineStr">
        <is>
          <t>893437152</t>
        </is>
      </c>
    </row>
    <row r="1040">
      <c r="A1040" t="inlineStr">
        <is>
          <t>No</t>
        </is>
      </c>
      <c r="B1040" t="inlineStr">
        <is>
          <t>PS374.D4 V36 1984</t>
        </is>
      </c>
      <c r="C1040" t="inlineStr">
        <is>
          <t>0                      PS 0374000D  4                  V  36          1984</t>
        </is>
      </c>
      <c r="D1040" t="inlineStr">
        <is>
          <t>Murder in the millions : Erle Stanley Gardner, Mickey Spillane, Ian Fleming / J. Kenneth Van Dover.</t>
        </is>
      </c>
      <c r="F1040" t="inlineStr">
        <is>
          <t>No</t>
        </is>
      </c>
      <c r="G1040" t="inlineStr">
        <is>
          <t>1</t>
        </is>
      </c>
      <c r="H1040" t="inlineStr">
        <is>
          <t>No</t>
        </is>
      </c>
      <c r="I1040" t="inlineStr">
        <is>
          <t>No</t>
        </is>
      </c>
      <c r="J1040" t="inlineStr">
        <is>
          <t>0</t>
        </is>
      </c>
      <c r="K1040" t="inlineStr">
        <is>
          <t>Van Dover, J. Kenneth.</t>
        </is>
      </c>
      <c r="L1040" t="inlineStr">
        <is>
          <t>New York : F. Ungar, c1984.</t>
        </is>
      </c>
      <c r="M1040" t="inlineStr">
        <is>
          <t>1984</t>
        </is>
      </c>
      <c r="O1040" t="inlineStr">
        <is>
          <t>eng</t>
        </is>
      </c>
      <c r="P1040" t="inlineStr">
        <is>
          <t>nyu</t>
        </is>
      </c>
      <c r="R1040" t="inlineStr">
        <is>
          <t xml:space="preserve">PS </t>
        </is>
      </c>
      <c r="S1040" t="n">
        <v>1</v>
      </c>
      <c r="T1040" t="n">
        <v>1</v>
      </c>
      <c r="U1040" t="inlineStr">
        <is>
          <t>1992-12-03</t>
        </is>
      </c>
      <c r="V1040" t="inlineStr">
        <is>
          <t>1992-12-03</t>
        </is>
      </c>
      <c r="W1040" t="inlineStr">
        <is>
          <t>1990-10-17</t>
        </is>
      </c>
      <c r="X1040" t="inlineStr">
        <is>
          <t>1990-10-17</t>
        </is>
      </c>
      <c r="Y1040" t="n">
        <v>432</v>
      </c>
      <c r="Z1040" t="n">
        <v>385</v>
      </c>
      <c r="AA1040" t="n">
        <v>391</v>
      </c>
      <c r="AB1040" t="n">
        <v>3</v>
      </c>
      <c r="AC1040" t="n">
        <v>3</v>
      </c>
      <c r="AD1040" t="n">
        <v>10</v>
      </c>
      <c r="AE1040" t="n">
        <v>10</v>
      </c>
      <c r="AF1040" t="n">
        <v>2</v>
      </c>
      <c r="AG1040" t="n">
        <v>2</v>
      </c>
      <c r="AH1040" t="n">
        <v>1</v>
      </c>
      <c r="AI1040" t="n">
        <v>1</v>
      </c>
      <c r="AJ1040" t="n">
        <v>7</v>
      </c>
      <c r="AK1040" t="n">
        <v>7</v>
      </c>
      <c r="AL1040" t="n">
        <v>2</v>
      </c>
      <c r="AM1040" t="n">
        <v>2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Yes</t>
        </is>
      </c>
      <c r="AR1040">
        <f>HYPERLINK("http://catalog.hathitrust.org/Record/000333601","HathiTrust Record")</f>
        <v/>
      </c>
      <c r="AS1040">
        <f>HYPERLINK("https://creighton-primo.hosted.exlibrisgroup.com/primo-explore/search?tab=default_tab&amp;search_scope=EVERYTHING&amp;vid=01CRU&amp;lang=en_US&amp;offset=0&amp;query=any,contains,991000412289702656","Catalog Record")</f>
        <v/>
      </c>
      <c r="AT1040">
        <f>HYPERLINK("http://www.worldcat.org/oclc/10711760","WorldCat Record")</f>
        <v/>
      </c>
      <c r="AU1040" t="inlineStr">
        <is>
          <t>375720934:eng</t>
        </is>
      </c>
      <c r="AV1040" t="inlineStr">
        <is>
          <t>10711760</t>
        </is>
      </c>
      <c r="AW1040" t="inlineStr">
        <is>
          <t>991000412289702656</t>
        </is>
      </c>
      <c r="AX1040" t="inlineStr">
        <is>
          <t>991000412289702656</t>
        </is>
      </c>
      <c r="AY1040" t="inlineStr">
        <is>
          <t>2260284410002656</t>
        </is>
      </c>
      <c r="AZ1040" t="inlineStr">
        <is>
          <t>BOOK</t>
        </is>
      </c>
      <c r="BB1040" t="inlineStr">
        <is>
          <t>9780804469449</t>
        </is>
      </c>
      <c r="BC1040" t="inlineStr">
        <is>
          <t>32285000360148</t>
        </is>
      </c>
      <c r="BD1040" t="inlineStr">
        <is>
          <t>893333443</t>
        </is>
      </c>
    </row>
    <row r="1041">
      <c r="A1041" t="inlineStr">
        <is>
          <t>No</t>
        </is>
      </c>
      <c r="B1041" t="inlineStr">
        <is>
          <t>PS374.F86 R6 1984</t>
        </is>
      </c>
      <c r="C1041" t="inlineStr">
        <is>
          <t>0                      PS 0374000F  86                 R  6           1984</t>
        </is>
      </c>
      <c r="D1041" t="inlineStr">
        <is>
          <t>Feminist futures--contemporary women's speculative fiction / by Natalie M. Rosinsky.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Rosinsky, Natalie M. (Natalie Myra)</t>
        </is>
      </c>
      <c r="L1041" t="inlineStr">
        <is>
          <t>Ann Arbor, Mich. : UMI Research Press, c1984.</t>
        </is>
      </c>
      <c r="M1041" t="inlineStr">
        <is>
          <t>1984</t>
        </is>
      </c>
      <c r="O1041" t="inlineStr">
        <is>
          <t>eng</t>
        </is>
      </c>
      <c r="P1041" t="inlineStr">
        <is>
          <t>miu</t>
        </is>
      </c>
      <c r="Q1041" t="inlineStr">
        <is>
          <t>Studies in speculative fiction ; no. 1</t>
        </is>
      </c>
      <c r="R1041" t="inlineStr">
        <is>
          <t xml:space="preserve">PS </t>
        </is>
      </c>
      <c r="S1041" t="n">
        <v>3</v>
      </c>
      <c r="T1041" t="n">
        <v>3</v>
      </c>
      <c r="U1041" t="inlineStr">
        <is>
          <t>1995-12-06</t>
        </is>
      </c>
      <c r="V1041" t="inlineStr">
        <is>
          <t>1995-12-06</t>
        </is>
      </c>
      <c r="W1041" t="inlineStr">
        <is>
          <t>1989-11-01</t>
        </is>
      </c>
      <c r="X1041" t="inlineStr">
        <is>
          <t>1989-11-01</t>
        </is>
      </c>
      <c r="Y1041" t="n">
        <v>625</v>
      </c>
      <c r="Z1041" t="n">
        <v>519</v>
      </c>
      <c r="AA1041" t="n">
        <v>526</v>
      </c>
      <c r="AB1041" t="n">
        <v>5</v>
      </c>
      <c r="AC1041" t="n">
        <v>5</v>
      </c>
      <c r="AD1041" t="n">
        <v>22</v>
      </c>
      <c r="AE1041" t="n">
        <v>22</v>
      </c>
      <c r="AF1041" t="n">
        <v>7</v>
      </c>
      <c r="AG1041" t="n">
        <v>7</v>
      </c>
      <c r="AH1041" t="n">
        <v>4</v>
      </c>
      <c r="AI1041" t="n">
        <v>4</v>
      </c>
      <c r="AJ1041" t="n">
        <v>14</v>
      </c>
      <c r="AK1041" t="n">
        <v>14</v>
      </c>
      <c r="AL1041" t="n">
        <v>4</v>
      </c>
      <c r="AM1041" t="n">
        <v>4</v>
      </c>
      <c r="AN1041" t="n">
        <v>0</v>
      </c>
      <c r="AO1041" t="n">
        <v>0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HYPERLINK("http://catalog.hathitrust.org/Record/000616418","HathiTrust Record")</f>
        <v/>
      </c>
      <c r="AS1041">
        <f>HYPERLINK("https://creighton-primo.hosted.exlibrisgroup.com/primo-explore/search?tab=default_tab&amp;search_scope=EVERYTHING&amp;vid=01CRU&amp;lang=en_US&amp;offset=0&amp;query=any,contains,991000426919702656","Catalog Record")</f>
        <v/>
      </c>
      <c r="AT1041">
        <f>HYPERLINK("http://www.worldcat.org/oclc/10754108","WorldCat Record")</f>
        <v/>
      </c>
      <c r="AU1041" t="inlineStr">
        <is>
          <t>2976050:eng</t>
        </is>
      </c>
      <c r="AV1041" t="inlineStr">
        <is>
          <t>10754108</t>
        </is>
      </c>
      <c r="AW1041" t="inlineStr">
        <is>
          <t>991000426919702656</t>
        </is>
      </c>
      <c r="AX1041" t="inlineStr">
        <is>
          <t>991000426919702656</t>
        </is>
      </c>
      <c r="AY1041" t="inlineStr">
        <is>
          <t>2268242950002656</t>
        </is>
      </c>
      <c r="AZ1041" t="inlineStr">
        <is>
          <t>BOOK</t>
        </is>
      </c>
      <c r="BB1041" t="inlineStr">
        <is>
          <t>9780835715782</t>
        </is>
      </c>
      <c r="BC1041" t="inlineStr">
        <is>
          <t>32285000011337</t>
        </is>
      </c>
      <c r="BD1041" t="inlineStr">
        <is>
          <t>893595539</t>
        </is>
      </c>
    </row>
    <row r="1042">
      <c r="A1042" t="inlineStr">
        <is>
          <t>No</t>
        </is>
      </c>
      <c r="B1042" t="inlineStr">
        <is>
          <t>PS374.H86 S23 1988</t>
        </is>
      </c>
      <c r="C1042" t="inlineStr">
        <is>
          <t>0                      PS 0374000H  86                 S  23          1988</t>
        </is>
      </c>
      <c r="D1042" t="inlineStr">
        <is>
          <t>The contemporary American comic epic : the novels of Barth, Pynchon, Gaddis, and Kesey / Elaine B. Safer.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Safer, Elaine B.</t>
        </is>
      </c>
      <c r="L1042" t="inlineStr">
        <is>
          <t>Detroit : Wayne State University Press, 1988.</t>
        </is>
      </c>
      <c r="M1042" t="inlineStr">
        <is>
          <t>1988</t>
        </is>
      </c>
      <c r="O1042" t="inlineStr">
        <is>
          <t>eng</t>
        </is>
      </c>
      <c r="P1042" t="inlineStr">
        <is>
          <t>miu</t>
        </is>
      </c>
      <c r="Q1042" t="inlineStr">
        <is>
          <t>Humor in life and letters</t>
        </is>
      </c>
      <c r="R1042" t="inlineStr">
        <is>
          <t xml:space="preserve">PS </t>
        </is>
      </c>
      <c r="S1042" t="n">
        <v>5</v>
      </c>
      <c r="T1042" t="n">
        <v>5</v>
      </c>
      <c r="U1042" t="inlineStr">
        <is>
          <t>2001-04-02</t>
        </is>
      </c>
      <c r="V1042" t="inlineStr">
        <is>
          <t>2001-04-02</t>
        </is>
      </c>
      <c r="W1042" t="inlineStr">
        <is>
          <t>1990-10-17</t>
        </is>
      </c>
      <c r="X1042" t="inlineStr">
        <is>
          <t>1990-10-17</t>
        </is>
      </c>
      <c r="Y1042" t="n">
        <v>648</v>
      </c>
      <c r="Z1042" t="n">
        <v>578</v>
      </c>
      <c r="AA1042" t="n">
        <v>627</v>
      </c>
      <c r="AB1042" t="n">
        <v>6</v>
      </c>
      <c r="AC1042" t="n">
        <v>6</v>
      </c>
      <c r="AD1042" t="n">
        <v>28</v>
      </c>
      <c r="AE1042" t="n">
        <v>31</v>
      </c>
      <c r="AF1042" t="n">
        <v>8</v>
      </c>
      <c r="AG1042" t="n">
        <v>10</v>
      </c>
      <c r="AH1042" t="n">
        <v>8</v>
      </c>
      <c r="AI1042" t="n">
        <v>8</v>
      </c>
      <c r="AJ1042" t="n">
        <v>15</v>
      </c>
      <c r="AK1042" t="n">
        <v>16</v>
      </c>
      <c r="AL1042" t="n">
        <v>4</v>
      </c>
      <c r="AM1042" t="n">
        <v>4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Yes</t>
        </is>
      </c>
      <c r="AR1042">
        <f>HYPERLINK("http://catalog.hathitrust.org/Record/001091212","HathiTrust Record")</f>
        <v/>
      </c>
      <c r="AS1042">
        <f>HYPERLINK("https://creighton-primo.hosted.exlibrisgroup.com/primo-explore/search?tab=default_tab&amp;search_scope=EVERYTHING&amp;vid=01CRU&amp;lang=en_US&amp;offset=0&amp;query=any,contains,991005409379702656","Catalog Record")</f>
        <v/>
      </c>
      <c r="AT1042">
        <f>HYPERLINK("http://www.worldcat.org/oclc/18051504","WorldCat Record")</f>
        <v/>
      </c>
      <c r="AU1042" t="inlineStr">
        <is>
          <t>808414178:eng</t>
        </is>
      </c>
      <c r="AV1042" t="inlineStr">
        <is>
          <t>18051504</t>
        </is>
      </c>
      <c r="AW1042" t="inlineStr">
        <is>
          <t>991005409379702656</t>
        </is>
      </c>
      <c r="AX1042" t="inlineStr">
        <is>
          <t>991005409379702656</t>
        </is>
      </c>
      <c r="AY1042" t="inlineStr">
        <is>
          <t>2268099830002656</t>
        </is>
      </c>
      <c r="AZ1042" t="inlineStr">
        <is>
          <t>BOOK</t>
        </is>
      </c>
      <c r="BB1042" t="inlineStr">
        <is>
          <t>9780814319420</t>
        </is>
      </c>
      <c r="BC1042" t="inlineStr">
        <is>
          <t>32285000360213</t>
        </is>
      </c>
      <c r="BD1042" t="inlineStr">
        <is>
          <t>893802261</t>
        </is>
      </c>
    </row>
    <row r="1043">
      <c r="A1043" t="inlineStr">
        <is>
          <t>No</t>
        </is>
      </c>
      <c r="B1043" t="inlineStr">
        <is>
          <t>PS374.M52 M3</t>
        </is>
      </c>
      <c r="C1043" t="inlineStr">
        <is>
          <t>0                      PS 0374000M  52                 M  3</t>
        </is>
      </c>
      <c r="D1043" t="inlineStr">
        <is>
          <t>The apocalyptic vision in nineteenth century American fiction : a study of Cooper, Hawthorne, and Melville / Lakshmi Mani.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Mani, Lakshmi.</t>
        </is>
      </c>
      <c r="L1043" t="inlineStr">
        <is>
          <t>Washington, D.C. : University Press of America, c1981.</t>
        </is>
      </c>
      <c r="M1043" t="inlineStr">
        <is>
          <t>1981</t>
        </is>
      </c>
      <c r="O1043" t="inlineStr">
        <is>
          <t>eng</t>
        </is>
      </c>
      <c r="P1043" t="inlineStr">
        <is>
          <t>dcu</t>
        </is>
      </c>
      <c r="R1043" t="inlineStr">
        <is>
          <t xml:space="preserve">PS </t>
        </is>
      </c>
      <c r="S1043" t="n">
        <v>10</v>
      </c>
      <c r="T1043" t="n">
        <v>10</v>
      </c>
      <c r="U1043" t="inlineStr">
        <is>
          <t>1999-10-20</t>
        </is>
      </c>
      <c r="V1043" t="inlineStr">
        <is>
          <t>1999-10-20</t>
        </is>
      </c>
      <c r="W1043" t="inlineStr">
        <is>
          <t>1990-10-17</t>
        </is>
      </c>
      <c r="X1043" t="inlineStr">
        <is>
          <t>1990-10-17</t>
        </is>
      </c>
      <c r="Y1043" t="n">
        <v>289</v>
      </c>
      <c r="Z1043" t="n">
        <v>262</v>
      </c>
      <c r="AA1043" t="n">
        <v>263</v>
      </c>
      <c r="AB1043" t="n">
        <v>4</v>
      </c>
      <c r="AC1043" t="n">
        <v>4</v>
      </c>
      <c r="AD1043" t="n">
        <v>12</v>
      </c>
      <c r="AE1043" t="n">
        <v>12</v>
      </c>
      <c r="AF1043" t="n">
        <v>2</v>
      </c>
      <c r="AG1043" t="n">
        <v>2</v>
      </c>
      <c r="AH1043" t="n">
        <v>1</v>
      </c>
      <c r="AI1043" t="n">
        <v>1</v>
      </c>
      <c r="AJ1043" t="n">
        <v>8</v>
      </c>
      <c r="AK1043" t="n">
        <v>8</v>
      </c>
      <c r="AL1043" t="n">
        <v>3</v>
      </c>
      <c r="AM1043" t="n">
        <v>3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HYPERLINK("http://catalog.hathitrust.org/Record/007103814","HathiTrust Record")</f>
        <v/>
      </c>
      <c r="AS1043">
        <f>HYPERLINK("https://creighton-primo.hosted.exlibrisgroup.com/primo-explore/search?tab=default_tab&amp;search_scope=EVERYTHING&amp;vid=01CRU&amp;lang=en_US&amp;offset=0&amp;query=any,contains,991005133399702656","Catalog Record")</f>
        <v/>
      </c>
      <c r="AT1043">
        <f>HYPERLINK("http://www.worldcat.org/oclc/7574422","WorldCat Record")</f>
        <v/>
      </c>
      <c r="AU1043" t="inlineStr">
        <is>
          <t>292759879:eng</t>
        </is>
      </c>
      <c r="AV1043" t="inlineStr">
        <is>
          <t>7574422</t>
        </is>
      </c>
      <c r="AW1043" t="inlineStr">
        <is>
          <t>991005133399702656</t>
        </is>
      </c>
      <c r="AX1043" t="inlineStr">
        <is>
          <t>991005133399702656</t>
        </is>
      </c>
      <c r="AY1043" t="inlineStr">
        <is>
          <t>2270997480002656</t>
        </is>
      </c>
      <c r="AZ1043" t="inlineStr">
        <is>
          <t>BOOK</t>
        </is>
      </c>
      <c r="BB1043" t="inlineStr">
        <is>
          <t>9780819116024</t>
        </is>
      </c>
      <c r="BC1043" t="inlineStr">
        <is>
          <t>32285000360296</t>
        </is>
      </c>
      <c r="BD1043" t="inlineStr">
        <is>
          <t>893514095</t>
        </is>
      </c>
    </row>
    <row r="1044">
      <c r="A1044" t="inlineStr">
        <is>
          <t>No</t>
        </is>
      </c>
      <c r="B1044" t="inlineStr">
        <is>
          <t>PS374.R37 C3</t>
        </is>
      </c>
      <c r="C1044" t="inlineStr">
        <is>
          <t>0                      PS 0374000R  37                 C  3</t>
        </is>
      </c>
      <c r="D1044" t="inlineStr">
        <is>
          <t>The light of common day; realism in American fiction [by] Edwin H. Cady.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Cady, Edwin Harrison.</t>
        </is>
      </c>
      <c r="L1044" t="inlineStr">
        <is>
          <t>Bloomington, Indiana University Press [1971]</t>
        </is>
      </c>
      <c r="M1044" t="inlineStr">
        <is>
          <t>1971</t>
        </is>
      </c>
      <c r="O1044" t="inlineStr">
        <is>
          <t>eng</t>
        </is>
      </c>
      <c r="P1044" t="inlineStr">
        <is>
          <t>inu</t>
        </is>
      </c>
      <c r="R1044" t="inlineStr">
        <is>
          <t xml:space="preserve">PS </t>
        </is>
      </c>
      <c r="S1044" t="n">
        <v>3</v>
      </c>
      <c r="T1044" t="n">
        <v>3</v>
      </c>
      <c r="U1044" t="inlineStr">
        <is>
          <t>2004-10-10</t>
        </is>
      </c>
      <c r="V1044" t="inlineStr">
        <is>
          <t>2004-10-10</t>
        </is>
      </c>
      <c r="W1044" t="inlineStr">
        <is>
          <t>1997-05-02</t>
        </is>
      </c>
      <c r="X1044" t="inlineStr">
        <is>
          <t>1997-05-02</t>
        </is>
      </c>
      <c r="Y1044" t="n">
        <v>1197</v>
      </c>
      <c r="Z1044" t="n">
        <v>1072</v>
      </c>
      <c r="AA1044" t="n">
        <v>1082</v>
      </c>
      <c r="AB1044" t="n">
        <v>14</v>
      </c>
      <c r="AC1044" t="n">
        <v>14</v>
      </c>
      <c r="AD1044" t="n">
        <v>48</v>
      </c>
      <c r="AE1044" t="n">
        <v>48</v>
      </c>
      <c r="AF1044" t="n">
        <v>16</v>
      </c>
      <c r="AG1044" t="n">
        <v>16</v>
      </c>
      <c r="AH1044" t="n">
        <v>8</v>
      </c>
      <c r="AI1044" t="n">
        <v>8</v>
      </c>
      <c r="AJ1044" t="n">
        <v>22</v>
      </c>
      <c r="AK1044" t="n">
        <v>22</v>
      </c>
      <c r="AL1044" t="n">
        <v>12</v>
      </c>
      <c r="AM1044" t="n">
        <v>12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Yes</t>
        </is>
      </c>
      <c r="AR1044">
        <f>HYPERLINK("http://catalog.hathitrust.org/Record/001026639","HathiTrust Record")</f>
        <v/>
      </c>
      <c r="AS1044">
        <f>HYPERLINK("https://creighton-primo.hosted.exlibrisgroup.com/primo-explore/search?tab=default_tab&amp;search_scope=EVERYTHING&amp;vid=01CRU&amp;lang=en_US&amp;offset=0&amp;query=any,contains,991001179529702656","Catalog Record")</f>
        <v/>
      </c>
      <c r="AT1044">
        <f>HYPERLINK("http://www.worldcat.org/oclc/189789","WorldCat Record")</f>
        <v/>
      </c>
      <c r="AU1044" t="inlineStr">
        <is>
          <t>1346323:eng</t>
        </is>
      </c>
      <c r="AV1044" t="inlineStr">
        <is>
          <t>189789</t>
        </is>
      </c>
      <c r="AW1044" t="inlineStr">
        <is>
          <t>991001179529702656</t>
        </is>
      </c>
      <c r="AX1044" t="inlineStr">
        <is>
          <t>991001179529702656</t>
        </is>
      </c>
      <c r="AY1044" t="inlineStr">
        <is>
          <t>2268459810002656</t>
        </is>
      </c>
      <c r="AZ1044" t="inlineStr">
        <is>
          <t>BOOK</t>
        </is>
      </c>
      <c r="BB1044" t="inlineStr">
        <is>
          <t>9780253334305</t>
        </is>
      </c>
      <c r="BC1044" t="inlineStr">
        <is>
          <t>32285002637105</t>
        </is>
      </c>
      <c r="BD1044" t="inlineStr">
        <is>
          <t>893515965</t>
        </is>
      </c>
    </row>
    <row r="1045">
      <c r="A1045" t="inlineStr">
        <is>
          <t>No</t>
        </is>
      </c>
      <c r="B1045" t="inlineStr">
        <is>
          <t>PS374.R47 H3 1983</t>
        </is>
      </c>
      <c r="C1045" t="inlineStr">
        <is>
          <t>0                      PS 0374000R  47                 H  3           1983</t>
        </is>
      </c>
      <c r="D1045" t="inlineStr">
        <is>
          <t>The language of grace : Flannery O'Connor, Walker Percy &amp; Iris Murdoch / Peter S. Hawkins.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Hawkins, Peter S.</t>
        </is>
      </c>
      <c r="L1045" t="inlineStr">
        <is>
          <t>Cambridge, MA : Cowley, c1983.</t>
        </is>
      </c>
      <c r="M1045" t="inlineStr">
        <is>
          <t>1983</t>
        </is>
      </c>
      <c r="O1045" t="inlineStr">
        <is>
          <t>eng</t>
        </is>
      </c>
      <c r="P1045" t="inlineStr">
        <is>
          <t>mau</t>
        </is>
      </c>
      <c r="R1045" t="inlineStr">
        <is>
          <t xml:space="preserve">PS </t>
        </is>
      </c>
      <c r="S1045" t="n">
        <v>3</v>
      </c>
      <c r="T1045" t="n">
        <v>3</v>
      </c>
      <c r="U1045" t="inlineStr">
        <is>
          <t>1997-06-15</t>
        </is>
      </c>
      <c r="V1045" t="inlineStr">
        <is>
          <t>1997-06-15</t>
        </is>
      </c>
      <c r="W1045" t="inlineStr">
        <is>
          <t>1990-10-17</t>
        </is>
      </c>
      <c r="X1045" t="inlineStr">
        <is>
          <t>1990-10-17</t>
        </is>
      </c>
      <c r="Y1045" t="n">
        <v>484</v>
      </c>
      <c r="Z1045" t="n">
        <v>430</v>
      </c>
      <c r="AA1045" t="n">
        <v>457</v>
      </c>
      <c r="AB1045" t="n">
        <v>3</v>
      </c>
      <c r="AC1045" t="n">
        <v>3</v>
      </c>
      <c r="AD1045" t="n">
        <v>27</v>
      </c>
      <c r="AE1045" t="n">
        <v>30</v>
      </c>
      <c r="AF1045" t="n">
        <v>7</v>
      </c>
      <c r="AG1045" t="n">
        <v>9</v>
      </c>
      <c r="AH1045" t="n">
        <v>7</v>
      </c>
      <c r="AI1045" t="n">
        <v>7</v>
      </c>
      <c r="AJ1045" t="n">
        <v>17</v>
      </c>
      <c r="AK1045" t="n">
        <v>20</v>
      </c>
      <c r="AL1045" t="n">
        <v>2</v>
      </c>
      <c r="AM1045" t="n">
        <v>2</v>
      </c>
      <c r="AN1045" t="n">
        <v>0</v>
      </c>
      <c r="AO1045" t="n">
        <v>0</v>
      </c>
      <c r="AP1045" t="inlineStr">
        <is>
          <t>No</t>
        </is>
      </c>
      <c r="AQ1045" t="inlineStr">
        <is>
          <t>Yes</t>
        </is>
      </c>
      <c r="AR1045">
        <f>HYPERLINK("http://catalog.hathitrust.org/Record/000332690","HathiTrust Record")</f>
        <v/>
      </c>
      <c r="AS1045">
        <f>HYPERLINK("https://creighton-primo.hosted.exlibrisgroup.com/primo-explore/search?tab=default_tab&amp;search_scope=EVERYTHING&amp;vid=01CRU&amp;lang=en_US&amp;offset=0&amp;query=any,contains,991000181029702656","Catalog Record")</f>
        <v/>
      </c>
      <c r="AT1045">
        <f>HYPERLINK("http://www.worldcat.org/oclc/9377016","WorldCat Record")</f>
        <v/>
      </c>
      <c r="AU1045" t="inlineStr">
        <is>
          <t>287854719:eng</t>
        </is>
      </c>
      <c r="AV1045" t="inlineStr">
        <is>
          <t>9377016</t>
        </is>
      </c>
      <c r="AW1045" t="inlineStr">
        <is>
          <t>991000181029702656</t>
        </is>
      </c>
      <c r="AX1045" t="inlineStr">
        <is>
          <t>991000181029702656</t>
        </is>
      </c>
      <c r="AY1045" t="inlineStr">
        <is>
          <t>2270986750002656</t>
        </is>
      </c>
      <c r="AZ1045" t="inlineStr">
        <is>
          <t>BOOK</t>
        </is>
      </c>
      <c r="BB1045" t="inlineStr">
        <is>
          <t>9780936384078</t>
        </is>
      </c>
      <c r="BC1045" t="inlineStr">
        <is>
          <t>32285000360437</t>
        </is>
      </c>
      <c r="BD1045" t="inlineStr">
        <is>
          <t>893515087</t>
        </is>
      </c>
    </row>
    <row r="1046">
      <c r="A1046" t="inlineStr">
        <is>
          <t>No</t>
        </is>
      </c>
      <c r="B1046" t="inlineStr">
        <is>
          <t>PS374.R6 D79 1988</t>
        </is>
      </c>
      <c r="C1046" t="inlineStr">
        <is>
          <t>0                      PS 0374000R  6                  D  79          1988</t>
        </is>
      </c>
      <c r="D1046" t="inlineStr">
        <is>
          <t>The form of American romance / Edgar A. Dryden.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Dryden, Edgar A.</t>
        </is>
      </c>
      <c r="L1046" t="inlineStr">
        <is>
          <t>Baltimore : Johns Hopkins University Press, c1988.</t>
        </is>
      </c>
      <c r="M1046" t="inlineStr">
        <is>
          <t>1988</t>
        </is>
      </c>
      <c r="O1046" t="inlineStr">
        <is>
          <t>eng</t>
        </is>
      </c>
      <c r="P1046" t="inlineStr">
        <is>
          <t>mdu</t>
        </is>
      </c>
      <c r="R1046" t="inlineStr">
        <is>
          <t xml:space="preserve">PS </t>
        </is>
      </c>
      <c r="S1046" t="n">
        <v>4</v>
      </c>
      <c r="T1046" t="n">
        <v>4</v>
      </c>
      <c r="U1046" t="inlineStr">
        <is>
          <t>2004-12-03</t>
        </is>
      </c>
      <c r="V1046" t="inlineStr">
        <is>
          <t>2004-12-03</t>
        </is>
      </c>
      <c r="W1046" t="inlineStr">
        <is>
          <t>1990-10-17</t>
        </is>
      </c>
      <c r="X1046" t="inlineStr">
        <is>
          <t>1990-10-17</t>
        </is>
      </c>
      <c r="Y1046" t="n">
        <v>538</v>
      </c>
      <c r="Z1046" t="n">
        <v>461</v>
      </c>
      <c r="AA1046" t="n">
        <v>573</v>
      </c>
      <c r="AB1046" t="n">
        <v>6</v>
      </c>
      <c r="AC1046" t="n">
        <v>8</v>
      </c>
      <c r="AD1046" t="n">
        <v>21</v>
      </c>
      <c r="AE1046" t="n">
        <v>27</v>
      </c>
      <c r="AF1046" t="n">
        <v>5</v>
      </c>
      <c r="AG1046" t="n">
        <v>8</v>
      </c>
      <c r="AH1046" t="n">
        <v>7</v>
      </c>
      <c r="AI1046" t="n">
        <v>8</v>
      </c>
      <c r="AJ1046" t="n">
        <v>11</v>
      </c>
      <c r="AK1046" t="n">
        <v>12</v>
      </c>
      <c r="AL1046" t="n">
        <v>5</v>
      </c>
      <c r="AM1046" t="n">
        <v>7</v>
      </c>
      <c r="AN1046" t="n">
        <v>0</v>
      </c>
      <c r="AO1046" t="n">
        <v>0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HYPERLINK("http://catalog.hathitrust.org/Record/001077496","HathiTrust Record")</f>
        <v/>
      </c>
      <c r="AS1046">
        <f>HYPERLINK("https://creighton-primo.hosted.exlibrisgroup.com/primo-explore/search?tab=default_tab&amp;search_scope=EVERYTHING&amp;vid=01CRU&amp;lang=en_US&amp;offset=0&amp;query=any,contains,991001257649702656","Catalog Record")</f>
        <v/>
      </c>
      <c r="AT1046">
        <f>HYPERLINK("http://www.worldcat.org/oclc/17733228","WorldCat Record")</f>
        <v/>
      </c>
      <c r="AU1046" t="inlineStr">
        <is>
          <t>16768647:eng</t>
        </is>
      </c>
      <c r="AV1046" t="inlineStr">
        <is>
          <t>17733228</t>
        </is>
      </c>
      <c r="AW1046" t="inlineStr">
        <is>
          <t>991001257649702656</t>
        </is>
      </c>
      <c r="AX1046" t="inlineStr">
        <is>
          <t>991001257649702656</t>
        </is>
      </c>
      <c r="AY1046" t="inlineStr">
        <is>
          <t>2271583820002656</t>
        </is>
      </c>
      <c r="AZ1046" t="inlineStr">
        <is>
          <t>BOOK</t>
        </is>
      </c>
      <c r="BB1046" t="inlineStr">
        <is>
          <t>9780801836756</t>
        </is>
      </c>
      <c r="BC1046" t="inlineStr">
        <is>
          <t>32285000360478</t>
        </is>
      </c>
      <c r="BD1046" t="inlineStr">
        <is>
          <t>893261786</t>
        </is>
      </c>
    </row>
    <row r="1047">
      <c r="A1047" t="inlineStr">
        <is>
          <t>No</t>
        </is>
      </c>
      <c r="B1047" t="inlineStr">
        <is>
          <t>PS374.S35 D4 1980</t>
        </is>
      </c>
      <c r="C1047" t="inlineStr">
        <is>
          <t>0                      PS 0374000S  35                 D  4           1980</t>
        </is>
      </c>
      <c r="D1047" t="inlineStr">
        <is>
          <t>The world of science fiction, 1926-1976 : the history of a subculture / by Lester del Rey.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Del Rey, Lester, 1915-1993.</t>
        </is>
      </c>
      <c r="L1047" t="inlineStr">
        <is>
          <t>New York : Garland Pub., c1980.</t>
        </is>
      </c>
      <c r="M1047" t="inlineStr">
        <is>
          <t>1980</t>
        </is>
      </c>
      <c r="O1047" t="inlineStr">
        <is>
          <t>eng</t>
        </is>
      </c>
      <c r="P1047" t="inlineStr">
        <is>
          <t>nyu</t>
        </is>
      </c>
      <c r="R1047" t="inlineStr">
        <is>
          <t xml:space="preserve">PS </t>
        </is>
      </c>
      <c r="S1047" t="n">
        <v>3</v>
      </c>
      <c r="T1047" t="n">
        <v>3</v>
      </c>
      <c r="U1047" t="inlineStr">
        <is>
          <t>1995-02-15</t>
        </is>
      </c>
      <c r="V1047" t="inlineStr">
        <is>
          <t>1995-02-15</t>
        </is>
      </c>
      <c r="W1047" t="inlineStr">
        <is>
          <t>1990-07-31</t>
        </is>
      </c>
      <c r="X1047" t="inlineStr">
        <is>
          <t>1990-07-31</t>
        </is>
      </c>
      <c r="Y1047" t="n">
        <v>694</v>
      </c>
      <c r="Z1047" t="n">
        <v>591</v>
      </c>
      <c r="AA1047" t="n">
        <v>720</v>
      </c>
      <c r="AB1047" t="n">
        <v>10</v>
      </c>
      <c r="AC1047" t="n">
        <v>10</v>
      </c>
      <c r="AD1047" t="n">
        <v>23</v>
      </c>
      <c r="AE1047" t="n">
        <v>25</v>
      </c>
      <c r="AF1047" t="n">
        <v>7</v>
      </c>
      <c r="AG1047" t="n">
        <v>7</v>
      </c>
      <c r="AH1047" t="n">
        <v>6</v>
      </c>
      <c r="AI1047" t="n">
        <v>8</v>
      </c>
      <c r="AJ1047" t="n">
        <v>8</v>
      </c>
      <c r="AK1047" t="n">
        <v>10</v>
      </c>
      <c r="AL1047" t="n">
        <v>7</v>
      </c>
      <c r="AM1047" t="n">
        <v>7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Yes</t>
        </is>
      </c>
      <c r="AR1047">
        <f>HYPERLINK("http://catalog.hathitrust.org/Record/000733872","HathiTrust Record")</f>
        <v/>
      </c>
      <c r="AS1047">
        <f>HYPERLINK("https://creighton-primo.hosted.exlibrisgroup.com/primo-explore/search?tab=default_tab&amp;search_scope=EVERYTHING&amp;vid=01CRU&amp;lang=en_US&amp;offset=0&amp;query=any,contains,991004841539702656","Catalog Record")</f>
        <v/>
      </c>
      <c r="AT1047">
        <f>HYPERLINK("http://www.worldcat.org/oclc/5500269","WorldCat Record")</f>
        <v/>
      </c>
      <c r="AU1047" t="inlineStr">
        <is>
          <t>149444904:eng</t>
        </is>
      </c>
      <c r="AV1047" t="inlineStr">
        <is>
          <t>5500269</t>
        </is>
      </c>
      <c r="AW1047" t="inlineStr">
        <is>
          <t>991004841539702656</t>
        </is>
      </c>
      <c r="AX1047" t="inlineStr">
        <is>
          <t>991004841539702656</t>
        </is>
      </c>
      <c r="AY1047" t="inlineStr">
        <is>
          <t>2266363200002656</t>
        </is>
      </c>
      <c r="AZ1047" t="inlineStr">
        <is>
          <t>BOOK</t>
        </is>
      </c>
      <c r="BB1047" t="inlineStr">
        <is>
          <t>9780824014469</t>
        </is>
      </c>
      <c r="BC1047" t="inlineStr">
        <is>
          <t>32285000229558</t>
        </is>
      </c>
      <c r="BD1047" t="inlineStr">
        <is>
          <t>893688277</t>
        </is>
      </c>
    </row>
    <row r="1048">
      <c r="A1048" t="inlineStr">
        <is>
          <t>No</t>
        </is>
      </c>
      <c r="B1048" t="inlineStr">
        <is>
          <t>PS374.S5 V6</t>
        </is>
      </c>
      <c r="C1048" t="inlineStr">
        <is>
          <t>0                      PS 0374000S  5                  V  6</t>
        </is>
      </c>
      <c r="D1048" t="inlineStr">
        <is>
          <t>The American short story; a critical survey.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Voss, Arthur.</t>
        </is>
      </c>
      <c r="L1048" t="inlineStr">
        <is>
          <t>Norman, University of Oklahoma Press [1973]</t>
        </is>
      </c>
      <c r="M1048" t="inlineStr">
        <is>
          <t>1973</t>
        </is>
      </c>
      <c r="N1048" t="inlineStr">
        <is>
          <t>[1st ed.]</t>
        </is>
      </c>
      <c r="O1048" t="inlineStr">
        <is>
          <t>eng</t>
        </is>
      </c>
      <c r="P1048" t="inlineStr">
        <is>
          <t>oku</t>
        </is>
      </c>
      <c r="R1048" t="inlineStr">
        <is>
          <t xml:space="preserve">PS </t>
        </is>
      </c>
      <c r="S1048" t="n">
        <v>2</v>
      </c>
      <c r="T1048" t="n">
        <v>2</v>
      </c>
      <c r="U1048" t="inlineStr">
        <is>
          <t>1998-03-15</t>
        </is>
      </c>
      <c r="V1048" t="inlineStr">
        <is>
          <t>1998-03-15</t>
        </is>
      </c>
      <c r="W1048" t="inlineStr">
        <is>
          <t>1997-05-02</t>
        </is>
      </c>
      <c r="X1048" t="inlineStr">
        <is>
          <t>1997-05-02</t>
        </is>
      </c>
      <c r="Y1048" t="n">
        <v>1386</v>
      </c>
      <c r="Z1048" t="n">
        <v>1247</v>
      </c>
      <c r="AA1048" t="n">
        <v>1254</v>
      </c>
      <c r="AB1048" t="n">
        <v>10</v>
      </c>
      <c r="AC1048" t="n">
        <v>10</v>
      </c>
      <c r="AD1048" t="n">
        <v>39</v>
      </c>
      <c r="AE1048" t="n">
        <v>39</v>
      </c>
      <c r="AF1048" t="n">
        <v>15</v>
      </c>
      <c r="AG1048" t="n">
        <v>15</v>
      </c>
      <c r="AH1048" t="n">
        <v>7</v>
      </c>
      <c r="AI1048" t="n">
        <v>7</v>
      </c>
      <c r="AJ1048" t="n">
        <v>15</v>
      </c>
      <c r="AK1048" t="n">
        <v>15</v>
      </c>
      <c r="AL1048" t="n">
        <v>8</v>
      </c>
      <c r="AM1048" t="n">
        <v>8</v>
      </c>
      <c r="AN1048" t="n">
        <v>0</v>
      </c>
      <c r="AO1048" t="n">
        <v>0</v>
      </c>
      <c r="AP1048" t="inlineStr">
        <is>
          <t>No</t>
        </is>
      </c>
      <c r="AQ1048" t="inlineStr">
        <is>
          <t>No</t>
        </is>
      </c>
      <c r="AS1048">
        <f>HYPERLINK("https://creighton-primo.hosted.exlibrisgroup.com/primo-explore/search?tab=default_tab&amp;search_scope=EVERYTHING&amp;vid=01CRU&amp;lang=en_US&amp;offset=0&amp;query=any,contains,991003078999702656","Catalog Record")</f>
        <v/>
      </c>
      <c r="AT1048">
        <f>HYPERLINK("http://www.worldcat.org/oclc/631890","WorldCat Record")</f>
        <v/>
      </c>
      <c r="AU1048" t="inlineStr">
        <is>
          <t>197977216:eng</t>
        </is>
      </c>
      <c r="AV1048" t="inlineStr">
        <is>
          <t>631890</t>
        </is>
      </c>
      <c r="AW1048" t="inlineStr">
        <is>
          <t>991003078999702656</t>
        </is>
      </c>
      <c r="AX1048" t="inlineStr">
        <is>
          <t>991003078999702656</t>
        </is>
      </c>
      <c r="AY1048" t="inlineStr">
        <is>
          <t>2263104790002656</t>
        </is>
      </c>
      <c r="AZ1048" t="inlineStr">
        <is>
          <t>BOOK</t>
        </is>
      </c>
      <c r="BB1048" t="inlineStr">
        <is>
          <t>9780806110707</t>
        </is>
      </c>
      <c r="BC1048" t="inlineStr">
        <is>
          <t>32285002637188</t>
        </is>
      </c>
      <c r="BD1048" t="inlineStr">
        <is>
          <t>893233805</t>
        </is>
      </c>
    </row>
    <row r="1049">
      <c r="A1049" t="inlineStr">
        <is>
          <t>No</t>
        </is>
      </c>
      <c r="B1049" t="inlineStr">
        <is>
          <t>PS374.T66 B3 1984</t>
        </is>
      </c>
      <c r="C1049" t="inlineStr">
        <is>
          <t>0                      PS 0374000T  66                 B  3           1984</t>
        </is>
      </c>
      <c r="D1049" t="inlineStr">
        <is>
          <t>Tragedy as a critique of virtue : the novel and ethical reflection / John D. Barbour.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Barbour, John D.</t>
        </is>
      </c>
      <c r="L1049" t="inlineStr">
        <is>
          <t>Chico, Calif. : Scholars Press, c1984.</t>
        </is>
      </c>
      <c r="M1049" t="inlineStr">
        <is>
          <t>1984</t>
        </is>
      </c>
      <c r="O1049" t="inlineStr">
        <is>
          <t>eng</t>
        </is>
      </c>
      <c r="P1049" t="inlineStr">
        <is>
          <t>cau</t>
        </is>
      </c>
      <c r="Q1049" t="inlineStr">
        <is>
          <t>Scholars Press studies in the humanities series</t>
        </is>
      </c>
      <c r="R1049" t="inlineStr">
        <is>
          <t xml:space="preserve">PS </t>
        </is>
      </c>
      <c r="S1049" t="n">
        <v>2</v>
      </c>
      <c r="T1049" t="n">
        <v>2</v>
      </c>
      <c r="U1049" t="inlineStr">
        <is>
          <t>2000-09-13</t>
        </is>
      </c>
      <c r="V1049" t="inlineStr">
        <is>
          <t>2000-09-13</t>
        </is>
      </c>
      <c r="W1049" t="inlineStr">
        <is>
          <t>1992-06-03</t>
        </is>
      </c>
      <c r="X1049" t="inlineStr">
        <is>
          <t>1992-06-03</t>
        </is>
      </c>
      <c r="Y1049" t="n">
        <v>301</v>
      </c>
      <c r="Z1049" t="n">
        <v>249</v>
      </c>
      <c r="AA1049" t="n">
        <v>251</v>
      </c>
      <c r="AB1049" t="n">
        <v>3</v>
      </c>
      <c r="AC1049" t="n">
        <v>3</v>
      </c>
      <c r="AD1049" t="n">
        <v>15</v>
      </c>
      <c r="AE1049" t="n">
        <v>15</v>
      </c>
      <c r="AF1049" t="n">
        <v>5</v>
      </c>
      <c r="AG1049" t="n">
        <v>5</v>
      </c>
      <c r="AH1049" t="n">
        <v>5</v>
      </c>
      <c r="AI1049" t="n">
        <v>5</v>
      </c>
      <c r="AJ1049" t="n">
        <v>6</v>
      </c>
      <c r="AK1049" t="n">
        <v>6</v>
      </c>
      <c r="AL1049" t="n">
        <v>2</v>
      </c>
      <c r="AM1049" t="n">
        <v>2</v>
      </c>
      <c r="AN1049" t="n">
        <v>0</v>
      </c>
      <c r="AO1049" t="n">
        <v>0</v>
      </c>
      <c r="AP1049" t="inlineStr">
        <is>
          <t>No</t>
        </is>
      </c>
      <c r="AQ1049" t="inlineStr">
        <is>
          <t>Yes</t>
        </is>
      </c>
      <c r="AR1049">
        <f>HYPERLINK("http://catalog.hathitrust.org/Record/000341148","HathiTrust Record")</f>
        <v/>
      </c>
      <c r="AS1049">
        <f>HYPERLINK("https://creighton-primo.hosted.exlibrisgroup.com/primo-explore/search?tab=default_tab&amp;search_scope=EVERYTHING&amp;vid=01CRU&amp;lang=en_US&amp;offset=0&amp;query=any,contains,991000290789702656","Catalog Record")</f>
        <v/>
      </c>
      <c r="AT1049">
        <f>HYPERLINK("http://www.worldcat.org/oclc/9968948","WorldCat Record")</f>
        <v/>
      </c>
      <c r="AU1049" t="inlineStr">
        <is>
          <t>889783441:eng</t>
        </is>
      </c>
      <c r="AV1049" t="inlineStr">
        <is>
          <t>9968948</t>
        </is>
      </c>
      <c r="AW1049" t="inlineStr">
        <is>
          <t>991000290789702656</t>
        </is>
      </c>
      <c r="AX1049" t="inlineStr">
        <is>
          <t>991000290789702656</t>
        </is>
      </c>
      <c r="AY1049" t="inlineStr">
        <is>
          <t>2262808800002656</t>
        </is>
      </c>
      <c r="AZ1049" t="inlineStr">
        <is>
          <t>BOOK</t>
        </is>
      </c>
      <c r="BB1049" t="inlineStr">
        <is>
          <t>9780891306627</t>
        </is>
      </c>
      <c r="BC1049" t="inlineStr">
        <is>
          <t>32285001126563</t>
        </is>
      </c>
      <c r="BD1049" t="inlineStr">
        <is>
          <t>893320956</t>
        </is>
      </c>
    </row>
    <row r="1050">
      <c r="A1050" t="inlineStr">
        <is>
          <t>No</t>
        </is>
      </c>
      <c r="B1050" t="inlineStr">
        <is>
          <t>PS377 .B35</t>
        </is>
      </c>
      <c r="C1050" t="inlineStr">
        <is>
          <t>0                      PS 0377000B  35</t>
        </is>
      </c>
      <c r="D1050" t="inlineStr">
        <is>
          <t>American romanticism; a shape for fiction. Selected, edited, and with introductions by Stanley Bank.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K1050" t="inlineStr">
        <is>
          <t>Bank, Stanley, compiler.</t>
        </is>
      </c>
      <c r="L1050" t="inlineStr">
        <is>
          <t>New York, Putnam [1969]</t>
        </is>
      </c>
      <c r="M1050" t="inlineStr">
        <is>
          <t>1969</t>
        </is>
      </c>
      <c r="O1050" t="inlineStr">
        <is>
          <t>eng</t>
        </is>
      </c>
      <c r="P1050" t="inlineStr">
        <is>
          <t>nyu</t>
        </is>
      </c>
      <c r="R1050" t="inlineStr">
        <is>
          <t xml:space="preserve">PS </t>
        </is>
      </c>
      <c r="S1050" t="n">
        <v>5</v>
      </c>
      <c r="T1050" t="n">
        <v>5</v>
      </c>
      <c r="U1050" t="inlineStr">
        <is>
          <t>2000-04-07</t>
        </is>
      </c>
      <c r="V1050" t="inlineStr">
        <is>
          <t>2000-04-07</t>
        </is>
      </c>
      <c r="W1050" t="inlineStr">
        <is>
          <t>1997-05-02</t>
        </is>
      </c>
      <c r="X1050" t="inlineStr">
        <is>
          <t>1997-05-02</t>
        </is>
      </c>
      <c r="Y1050" t="n">
        <v>553</v>
      </c>
      <c r="Z1050" t="n">
        <v>518</v>
      </c>
      <c r="AA1050" t="n">
        <v>597</v>
      </c>
      <c r="AB1050" t="n">
        <v>4</v>
      </c>
      <c r="AC1050" t="n">
        <v>4</v>
      </c>
      <c r="AD1050" t="n">
        <v>19</v>
      </c>
      <c r="AE1050" t="n">
        <v>21</v>
      </c>
      <c r="AF1050" t="n">
        <v>7</v>
      </c>
      <c r="AG1050" t="n">
        <v>7</v>
      </c>
      <c r="AH1050" t="n">
        <v>5</v>
      </c>
      <c r="AI1050" t="n">
        <v>6</v>
      </c>
      <c r="AJ1050" t="n">
        <v>9</v>
      </c>
      <c r="AK1050" t="n">
        <v>10</v>
      </c>
      <c r="AL1050" t="n">
        <v>3</v>
      </c>
      <c r="AM1050" t="n">
        <v>3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HYPERLINK("http://catalog.hathitrust.org/Record/001440751","HathiTrust Record")</f>
        <v/>
      </c>
      <c r="AS1050">
        <f>HYPERLINK("https://creighton-primo.hosted.exlibrisgroup.com/primo-explore/search?tab=default_tab&amp;search_scope=EVERYTHING&amp;vid=01CRU&amp;lang=en_US&amp;offset=0&amp;query=any,contains,991000055539702656","Catalog Record")</f>
        <v/>
      </c>
      <c r="AT1050">
        <f>HYPERLINK("http://www.worldcat.org/oclc/23448","WorldCat Record")</f>
        <v/>
      </c>
      <c r="AU1050" t="inlineStr">
        <is>
          <t>1145685:eng</t>
        </is>
      </c>
      <c r="AV1050" t="inlineStr">
        <is>
          <t>23448</t>
        </is>
      </c>
      <c r="AW1050" t="inlineStr">
        <is>
          <t>991000055539702656</t>
        </is>
      </c>
      <c r="AX1050" t="inlineStr">
        <is>
          <t>991000055539702656</t>
        </is>
      </c>
      <c r="AY1050" t="inlineStr">
        <is>
          <t>2265513790002656</t>
        </is>
      </c>
      <c r="AZ1050" t="inlineStr">
        <is>
          <t>BOOK</t>
        </is>
      </c>
      <c r="BC1050" t="inlineStr">
        <is>
          <t>32285002637287</t>
        </is>
      </c>
      <c r="BD1050" t="inlineStr">
        <is>
          <t>893242940</t>
        </is>
      </c>
    </row>
    <row r="1051">
      <c r="A1051" t="inlineStr">
        <is>
          <t>No</t>
        </is>
      </c>
      <c r="B1051" t="inlineStr">
        <is>
          <t>PS377 .B4</t>
        </is>
      </c>
      <c r="C1051" t="inlineStr">
        <is>
          <t>0                      PS 0377000B  4</t>
        </is>
      </c>
      <c r="D1051" t="inlineStr">
        <is>
          <t>The development of American romance : the sacrifice of relation / Michael Davitt Bell.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Bell, Michael Davitt.</t>
        </is>
      </c>
      <c r="L1051" t="inlineStr">
        <is>
          <t>Chicago : University of Chicago Press, c1980.</t>
        </is>
      </c>
      <c r="M1051" t="inlineStr">
        <is>
          <t>1980</t>
        </is>
      </c>
      <c r="O1051" t="inlineStr">
        <is>
          <t>eng</t>
        </is>
      </c>
      <c r="P1051" t="inlineStr">
        <is>
          <t>ilu</t>
        </is>
      </c>
      <c r="R1051" t="inlineStr">
        <is>
          <t xml:space="preserve">PS </t>
        </is>
      </c>
      <c r="S1051" t="n">
        <v>4</v>
      </c>
      <c r="T1051" t="n">
        <v>4</v>
      </c>
      <c r="U1051" t="inlineStr">
        <is>
          <t>2001-03-24</t>
        </is>
      </c>
      <c r="V1051" t="inlineStr">
        <is>
          <t>2001-03-24</t>
        </is>
      </c>
      <c r="W1051" t="inlineStr">
        <is>
          <t>1990-10-17</t>
        </is>
      </c>
      <c r="X1051" t="inlineStr">
        <is>
          <t>1990-10-17</t>
        </is>
      </c>
      <c r="Y1051" t="n">
        <v>975</v>
      </c>
      <c r="Z1051" t="n">
        <v>828</v>
      </c>
      <c r="AA1051" t="n">
        <v>861</v>
      </c>
      <c r="AB1051" t="n">
        <v>8</v>
      </c>
      <c r="AC1051" t="n">
        <v>8</v>
      </c>
      <c r="AD1051" t="n">
        <v>39</v>
      </c>
      <c r="AE1051" t="n">
        <v>42</v>
      </c>
      <c r="AF1051" t="n">
        <v>14</v>
      </c>
      <c r="AG1051" t="n">
        <v>17</v>
      </c>
      <c r="AH1051" t="n">
        <v>10</v>
      </c>
      <c r="AI1051" t="n">
        <v>10</v>
      </c>
      <c r="AJ1051" t="n">
        <v>17</v>
      </c>
      <c r="AK1051" t="n">
        <v>19</v>
      </c>
      <c r="AL1051" t="n">
        <v>7</v>
      </c>
      <c r="AM1051" t="n">
        <v>7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No</t>
        </is>
      </c>
      <c r="AS1051">
        <f>HYPERLINK("https://creighton-primo.hosted.exlibrisgroup.com/primo-explore/search?tab=default_tab&amp;search_scope=EVERYTHING&amp;vid=01CRU&amp;lang=en_US&amp;offset=0&amp;query=any,contains,991004927939702656","Catalog Record")</f>
        <v/>
      </c>
      <c r="AT1051">
        <f>HYPERLINK("http://www.worldcat.org/oclc/6087640","WorldCat Record")</f>
        <v/>
      </c>
      <c r="AU1051" t="inlineStr">
        <is>
          <t>9940047:eng</t>
        </is>
      </c>
      <c r="AV1051" t="inlineStr">
        <is>
          <t>6087640</t>
        </is>
      </c>
      <c r="AW1051" t="inlineStr">
        <is>
          <t>991004927939702656</t>
        </is>
      </c>
      <c r="AX1051" t="inlineStr">
        <is>
          <t>991004927939702656</t>
        </is>
      </c>
      <c r="AY1051" t="inlineStr">
        <is>
          <t>2259645990002656</t>
        </is>
      </c>
      <c r="AZ1051" t="inlineStr">
        <is>
          <t>BOOK</t>
        </is>
      </c>
      <c r="BB1051" t="inlineStr">
        <is>
          <t>9780226042114</t>
        </is>
      </c>
      <c r="BC1051" t="inlineStr">
        <is>
          <t>32285000360767</t>
        </is>
      </c>
      <c r="BD1051" t="inlineStr">
        <is>
          <t>893338289</t>
        </is>
      </c>
    </row>
    <row r="1052">
      <c r="A1052" t="inlineStr">
        <is>
          <t>No</t>
        </is>
      </c>
      <c r="B1052" t="inlineStr">
        <is>
          <t>PS377 .B7 1975</t>
        </is>
      </c>
      <c r="C1052" t="inlineStr">
        <is>
          <t>0                      PS 0377000B  7           1975</t>
        </is>
      </c>
      <c r="D1052" t="inlineStr">
        <is>
          <t>The sentimental novel in America, 1789-1860 / by Herbert Ross Brown.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Brown, Herbert Ross, 1902-1988.</t>
        </is>
      </c>
      <c r="L1052" t="inlineStr">
        <is>
          <t>New York : Octagon Books, 1975, c1940.</t>
        </is>
      </c>
      <c r="M1052" t="inlineStr">
        <is>
          <t>1975</t>
        </is>
      </c>
      <c r="O1052" t="inlineStr">
        <is>
          <t>eng</t>
        </is>
      </c>
      <c r="P1052" t="inlineStr">
        <is>
          <t>nyu</t>
        </is>
      </c>
      <c r="R1052" t="inlineStr">
        <is>
          <t xml:space="preserve">PS </t>
        </is>
      </c>
      <c r="S1052" t="n">
        <v>3</v>
      </c>
      <c r="T1052" t="n">
        <v>3</v>
      </c>
      <c r="U1052" t="inlineStr">
        <is>
          <t>2002-04-23</t>
        </is>
      </c>
      <c r="V1052" t="inlineStr">
        <is>
          <t>2002-04-23</t>
        </is>
      </c>
      <c r="W1052" t="inlineStr">
        <is>
          <t>1995-02-24</t>
        </is>
      </c>
      <c r="X1052" t="inlineStr">
        <is>
          <t>1995-02-24</t>
        </is>
      </c>
      <c r="Y1052" t="n">
        <v>131</v>
      </c>
      <c r="Z1052" t="n">
        <v>114</v>
      </c>
      <c r="AA1052" t="n">
        <v>978</v>
      </c>
      <c r="AB1052" t="n">
        <v>1</v>
      </c>
      <c r="AC1052" t="n">
        <v>10</v>
      </c>
      <c r="AD1052" t="n">
        <v>2</v>
      </c>
      <c r="AE1052" t="n">
        <v>45</v>
      </c>
      <c r="AF1052" t="n">
        <v>1</v>
      </c>
      <c r="AG1052" t="n">
        <v>18</v>
      </c>
      <c r="AH1052" t="n">
        <v>1</v>
      </c>
      <c r="AI1052" t="n">
        <v>9</v>
      </c>
      <c r="AJ1052" t="n">
        <v>1</v>
      </c>
      <c r="AK1052" t="n">
        <v>21</v>
      </c>
      <c r="AL1052" t="n">
        <v>0</v>
      </c>
      <c r="AM1052" t="n">
        <v>9</v>
      </c>
      <c r="AN1052" t="n">
        <v>0</v>
      </c>
      <c r="AO1052" t="n">
        <v>0</v>
      </c>
      <c r="AP1052" t="inlineStr">
        <is>
          <t>No</t>
        </is>
      </c>
      <c r="AQ1052" t="inlineStr">
        <is>
          <t>No</t>
        </is>
      </c>
      <c r="AS1052">
        <f>HYPERLINK("https://creighton-primo.hosted.exlibrisgroup.com/primo-explore/search?tab=default_tab&amp;search_scope=EVERYTHING&amp;vid=01CRU&amp;lang=en_US&amp;offset=0&amp;query=any,contains,991003551939702656","Catalog Record")</f>
        <v/>
      </c>
      <c r="AT1052">
        <f>HYPERLINK("http://www.worldcat.org/oclc/1119895","WorldCat Record")</f>
        <v/>
      </c>
      <c r="AU1052" t="inlineStr">
        <is>
          <t>572530:eng</t>
        </is>
      </c>
      <c r="AV1052" t="inlineStr">
        <is>
          <t>1119895</t>
        </is>
      </c>
      <c r="AW1052" t="inlineStr">
        <is>
          <t>991003551939702656</t>
        </is>
      </c>
      <c r="AX1052" t="inlineStr">
        <is>
          <t>991003551939702656</t>
        </is>
      </c>
      <c r="AY1052" t="inlineStr">
        <is>
          <t>2255932540002656</t>
        </is>
      </c>
      <c r="AZ1052" t="inlineStr">
        <is>
          <t>BOOK</t>
        </is>
      </c>
      <c r="BB1052" t="inlineStr">
        <is>
          <t>9780374910327</t>
        </is>
      </c>
      <c r="BC1052" t="inlineStr">
        <is>
          <t>32285002010402</t>
        </is>
      </c>
      <c r="BD1052" t="inlineStr">
        <is>
          <t>893524934</t>
        </is>
      </c>
    </row>
    <row r="1053">
      <c r="A1053" t="inlineStr">
        <is>
          <t>No</t>
        </is>
      </c>
      <c r="B1053" t="inlineStr">
        <is>
          <t>PS377 .E7 1966</t>
        </is>
      </c>
      <c r="C1053" t="inlineStr">
        <is>
          <t>0                      PS 0377000E  7           1966</t>
        </is>
      </c>
      <c r="D1053" t="inlineStr">
        <is>
          <t>Leading American novelists.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Erskine, John, 1879-1951.</t>
        </is>
      </c>
      <c r="L1053" t="inlineStr">
        <is>
          <t>Freeport, N.Y., Books for Libraries Press, 1966.</t>
        </is>
      </c>
      <c r="M1053" t="inlineStr">
        <is>
          <t>1966</t>
        </is>
      </c>
      <c r="O1053" t="inlineStr">
        <is>
          <t>eng</t>
        </is>
      </c>
      <c r="P1053" t="inlineStr">
        <is>
          <t>nyu</t>
        </is>
      </c>
      <c r="Q1053" t="inlineStr">
        <is>
          <t>Essay index reprint series</t>
        </is>
      </c>
      <c r="R1053" t="inlineStr">
        <is>
          <t xml:space="preserve">PS </t>
        </is>
      </c>
      <c r="S1053" t="n">
        <v>3</v>
      </c>
      <c r="T1053" t="n">
        <v>3</v>
      </c>
      <c r="U1053" t="inlineStr">
        <is>
          <t>2001-04-30</t>
        </is>
      </c>
      <c r="V1053" t="inlineStr">
        <is>
          <t>2001-04-30</t>
        </is>
      </c>
      <c r="W1053" t="inlineStr">
        <is>
          <t>1997-05-02</t>
        </is>
      </c>
      <c r="X1053" t="inlineStr">
        <is>
          <t>1997-05-02</t>
        </is>
      </c>
      <c r="Y1053" t="n">
        <v>429</v>
      </c>
      <c r="Z1053" t="n">
        <v>412</v>
      </c>
      <c r="AA1053" t="n">
        <v>636</v>
      </c>
      <c r="AB1053" t="n">
        <v>4</v>
      </c>
      <c r="AC1053" t="n">
        <v>6</v>
      </c>
      <c r="AD1053" t="n">
        <v>23</v>
      </c>
      <c r="AE1053" t="n">
        <v>31</v>
      </c>
      <c r="AF1053" t="n">
        <v>9</v>
      </c>
      <c r="AG1053" t="n">
        <v>11</v>
      </c>
      <c r="AH1053" t="n">
        <v>6</v>
      </c>
      <c r="AI1053" t="n">
        <v>8</v>
      </c>
      <c r="AJ1053" t="n">
        <v>10</v>
      </c>
      <c r="AK1053" t="n">
        <v>14</v>
      </c>
      <c r="AL1053" t="n">
        <v>3</v>
      </c>
      <c r="AM1053" t="n">
        <v>5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HYPERLINK("http://catalog.hathitrust.org/Record/009510808","HathiTrust Record")</f>
        <v/>
      </c>
      <c r="AS1053">
        <f>HYPERLINK("https://creighton-primo.hosted.exlibrisgroup.com/primo-explore/search?tab=default_tab&amp;search_scope=EVERYTHING&amp;vid=01CRU&amp;lang=en_US&amp;offset=0&amp;query=any,contains,991002131059702656","Catalog Record")</f>
        <v/>
      </c>
      <c r="AT1053">
        <f>HYPERLINK("http://www.worldcat.org/oclc/269966","WorldCat Record")</f>
        <v/>
      </c>
      <c r="AU1053" t="inlineStr">
        <is>
          <t>1396341:eng</t>
        </is>
      </c>
      <c r="AV1053" t="inlineStr">
        <is>
          <t>269966</t>
        </is>
      </c>
      <c r="AW1053" t="inlineStr">
        <is>
          <t>991002131059702656</t>
        </is>
      </c>
      <c r="AX1053" t="inlineStr">
        <is>
          <t>991002131059702656</t>
        </is>
      </c>
      <c r="AY1053" t="inlineStr">
        <is>
          <t>2267550080002656</t>
        </is>
      </c>
      <c r="AZ1053" t="inlineStr">
        <is>
          <t>BOOK</t>
        </is>
      </c>
      <c r="BC1053" t="inlineStr">
        <is>
          <t>32285002637295</t>
        </is>
      </c>
      <c r="BD1053" t="inlineStr">
        <is>
          <t>893590951</t>
        </is>
      </c>
    </row>
    <row r="1054">
      <c r="A1054" t="inlineStr">
        <is>
          <t>No</t>
        </is>
      </c>
      <c r="B1054" t="inlineStr">
        <is>
          <t>PS377 .F63 1997</t>
        </is>
      </c>
      <c r="C1054" t="inlineStr">
        <is>
          <t>0                      PS 0377000F  63          1997</t>
        </is>
      </c>
      <c r="D1054" t="inlineStr">
        <is>
          <t>Das kulturelle Imaginäre : eine Funktionsgeschichte des amerikanischen Romans, 1790-1900 / Winfried Fluck.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Fluck, Winfried.</t>
        </is>
      </c>
      <c r="L1054" t="inlineStr">
        <is>
          <t>Frankfurt : Suhrkamp, 1997.</t>
        </is>
      </c>
      <c r="M1054" t="inlineStr">
        <is>
          <t>1997</t>
        </is>
      </c>
      <c r="N1054" t="inlineStr">
        <is>
          <t>1. Aufl.</t>
        </is>
      </c>
      <c r="O1054" t="inlineStr">
        <is>
          <t>ger</t>
        </is>
      </c>
      <c r="P1054" t="inlineStr">
        <is>
          <t xml:space="preserve">gw </t>
        </is>
      </c>
      <c r="Q1054" t="inlineStr">
        <is>
          <t>Suhrkamp Taschenbuch Wissenschaft ; 1279</t>
        </is>
      </c>
      <c r="R1054" t="inlineStr">
        <is>
          <t xml:space="preserve">PS </t>
        </is>
      </c>
      <c r="S1054" t="n">
        <v>1</v>
      </c>
      <c r="T1054" t="n">
        <v>1</v>
      </c>
      <c r="U1054" t="inlineStr">
        <is>
          <t>2005-03-22</t>
        </is>
      </c>
      <c r="V1054" t="inlineStr">
        <is>
          <t>2005-03-22</t>
        </is>
      </c>
      <c r="W1054" t="inlineStr">
        <is>
          <t>2005-03-22</t>
        </is>
      </c>
      <c r="X1054" t="inlineStr">
        <is>
          <t>2005-03-22</t>
        </is>
      </c>
      <c r="Y1054" t="n">
        <v>61</v>
      </c>
      <c r="Z1054" t="n">
        <v>20</v>
      </c>
      <c r="AA1054" t="n">
        <v>20</v>
      </c>
      <c r="AB1054" t="n">
        <v>1</v>
      </c>
      <c r="AC1054" t="n">
        <v>1</v>
      </c>
      <c r="AD1054" t="n">
        <v>1</v>
      </c>
      <c r="AE1054" t="n">
        <v>1</v>
      </c>
      <c r="AF1054" t="n">
        <v>0</v>
      </c>
      <c r="AG1054" t="n">
        <v>0</v>
      </c>
      <c r="AH1054" t="n">
        <v>0</v>
      </c>
      <c r="AI1054" t="n">
        <v>0</v>
      </c>
      <c r="AJ1054" t="n">
        <v>1</v>
      </c>
      <c r="AK1054" t="n">
        <v>1</v>
      </c>
      <c r="AL1054" t="n">
        <v>0</v>
      </c>
      <c r="AM1054" t="n">
        <v>0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No</t>
        </is>
      </c>
      <c r="AS1054">
        <f>HYPERLINK("https://creighton-primo.hosted.exlibrisgroup.com/primo-explore/search?tab=default_tab&amp;search_scope=EVERYTHING&amp;vid=01CRU&amp;lang=en_US&amp;offset=0&amp;query=any,contains,991004498319702656","Catalog Record")</f>
        <v/>
      </c>
      <c r="AT1054">
        <f>HYPERLINK("http://www.worldcat.org/oclc/37688572","WorldCat Record")</f>
        <v/>
      </c>
      <c r="AU1054" t="inlineStr">
        <is>
          <t>477280672:ger</t>
        </is>
      </c>
      <c r="AV1054" t="inlineStr">
        <is>
          <t>37688572</t>
        </is>
      </c>
      <c r="AW1054" t="inlineStr">
        <is>
          <t>991004498319702656</t>
        </is>
      </c>
      <c r="AX1054" t="inlineStr">
        <is>
          <t>991004498319702656</t>
        </is>
      </c>
      <c r="AY1054" t="inlineStr">
        <is>
          <t>2268943610002656</t>
        </is>
      </c>
      <c r="AZ1054" t="inlineStr">
        <is>
          <t>BOOK</t>
        </is>
      </c>
      <c r="BB1054" t="inlineStr">
        <is>
          <t>9783518288795</t>
        </is>
      </c>
      <c r="BC1054" t="inlineStr">
        <is>
          <t>32285005044283</t>
        </is>
      </c>
      <c r="BD1054" t="inlineStr">
        <is>
          <t>893430131</t>
        </is>
      </c>
    </row>
    <row r="1055">
      <c r="A1055" t="inlineStr">
        <is>
          <t>No</t>
        </is>
      </c>
      <c r="B1055" t="inlineStr">
        <is>
          <t>PS379 .F7 1958</t>
        </is>
      </c>
      <c r="C1055" t="inlineStr">
        <is>
          <t>0                      PS 0379000F  7           1958</t>
        </is>
      </c>
      <c r="D1055" t="inlineStr">
        <is>
          <t>The novel of violence in America.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Frohock, W. M. (Wilbur Merrill), 1908-</t>
        </is>
      </c>
      <c r="L1055" t="inlineStr">
        <is>
          <t>Dallas : Southern Methodist University Press, [1958, c1957]</t>
        </is>
      </c>
      <c r="M1055" t="inlineStr">
        <is>
          <t>1958</t>
        </is>
      </c>
      <c r="N1055" t="inlineStr">
        <is>
          <t>[2d ed., rev. and enl.]</t>
        </is>
      </c>
      <c r="O1055" t="inlineStr">
        <is>
          <t>eng</t>
        </is>
      </c>
      <c r="P1055" t="inlineStr">
        <is>
          <t>txu</t>
        </is>
      </c>
      <c r="R1055" t="inlineStr">
        <is>
          <t xml:space="preserve">PS </t>
        </is>
      </c>
      <c r="S1055" t="n">
        <v>2</v>
      </c>
      <c r="T1055" t="n">
        <v>2</v>
      </c>
      <c r="U1055" t="inlineStr">
        <is>
          <t>1994-03-03</t>
        </is>
      </c>
      <c r="V1055" t="inlineStr">
        <is>
          <t>1994-03-03</t>
        </is>
      </c>
      <c r="W1055" t="inlineStr">
        <is>
          <t>1990-04-18</t>
        </is>
      </c>
      <c r="X1055" t="inlineStr">
        <is>
          <t>1990-04-18</t>
        </is>
      </c>
      <c r="Y1055" t="n">
        <v>895</v>
      </c>
      <c r="Z1055" t="n">
        <v>840</v>
      </c>
      <c r="AA1055" t="n">
        <v>1160</v>
      </c>
      <c r="AB1055" t="n">
        <v>8</v>
      </c>
      <c r="AC1055" t="n">
        <v>8</v>
      </c>
      <c r="AD1055" t="n">
        <v>33</v>
      </c>
      <c r="AE1055" t="n">
        <v>41</v>
      </c>
      <c r="AF1055" t="n">
        <v>9</v>
      </c>
      <c r="AG1055" t="n">
        <v>15</v>
      </c>
      <c r="AH1055" t="n">
        <v>9</v>
      </c>
      <c r="AI1055" t="n">
        <v>9</v>
      </c>
      <c r="AJ1055" t="n">
        <v>16</v>
      </c>
      <c r="AK1055" t="n">
        <v>19</v>
      </c>
      <c r="AL1055" t="n">
        <v>7</v>
      </c>
      <c r="AM1055" t="n">
        <v>7</v>
      </c>
      <c r="AN1055" t="n">
        <v>0</v>
      </c>
      <c r="AO1055" t="n">
        <v>0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HYPERLINK("http://catalog.hathitrust.org/Record/001026670","HathiTrust Record")</f>
        <v/>
      </c>
      <c r="AS1055">
        <f>HYPERLINK("https://creighton-primo.hosted.exlibrisgroup.com/primo-explore/search?tab=default_tab&amp;search_scope=EVERYTHING&amp;vid=01CRU&amp;lang=en_US&amp;offset=0&amp;query=any,contains,991002129899702656","Catalog Record")</f>
        <v/>
      </c>
      <c r="AT1055">
        <f>HYPERLINK("http://www.worldcat.org/oclc/269735","WorldCat Record")</f>
        <v/>
      </c>
      <c r="AU1055" t="inlineStr">
        <is>
          <t>516297:eng</t>
        </is>
      </c>
      <c r="AV1055" t="inlineStr">
        <is>
          <t>269735</t>
        </is>
      </c>
      <c r="AW1055" t="inlineStr">
        <is>
          <t>991002129899702656</t>
        </is>
      </c>
      <c r="AX1055" t="inlineStr">
        <is>
          <t>991002129899702656</t>
        </is>
      </c>
      <c r="AY1055" t="inlineStr">
        <is>
          <t>2267500950002656</t>
        </is>
      </c>
      <c r="AZ1055" t="inlineStr">
        <is>
          <t>BOOK</t>
        </is>
      </c>
      <c r="BC1055" t="inlineStr">
        <is>
          <t>32285000118744</t>
        </is>
      </c>
      <c r="BD1055" t="inlineStr">
        <is>
          <t>893529581</t>
        </is>
      </c>
    </row>
    <row r="1056">
      <c r="A1056" t="inlineStr">
        <is>
          <t>No</t>
        </is>
      </c>
      <c r="B1056" t="inlineStr">
        <is>
          <t>PS379 .H67 1992</t>
        </is>
      </c>
      <c r="C1056" t="inlineStr">
        <is>
          <t>0                      PS 0379000H  67          1992</t>
        </is>
      </c>
      <c r="D1056" t="inlineStr">
        <is>
          <t>Contemporary American fiction / by Nick Hornby.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K1056" t="inlineStr">
        <is>
          <t>Hornby, Nick.</t>
        </is>
      </c>
      <c r="L1056" t="inlineStr">
        <is>
          <t>London : Vision Press ; New York : St. Martin's Press, 1992.</t>
        </is>
      </c>
      <c r="M1056" t="inlineStr">
        <is>
          <t>1992</t>
        </is>
      </c>
      <c r="O1056" t="inlineStr">
        <is>
          <t>eng</t>
        </is>
      </c>
      <c r="P1056" t="inlineStr">
        <is>
          <t>enk</t>
        </is>
      </c>
      <c r="R1056" t="inlineStr">
        <is>
          <t xml:space="preserve">PS </t>
        </is>
      </c>
      <c r="S1056" t="n">
        <v>3</v>
      </c>
      <c r="T1056" t="n">
        <v>3</v>
      </c>
      <c r="U1056" t="inlineStr">
        <is>
          <t>2003-03-04</t>
        </is>
      </c>
      <c r="V1056" t="inlineStr">
        <is>
          <t>2003-03-04</t>
        </is>
      </c>
      <c r="W1056" t="inlineStr">
        <is>
          <t>1993-11-22</t>
        </is>
      </c>
      <c r="X1056" t="inlineStr">
        <is>
          <t>1993-11-22</t>
        </is>
      </c>
      <c r="Y1056" t="n">
        <v>257</v>
      </c>
      <c r="Z1056" t="n">
        <v>181</v>
      </c>
      <c r="AA1056" t="n">
        <v>181</v>
      </c>
      <c r="AB1056" t="n">
        <v>3</v>
      </c>
      <c r="AC1056" t="n">
        <v>3</v>
      </c>
      <c r="AD1056" t="n">
        <v>7</v>
      </c>
      <c r="AE1056" t="n">
        <v>7</v>
      </c>
      <c r="AF1056" t="n">
        <v>0</v>
      </c>
      <c r="AG1056" t="n">
        <v>0</v>
      </c>
      <c r="AH1056" t="n">
        <v>3</v>
      </c>
      <c r="AI1056" t="n">
        <v>3</v>
      </c>
      <c r="AJ1056" t="n">
        <v>3</v>
      </c>
      <c r="AK1056" t="n">
        <v>3</v>
      </c>
      <c r="AL1056" t="n">
        <v>2</v>
      </c>
      <c r="AM1056" t="n">
        <v>2</v>
      </c>
      <c r="AN1056" t="n">
        <v>0</v>
      </c>
      <c r="AO1056" t="n">
        <v>0</v>
      </c>
      <c r="AP1056" t="inlineStr">
        <is>
          <t>No</t>
        </is>
      </c>
      <c r="AQ1056" t="inlineStr">
        <is>
          <t>No</t>
        </is>
      </c>
      <c r="AS1056">
        <f>HYPERLINK("https://creighton-primo.hosted.exlibrisgroup.com/primo-explore/search?tab=default_tab&amp;search_scope=EVERYTHING&amp;vid=01CRU&amp;lang=en_US&amp;offset=0&amp;query=any,contains,991001887069702656","Catalog Record")</f>
        <v/>
      </c>
      <c r="AT1056">
        <f>HYPERLINK("http://www.worldcat.org/oclc/23768320","WorldCat Record")</f>
        <v/>
      </c>
      <c r="AU1056" t="inlineStr">
        <is>
          <t>25078730:eng</t>
        </is>
      </c>
      <c r="AV1056" t="inlineStr">
        <is>
          <t>23768320</t>
        </is>
      </c>
      <c r="AW1056" t="inlineStr">
        <is>
          <t>991001887069702656</t>
        </is>
      </c>
      <c r="AX1056" t="inlineStr">
        <is>
          <t>991001887069702656</t>
        </is>
      </c>
      <c r="AY1056" t="inlineStr">
        <is>
          <t>2269884270002656</t>
        </is>
      </c>
      <c r="AZ1056" t="inlineStr">
        <is>
          <t>BOOK</t>
        </is>
      </c>
      <c r="BB1056" t="inlineStr">
        <is>
          <t>9780854781775</t>
        </is>
      </c>
      <c r="BC1056" t="inlineStr">
        <is>
          <t>32285001812386</t>
        </is>
      </c>
      <c r="BD1056" t="inlineStr">
        <is>
          <t>893334687</t>
        </is>
      </c>
    </row>
    <row r="1057">
      <c r="A1057" t="inlineStr">
        <is>
          <t>No</t>
        </is>
      </c>
      <c r="B1057" t="inlineStr">
        <is>
          <t>PS379 .H8</t>
        </is>
      </c>
      <c r="C1057" t="inlineStr">
        <is>
          <t>0                      PS 0379000H  8</t>
        </is>
      </c>
      <c r="D1057" t="inlineStr">
        <is>
          <t>American myth and existential vision : the indigenous existentialism of Mailer, Bellow, Styron, and Ellison / Samuel Holland Hux.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Hux, Samuel Holland, 1934-</t>
        </is>
      </c>
      <c r="L1057" t="inlineStr">
        <is>
          <t>[s. l. : s. n.], 1965.</t>
        </is>
      </c>
      <c r="M1057" t="inlineStr">
        <is>
          <t>1965</t>
        </is>
      </c>
      <c r="O1057" t="inlineStr">
        <is>
          <t>eng</t>
        </is>
      </c>
      <c r="P1057" t="inlineStr">
        <is>
          <t>xxu</t>
        </is>
      </c>
      <c r="R1057" t="inlineStr">
        <is>
          <t xml:space="preserve">PS </t>
        </is>
      </c>
      <c r="S1057" t="n">
        <v>3</v>
      </c>
      <c r="T1057" t="n">
        <v>3</v>
      </c>
      <c r="U1057" t="inlineStr">
        <is>
          <t>1999-09-27</t>
        </is>
      </c>
      <c r="V1057" t="inlineStr">
        <is>
          <t>1999-09-27</t>
        </is>
      </c>
      <c r="W1057" t="inlineStr">
        <is>
          <t>1997-05-02</t>
        </is>
      </c>
      <c r="X1057" t="inlineStr">
        <is>
          <t>1997-05-02</t>
        </is>
      </c>
      <c r="Y1057" t="n">
        <v>6</v>
      </c>
      <c r="Z1057" t="n">
        <v>5</v>
      </c>
      <c r="AA1057" t="n">
        <v>16</v>
      </c>
      <c r="AB1057" t="n">
        <v>2</v>
      </c>
      <c r="AC1057" t="n">
        <v>2</v>
      </c>
      <c r="AD1057" t="n">
        <v>1</v>
      </c>
      <c r="AE1057" t="n">
        <v>2</v>
      </c>
      <c r="AF1057" t="n">
        <v>0</v>
      </c>
      <c r="AG1057" t="n">
        <v>0</v>
      </c>
      <c r="AH1057" t="n">
        <v>0</v>
      </c>
      <c r="AI1057" t="n">
        <v>1</v>
      </c>
      <c r="AJ1057" t="n">
        <v>0</v>
      </c>
      <c r="AK1057" t="n">
        <v>0</v>
      </c>
      <c r="AL1057" t="n">
        <v>1</v>
      </c>
      <c r="AM1057" t="n">
        <v>1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No</t>
        </is>
      </c>
      <c r="AS1057">
        <f>HYPERLINK("https://creighton-primo.hosted.exlibrisgroup.com/primo-explore/search?tab=default_tab&amp;search_scope=EVERYTHING&amp;vid=01CRU&amp;lang=en_US&amp;offset=0&amp;query=any,contains,991004829069702656","Catalog Record")</f>
        <v/>
      </c>
      <c r="AT1057">
        <f>HYPERLINK("http://www.worldcat.org/oclc/5385946","WorldCat Record")</f>
        <v/>
      </c>
      <c r="AU1057" t="inlineStr">
        <is>
          <t>365422236:eng</t>
        </is>
      </c>
      <c r="AV1057" t="inlineStr">
        <is>
          <t>5385946</t>
        </is>
      </c>
      <c r="AW1057" t="inlineStr">
        <is>
          <t>991004829069702656</t>
        </is>
      </c>
      <c r="AX1057" t="inlineStr">
        <is>
          <t>991004829069702656</t>
        </is>
      </c>
      <c r="AY1057" t="inlineStr">
        <is>
          <t>2268032630002656</t>
        </is>
      </c>
      <c r="AZ1057" t="inlineStr">
        <is>
          <t>BOOK</t>
        </is>
      </c>
      <c r="BC1057" t="inlineStr">
        <is>
          <t>32285002637576</t>
        </is>
      </c>
      <c r="BD1057" t="inlineStr">
        <is>
          <t>893713069</t>
        </is>
      </c>
    </row>
    <row r="1058">
      <c r="A1058" t="inlineStr">
        <is>
          <t>No</t>
        </is>
      </c>
      <c r="B1058" t="inlineStr">
        <is>
          <t>PS379 .M29 1985</t>
        </is>
      </c>
      <c r="C1058" t="inlineStr">
        <is>
          <t>0                      PS 0379000M  29          1985</t>
        </is>
      </c>
      <c r="D1058" t="inlineStr">
        <is>
          <t>Fictional space in the modernist and postmodernist American novel / Carl Darryl Malmgren.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K1058" t="inlineStr">
        <is>
          <t>Malmgren, Carl Darryl, 1948-</t>
        </is>
      </c>
      <c r="L1058" t="inlineStr">
        <is>
          <t>Lewisburg [Pa.] : Bucknell University Press ; London : Associated University Presses, c1985.</t>
        </is>
      </c>
      <c r="M1058" t="inlineStr">
        <is>
          <t>1985</t>
        </is>
      </c>
      <c r="O1058" t="inlineStr">
        <is>
          <t>eng</t>
        </is>
      </c>
      <c r="P1058" t="inlineStr">
        <is>
          <t>pau</t>
        </is>
      </c>
      <c r="R1058" t="inlineStr">
        <is>
          <t xml:space="preserve">PS </t>
        </is>
      </c>
      <c r="S1058" t="n">
        <v>1</v>
      </c>
      <c r="T1058" t="n">
        <v>1</v>
      </c>
      <c r="U1058" t="inlineStr">
        <is>
          <t>2001-04-23</t>
        </is>
      </c>
      <c r="V1058" t="inlineStr">
        <is>
          <t>2001-04-23</t>
        </is>
      </c>
      <c r="W1058" t="inlineStr">
        <is>
          <t>1990-10-18</t>
        </is>
      </c>
      <c r="X1058" t="inlineStr">
        <is>
          <t>1990-10-18</t>
        </is>
      </c>
      <c r="Y1058" t="n">
        <v>451</v>
      </c>
      <c r="Z1058" t="n">
        <v>375</v>
      </c>
      <c r="AA1058" t="n">
        <v>379</v>
      </c>
      <c r="AB1058" t="n">
        <v>4</v>
      </c>
      <c r="AC1058" t="n">
        <v>4</v>
      </c>
      <c r="AD1058" t="n">
        <v>18</v>
      </c>
      <c r="AE1058" t="n">
        <v>19</v>
      </c>
      <c r="AF1058" t="n">
        <v>4</v>
      </c>
      <c r="AG1058" t="n">
        <v>5</v>
      </c>
      <c r="AH1058" t="n">
        <v>7</v>
      </c>
      <c r="AI1058" t="n">
        <v>7</v>
      </c>
      <c r="AJ1058" t="n">
        <v>11</v>
      </c>
      <c r="AK1058" t="n">
        <v>11</v>
      </c>
      <c r="AL1058" t="n">
        <v>3</v>
      </c>
      <c r="AM1058" t="n">
        <v>3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HYPERLINK("http://catalog.hathitrust.org/Record/000646446","HathiTrust Record")</f>
        <v/>
      </c>
      <c r="AS1058">
        <f>HYPERLINK("https://creighton-primo.hosted.exlibrisgroup.com/primo-explore/search?tab=default_tab&amp;search_scope=EVERYTHING&amp;vid=01CRU&amp;lang=en_US&amp;offset=0&amp;query=any,contains,991000438779702656","Catalog Record")</f>
        <v/>
      </c>
      <c r="AT1058">
        <f>HYPERLINK("http://www.worldcat.org/oclc/10801137","WorldCat Record")</f>
        <v/>
      </c>
      <c r="AU1058" t="inlineStr">
        <is>
          <t>159609722:eng</t>
        </is>
      </c>
      <c r="AV1058" t="inlineStr">
        <is>
          <t>10801137</t>
        </is>
      </c>
      <c r="AW1058" t="inlineStr">
        <is>
          <t>991000438779702656</t>
        </is>
      </c>
      <c r="AX1058" t="inlineStr">
        <is>
          <t>991000438779702656</t>
        </is>
      </c>
      <c r="AY1058" t="inlineStr">
        <is>
          <t>2269134570002656</t>
        </is>
      </c>
      <c r="AZ1058" t="inlineStr">
        <is>
          <t>BOOK</t>
        </is>
      </c>
      <c r="BB1058" t="inlineStr">
        <is>
          <t>9780838750674</t>
        </is>
      </c>
      <c r="BC1058" t="inlineStr">
        <is>
          <t>32285000360940</t>
        </is>
      </c>
      <c r="BD1058" t="inlineStr">
        <is>
          <t>893720685</t>
        </is>
      </c>
    </row>
    <row r="1059">
      <c r="A1059" t="inlineStr">
        <is>
          <t>No</t>
        </is>
      </c>
      <c r="B1059" t="inlineStr">
        <is>
          <t>PS379 .M33 1982</t>
        </is>
      </c>
      <c r="C1059" t="inlineStr">
        <is>
          <t>0                      PS 0379000M  33          1982</t>
        </is>
      </c>
      <c r="D1059" t="inlineStr">
        <is>
          <t>The metafictional muse : the works of Robert Coover, Donald Barthelme, and William H. Gass / Larry McCaffery.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K1059" t="inlineStr">
        <is>
          <t>McCaffery, Larry, 1946-</t>
        </is>
      </c>
      <c r="L1059" t="inlineStr">
        <is>
          <t>Pittsburgh, Pa. : University of Pittsburgh Press, c1982.</t>
        </is>
      </c>
      <c r="M1059" t="inlineStr">
        <is>
          <t>1982</t>
        </is>
      </c>
      <c r="O1059" t="inlineStr">
        <is>
          <t>eng</t>
        </is>
      </c>
      <c r="P1059" t="inlineStr">
        <is>
          <t>pau</t>
        </is>
      </c>
      <c r="Q1059" t="inlineStr">
        <is>
          <t>Critical essays in modern literature</t>
        </is>
      </c>
      <c r="R1059" t="inlineStr">
        <is>
          <t xml:space="preserve">PS </t>
        </is>
      </c>
      <c r="S1059" t="n">
        <v>3</v>
      </c>
      <c r="T1059" t="n">
        <v>3</v>
      </c>
      <c r="U1059" t="inlineStr">
        <is>
          <t>1999-07-09</t>
        </is>
      </c>
      <c r="V1059" t="inlineStr">
        <is>
          <t>1999-07-09</t>
        </is>
      </c>
      <c r="W1059" t="inlineStr">
        <is>
          <t>1990-10-18</t>
        </is>
      </c>
      <c r="X1059" t="inlineStr">
        <is>
          <t>1990-10-18</t>
        </is>
      </c>
      <c r="Y1059" t="n">
        <v>564</v>
      </c>
      <c r="Z1059" t="n">
        <v>456</v>
      </c>
      <c r="AA1059" t="n">
        <v>468</v>
      </c>
      <c r="AB1059" t="n">
        <v>5</v>
      </c>
      <c r="AC1059" t="n">
        <v>5</v>
      </c>
      <c r="AD1059" t="n">
        <v>29</v>
      </c>
      <c r="AE1059" t="n">
        <v>29</v>
      </c>
      <c r="AF1059" t="n">
        <v>13</v>
      </c>
      <c r="AG1059" t="n">
        <v>13</v>
      </c>
      <c r="AH1059" t="n">
        <v>8</v>
      </c>
      <c r="AI1059" t="n">
        <v>8</v>
      </c>
      <c r="AJ1059" t="n">
        <v>14</v>
      </c>
      <c r="AK1059" t="n">
        <v>14</v>
      </c>
      <c r="AL1059" t="n">
        <v>4</v>
      </c>
      <c r="AM1059" t="n">
        <v>4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Yes</t>
        </is>
      </c>
      <c r="AR1059">
        <f>HYPERLINK("http://catalog.hathitrust.org/Record/000231231","HathiTrust Record")</f>
        <v/>
      </c>
      <c r="AS1059">
        <f>HYPERLINK("https://creighton-primo.hosted.exlibrisgroup.com/primo-explore/search?tab=default_tab&amp;search_scope=EVERYTHING&amp;vid=01CRU&amp;lang=en_US&amp;offset=0&amp;query=any,contains,991005211299702656","Catalog Record")</f>
        <v/>
      </c>
      <c r="AT1059">
        <f>HYPERLINK("http://www.worldcat.org/oclc/8169362","WorldCat Record")</f>
        <v/>
      </c>
      <c r="AU1059" t="inlineStr">
        <is>
          <t>836684487:eng</t>
        </is>
      </c>
      <c r="AV1059" t="inlineStr">
        <is>
          <t>8169362</t>
        </is>
      </c>
      <c r="AW1059" t="inlineStr">
        <is>
          <t>991005211299702656</t>
        </is>
      </c>
      <c r="AX1059" t="inlineStr">
        <is>
          <t>991005211299702656</t>
        </is>
      </c>
      <c r="AY1059" t="inlineStr">
        <is>
          <t>2269775260002656</t>
        </is>
      </c>
      <c r="AZ1059" t="inlineStr">
        <is>
          <t>BOOK</t>
        </is>
      </c>
      <c r="BB1059" t="inlineStr">
        <is>
          <t>9780822934622</t>
        </is>
      </c>
      <c r="BC1059" t="inlineStr">
        <is>
          <t>32285000360957</t>
        </is>
      </c>
      <c r="BD1059" t="inlineStr">
        <is>
          <t>893501508</t>
        </is>
      </c>
    </row>
    <row r="1060">
      <c r="A1060" t="inlineStr">
        <is>
          <t>No</t>
        </is>
      </c>
      <c r="B1060" t="inlineStr">
        <is>
          <t>PS507 .B47</t>
        </is>
      </c>
      <c r="C1060" t="inlineStr">
        <is>
          <t>0                      PS 0507000B  47</t>
        </is>
      </c>
      <c r="D1060" t="inlineStr">
        <is>
          <t>The best college short stories, 1917-18 / ed. by Henry T. Schnittkind, introduction by Edward J. O'Brien.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Thomas, Henry, 1888-1970 compiler.</t>
        </is>
      </c>
      <c r="L1060" t="inlineStr">
        <is>
          <t>Boston : Stratford, 1919.</t>
        </is>
      </c>
      <c r="M1060" t="inlineStr">
        <is>
          <t>1919</t>
        </is>
      </c>
      <c r="O1060" t="inlineStr">
        <is>
          <t>eng</t>
        </is>
      </c>
      <c r="P1060" t="inlineStr">
        <is>
          <t>mau</t>
        </is>
      </c>
      <c r="R1060" t="inlineStr">
        <is>
          <t xml:space="preserve">PS </t>
        </is>
      </c>
      <c r="S1060" t="n">
        <v>4</v>
      </c>
      <c r="T1060" t="n">
        <v>4</v>
      </c>
      <c r="U1060" t="inlineStr">
        <is>
          <t>1999-10-14</t>
        </is>
      </c>
      <c r="V1060" t="inlineStr">
        <is>
          <t>1999-10-14</t>
        </is>
      </c>
      <c r="W1060" t="inlineStr">
        <is>
          <t>1999-03-15</t>
        </is>
      </c>
      <c r="X1060" t="inlineStr">
        <is>
          <t>1999-03-15</t>
        </is>
      </c>
      <c r="Y1060" t="n">
        <v>14</v>
      </c>
      <c r="Z1060" t="n">
        <v>14</v>
      </c>
      <c r="AA1060" t="n">
        <v>21</v>
      </c>
      <c r="AB1060" t="n">
        <v>1</v>
      </c>
      <c r="AC1060" t="n">
        <v>1</v>
      </c>
      <c r="AD1060" t="n">
        <v>0</v>
      </c>
      <c r="AE1060" t="n">
        <v>0</v>
      </c>
      <c r="AF1060" t="n">
        <v>0</v>
      </c>
      <c r="AG1060" t="n">
        <v>0</v>
      </c>
      <c r="AH1060" t="n">
        <v>0</v>
      </c>
      <c r="AI1060" t="n">
        <v>0</v>
      </c>
      <c r="AJ1060" t="n">
        <v>0</v>
      </c>
      <c r="AK1060" t="n">
        <v>0</v>
      </c>
      <c r="AL1060" t="n">
        <v>0</v>
      </c>
      <c r="AM1060" t="n">
        <v>0</v>
      </c>
      <c r="AN1060" t="n">
        <v>0</v>
      </c>
      <c r="AO1060" t="n">
        <v>0</v>
      </c>
      <c r="AP1060" t="inlineStr">
        <is>
          <t>Yes</t>
        </is>
      </c>
      <c r="AQ1060" t="inlineStr">
        <is>
          <t>No</t>
        </is>
      </c>
      <c r="AR1060">
        <f>HYPERLINK("http://catalog.hathitrust.org/Record/100220989","HathiTrust Record")</f>
        <v/>
      </c>
      <c r="AS1060">
        <f>HYPERLINK("https://creighton-primo.hosted.exlibrisgroup.com/primo-explore/search?tab=default_tab&amp;search_scope=EVERYTHING&amp;vid=01CRU&amp;lang=en_US&amp;offset=0&amp;query=any,contains,991004889249702656","Catalog Record")</f>
        <v/>
      </c>
      <c r="AT1060">
        <f>HYPERLINK("http://www.worldcat.org/oclc/5855512","WorldCat Record")</f>
        <v/>
      </c>
      <c r="AU1060" t="inlineStr">
        <is>
          <t>19646254:eng</t>
        </is>
      </c>
      <c r="AV1060" t="inlineStr">
        <is>
          <t>5855512</t>
        </is>
      </c>
      <c r="AW1060" t="inlineStr">
        <is>
          <t>991004889249702656</t>
        </is>
      </c>
      <c r="AX1060" t="inlineStr">
        <is>
          <t>991004889249702656</t>
        </is>
      </c>
      <c r="AY1060" t="inlineStr">
        <is>
          <t>2260793260002656</t>
        </is>
      </c>
      <c r="AZ1060" t="inlineStr">
        <is>
          <t>BOOK</t>
        </is>
      </c>
      <c r="BC1060" t="inlineStr">
        <is>
          <t>32285003532198</t>
        </is>
      </c>
      <c r="BD1060" t="inlineStr">
        <is>
          <t>893895602</t>
        </is>
      </c>
    </row>
    <row r="1061">
      <c r="A1061" t="inlineStr">
        <is>
          <t>No</t>
        </is>
      </c>
      <c r="B1061" t="inlineStr">
        <is>
          <t>PS507 .I5 1971</t>
        </is>
      </c>
      <c r="C1061" t="inlineStr">
        <is>
          <t>0                      PS 0507000I  5           1971</t>
        </is>
      </c>
      <c r="D1061" t="inlineStr">
        <is>
          <t>Introduction to American poetry and prose. Edited by Norman Foerster [and others]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L1061" t="inlineStr">
        <is>
          <t>Boston, Houghton Mifflin [1971]</t>
        </is>
      </c>
      <c r="M1061" t="inlineStr">
        <is>
          <t>1971</t>
        </is>
      </c>
      <c r="O1061" t="inlineStr">
        <is>
          <t>eng</t>
        </is>
      </c>
      <c r="P1061" t="inlineStr">
        <is>
          <t>mau</t>
        </is>
      </c>
      <c r="R1061" t="inlineStr">
        <is>
          <t xml:space="preserve">PS </t>
        </is>
      </c>
      <c r="S1061" t="n">
        <v>1</v>
      </c>
      <c r="T1061" t="n">
        <v>1</v>
      </c>
      <c r="U1061" t="inlineStr">
        <is>
          <t>2002-02-24</t>
        </is>
      </c>
      <c r="V1061" t="inlineStr">
        <is>
          <t>2002-02-24</t>
        </is>
      </c>
      <c r="W1061" t="inlineStr">
        <is>
          <t>1997-05-05</t>
        </is>
      </c>
      <c r="X1061" t="inlineStr">
        <is>
          <t>1997-05-05</t>
        </is>
      </c>
      <c r="Y1061" t="n">
        <v>91</v>
      </c>
      <c r="Z1061" t="n">
        <v>80</v>
      </c>
      <c r="AA1061" t="n">
        <v>97</v>
      </c>
      <c r="AB1061" t="n">
        <v>1</v>
      </c>
      <c r="AC1061" t="n">
        <v>1</v>
      </c>
      <c r="AD1061" t="n">
        <v>1</v>
      </c>
      <c r="AE1061" t="n">
        <v>3</v>
      </c>
      <c r="AF1061" t="n">
        <v>1</v>
      </c>
      <c r="AG1061" t="n">
        <v>2</v>
      </c>
      <c r="AH1061" t="n">
        <v>0</v>
      </c>
      <c r="AI1061" t="n">
        <v>1</v>
      </c>
      <c r="AJ1061" t="n">
        <v>0</v>
      </c>
      <c r="AK1061" t="n">
        <v>0</v>
      </c>
      <c r="AL1061" t="n">
        <v>0</v>
      </c>
      <c r="AM1061" t="n">
        <v>0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Yes</t>
        </is>
      </c>
      <c r="AR1061">
        <f>HYPERLINK("http://catalog.hathitrust.org/Record/009904984","HathiTrust Record")</f>
        <v/>
      </c>
      <c r="AS1061">
        <f>HYPERLINK("https://creighton-primo.hosted.exlibrisgroup.com/primo-explore/search?tab=default_tab&amp;search_scope=EVERYTHING&amp;vid=01CRU&amp;lang=en_US&amp;offset=0&amp;query=any,contains,991000655109702656","Catalog Record")</f>
        <v/>
      </c>
      <c r="AT1061">
        <f>HYPERLINK("http://www.worldcat.org/oclc/114917","WorldCat Record")</f>
        <v/>
      </c>
      <c r="AU1061" t="inlineStr">
        <is>
          <t>422245658:eng</t>
        </is>
      </c>
      <c r="AV1061" t="inlineStr">
        <is>
          <t>114917</t>
        </is>
      </c>
      <c r="AW1061" t="inlineStr">
        <is>
          <t>991000655109702656</t>
        </is>
      </c>
      <c r="AX1061" t="inlineStr">
        <is>
          <t>991000655109702656</t>
        </is>
      </c>
      <c r="AY1061" t="inlineStr">
        <is>
          <t>2259897940002656</t>
        </is>
      </c>
      <c r="AZ1061" t="inlineStr">
        <is>
          <t>BOOK</t>
        </is>
      </c>
      <c r="BB1061" t="inlineStr">
        <is>
          <t>9780395044575</t>
        </is>
      </c>
      <c r="BC1061" t="inlineStr">
        <is>
          <t>32285002638020</t>
        </is>
      </c>
      <c r="BD1061" t="inlineStr">
        <is>
          <t>893225180</t>
        </is>
      </c>
    </row>
    <row r="1062">
      <c r="A1062" t="inlineStr">
        <is>
          <t>No</t>
        </is>
      </c>
      <c r="B1062" t="inlineStr">
        <is>
          <t>PS508.W7 I4 1976</t>
        </is>
      </c>
      <c r="C1062" t="inlineStr">
        <is>
          <t>0                      PS 0508000W  7                  I  4           1976</t>
        </is>
      </c>
      <c r="D1062" t="inlineStr">
        <is>
          <t>Images : women in transition / compiled by Janice Grana.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Winona, Minn. : St. Mary's College, 1977, c1976.</t>
        </is>
      </c>
      <c r="M1062" t="inlineStr">
        <is>
          <t>1977</t>
        </is>
      </c>
      <c r="O1062" t="inlineStr">
        <is>
          <t>eng</t>
        </is>
      </c>
      <c r="P1062" t="inlineStr">
        <is>
          <t>mnu</t>
        </is>
      </c>
      <c r="R1062" t="inlineStr">
        <is>
          <t xml:space="preserve">PS </t>
        </is>
      </c>
      <c r="S1062" t="n">
        <v>6</v>
      </c>
      <c r="T1062" t="n">
        <v>6</v>
      </c>
      <c r="U1062" t="inlineStr">
        <is>
          <t>1997-10-13</t>
        </is>
      </c>
      <c r="V1062" t="inlineStr">
        <is>
          <t>1997-10-13</t>
        </is>
      </c>
      <c r="W1062" t="inlineStr">
        <is>
          <t>1990-10-19</t>
        </is>
      </c>
      <c r="X1062" t="inlineStr">
        <is>
          <t>1990-10-19</t>
        </is>
      </c>
      <c r="Y1062" t="n">
        <v>48</v>
      </c>
      <c r="Z1062" t="n">
        <v>42</v>
      </c>
      <c r="AA1062" t="n">
        <v>132</v>
      </c>
      <c r="AB1062" t="n">
        <v>1</v>
      </c>
      <c r="AC1062" t="n">
        <v>2</v>
      </c>
      <c r="AD1062" t="n">
        <v>5</v>
      </c>
      <c r="AE1062" t="n">
        <v>8</v>
      </c>
      <c r="AF1062" t="n">
        <v>0</v>
      </c>
      <c r="AG1062" t="n">
        <v>0</v>
      </c>
      <c r="AH1062" t="n">
        <v>1</v>
      </c>
      <c r="AI1062" t="n">
        <v>2</v>
      </c>
      <c r="AJ1062" t="n">
        <v>5</v>
      </c>
      <c r="AK1062" t="n">
        <v>6</v>
      </c>
      <c r="AL1062" t="n">
        <v>0</v>
      </c>
      <c r="AM1062" t="n">
        <v>1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HYPERLINK("https://creighton-primo.hosted.exlibrisgroup.com/primo-explore/search?tab=default_tab&amp;search_scope=EVERYTHING&amp;vid=01CRU&amp;lang=en_US&amp;offset=0&amp;query=any,contains,991004434639702656","Catalog Record")</f>
        <v/>
      </c>
      <c r="AT1062">
        <f>HYPERLINK("http://www.worldcat.org/oclc/3436137","WorldCat Record")</f>
        <v/>
      </c>
      <c r="AU1062" t="inlineStr">
        <is>
          <t>933463525:eng</t>
        </is>
      </c>
      <c r="AV1062" t="inlineStr">
        <is>
          <t>3436137</t>
        </is>
      </c>
      <c r="AW1062" t="inlineStr">
        <is>
          <t>991004434639702656</t>
        </is>
      </c>
      <c r="AX1062" t="inlineStr">
        <is>
          <t>991004434639702656</t>
        </is>
      </c>
      <c r="AY1062" t="inlineStr">
        <is>
          <t>2265989900002656</t>
        </is>
      </c>
      <c r="AZ1062" t="inlineStr">
        <is>
          <t>BOOK</t>
        </is>
      </c>
      <c r="BC1062" t="inlineStr">
        <is>
          <t>32285000361195</t>
        </is>
      </c>
      <c r="BD1062" t="inlineStr">
        <is>
          <t>893782240</t>
        </is>
      </c>
    </row>
    <row r="1063">
      <c r="A1063" t="inlineStr">
        <is>
          <t>No</t>
        </is>
      </c>
      <c r="B1063" t="inlineStr">
        <is>
          <t>PS509.C7 A5 1974</t>
        </is>
      </c>
      <c r="C1063" t="inlineStr">
        <is>
          <t>0                      PS 0509000C  7                  A  5           1974</t>
        </is>
      </c>
      <c r="D1063" t="inlineStr">
        <is>
          <t>Detective fiction : crime and compromise / edited by Dick Allen and David Chacko.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K1063" t="inlineStr">
        <is>
          <t>Allen, Dick, 1939-2017.</t>
        </is>
      </c>
      <c r="L1063" t="inlineStr">
        <is>
          <t>New York : Harcourt Brace Jovanovich, [1974]</t>
        </is>
      </c>
      <c r="M1063" t="inlineStr">
        <is>
          <t>1974</t>
        </is>
      </c>
      <c r="O1063" t="inlineStr">
        <is>
          <t>eng</t>
        </is>
      </c>
      <c r="P1063" t="inlineStr">
        <is>
          <t>nyu</t>
        </is>
      </c>
      <c r="R1063" t="inlineStr">
        <is>
          <t xml:space="preserve">PS </t>
        </is>
      </c>
      <c r="S1063" t="n">
        <v>5</v>
      </c>
      <c r="T1063" t="n">
        <v>5</v>
      </c>
      <c r="U1063" t="inlineStr">
        <is>
          <t>1999-05-04</t>
        </is>
      </c>
      <c r="V1063" t="inlineStr">
        <is>
          <t>1999-05-04</t>
        </is>
      </c>
      <c r="W1063" t="inlineStr">
        <is>
          <t>1990-08-06</t>
        </is>
      </c>
      <c r="X1063" t="inlineStr">
        <is>
          <t>1990-08-06</t>
        </is>
      </c>
      <c r="Y1063" t="n">
        <v>376</v>
      </c>
      <c r="Z1063" t="n">
        <v>331</v>
      </c>
      <c r="AA1063" t="n">
        <v>338</v>
      </c>
      <c r="AB1063" t="n">
        <v>5</v>
      </c>
      <c r="AC1063" t="n">
        <v>5</v>
      </c>
      <c r="AD1063" t="n">
        <v>12</v>
      </c>
      <c r="AE1063" t="n">
        <v>12</v>
      </c>
      <c r="AF1063" t="n">
        <v>4</v>
      </c>
      <c r="AG1063" t="n">
        <v>4</v>
      </c>
      <c r="AH1063" t="n">
        <v>1</v>
      </c>
      <c r="AI1063" t="n">
        <v>1</v>
      </c>
      <c r="AJ1063" t="n">
        <v>6</v>
      </c>
      <c r="AK1063" t="n">
        <v>6</v>
      </c>
      <c r="AL1063" t="n">
        <v>4</v>
      </c>
      <c r="AM1063" t="n">
        <v>4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Yes</t>
        </is>
      </c>
      <c r="AR1063">
        <f>HYPERLINK("http://catalog.hathitrust.org/Record/003899081","HathiTrust Record")</f>
        <v/>
      </c>
      <c r="AS1063">
        <f>HYPERLINK("https://creighton-primo.hosted.exlibrisgroup.com/primo-explore/search?tab=default_tab&amp;search_scope=EVERYTHING&amp;vid=01CRU&amp;lang=en_US&amp;offset=0&amp;query=any,contains,991003400349702656","Catalog Record")</f>
        <v/>
      </c>
      <c r="AT1063">
        <f>HYPERLINK("http://www.worldcat.org/oclc/940297","WorldCat Record")</f>
        <v/>
      </c>
      <c r="AU1063" t="inlineStr">
        <is>
          <t>413743:eng</t>
        </is>
      </c>
      <c r="AV1063" t="inlineStr">
        <is>
          <t>940297</t>
        </is>
      </c>
      <c r="AW1063" t="inlineStr">
        <is>
          <t>991003400349702656</t>
        </is>
      </c>
      <c r="AX1063" t="inlineStr">
        <is>
          <t>991003400349702656</t>
        </is>
      </c>
      <c r="AY1063" t="inlineStr">
        <is>
          <t>2261665430002656</t>
        </is>
      </c>
      <c r="AZ1063" t="inlineStr">
        <is>
          <t>BOOK</t>
        </is>
      </c>
      <c r="BB1063" t="inlineStr">
        <is>
          <t>9780155174085</t>
        </is>
      </c>
      <c r="BC1063" t="inlineStr">
        <is>
          <t>32285000023886</t>
        </is>
      </c>
      <c r="BD1063" t="inlineStr">
        <is>
          <t>893336459</t>
        </is>
      </c>
    </row>
    <row r="1064">
      <c r="A1064" t="inlineStr">
        <is>
          <t>No</t>
        </is>
      </c>
      <c r="B1064" t="inlineStr">
        <is>
          <t>PS509.H55 H6 1978</t>
        </is>
      </c>
      <c r="C1064" t="inlineStr">
        <is>
          <t>0                      PS 0509000H  55                 H  6           1978</t>
        </is>
      </c>
      <c r="D1064" t="inlineStr">
        <is>
          <t>The Holiday book : America's festivals and celebrations / [compiled by] Martin Greif.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L1064" t="inlineStr">
        <is>
          <t>Clinton, N.J. : Main Street Press, 1978.</t>
        </is>
      </c>
      <c r="M1064" t="inlineStr">
        <is>
          <t>1978</t>
        </is>
      </c>
      <c r="N1064" t="inlineStr">
        <is>
          <t>1st ed.</t>
        </is>
      </c>
      <c r="O1064" t="inlineStr">
        <is>
          <t>eng</t>
        </is>
      </c>
      <c r="P1064" t="inlineStr">
        <is>
          <t>nju</t>
        </is>
      </c>
      <c r="R1064" t="inlineStr">
        <is>
          <t xml:space="preserve">PS </t>
        </is>
      </c>
      <c r="S1064" t="n">
        <v>15</v>
      </c>
      <c r="T1064" t="n">
        <v>15</v>
      </c>
      <c r="U1064" t="inlineStr">
        <is>
          <t>2000-10-01</t>
        </is>
      </c>
      <c r="V1064" t="inlineStr">
        <is>
          <t>2000-10-01</t>
        </is>
      </c>
      <c r="W1064" t="inlineStr">
        <is>
          <t>1990-11-05</t>
        </is>
      </c>
      <c r="X1064" t="inlineStr">
        <is>
          <t>1990-11-05</t>
        </is>
      </c>
      <c r="Y1064" t="n">
        <v>343</v>
      </c>
      <c r="Z1064" t="n">
        <v>339</v>
      </c>
      <c r="AA1064" t="n">
        <v>358</v>
      </c>
      <c r="AB1064" t="n">
        <v>3</v>
      </c>
      <c r="AC1064" t="n">
        <v>3</v>
      </c>
      <c r="AD1064" t="n">
        <v>2</v>
      </c>
      <c r="AE1064" t="n">
        <v>4</v>
      </c>
      <c r="AF1064" t="n">
        <v>2</v>
      </c>
      <c r="AG1064" t="n">
        <v>3</v>
      </c>
      <c r="AH1064" t="n">
        <v>0</v>
      </c>
      <c r="AI1064" t="n">
        <v>1</v>
      </c>
      <c r="AJ1064" t="n">
        <v>0</v>
      </c>
      <c r="AK1064" t="n">
        <v>0</v>
      </c>
      <c r="AL1064" t="n">
        <v>0</v>
      </c>
      <c r="AM1064" t="n">
        <v>0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HYPERLINK("http://catalog.hathitrust.org/Record/004430466","HathiTrust Record")</f>
        <v/>
      </c>
      <c r="AS1064">
        <f>HYPERLINK("https://creighton-primo.hosted.exlibrisgroup.com/primo-explore/search?tab=default_tab&amp;search_scope=EVERYTHING&amp;vid=01CRU&amp;lang=en_US&amp;offset=0&amp;query=any,contains,991004739769702656","Catalog Record")</f>
        <v/>
      </c>
      <c r="AT1064">
        <f>HYPERLINK("http://www.worldcat.org/oclc/4879678","WorldCat Record")</f>
        <v/>
      </c>
      <c r="AU1064" t="inlineStr">
        <is>
          <t>144397482:eng</t>
        </is>
      </c>
      <c r="AV1064" t="inlineStr">
        <is>
          <t>4879678</t>
        </is>
      </c>
      <c r="AW1064" t="inlineStr">
        <is>
          <t>991004739769702656</t>
        </is>
      </c>
      <c r="AX1064" t="inlineStr">
        <is>
          <t>991004739769702656</t>
        </is>
      </c>
      <c r="AY1064" t="inlineStr">
        <is>
          <t>2262694160002656</t>
        </is>
      </c>
      <c r="AZ1064" t="inlineStr">
        <is>
          <t>BOOK</t>
        </is>
      </c>
      <c r="BB1064" t="inlineStr">
        <is>
          <t>9780876633090</t>
        </is>
      </c>
      <c r="BC1064" t="inlineStr">
        <is>
          <t>32285000296763</t>
        </is>
      </c>
      <c r="BD1064" t="inlineStr">
        <is>
          <t>893229774</t>
        </is>
      </c>
    </row>
    <row r="1065">
      <c r="A1065" t="inlineStr">
        <is>
          <t>No</t>
        </is>
      </c>
      <c r="B1065" t="inlineStr">
        <is>
          <t>PS509.M5 E86 1984</t>
        </is>
      </c>
      <c r="C1065" t="inlineStr">
        <is>
          <t>0                      PS 0509000M  5                  E  86          1984</t>
        </is>
      </c>
      <c r="D1065" t="inlineStr">
        <is>
          <t>The Ethnic image in modern American literature, 1900-1950 / edited by Philip Butcher.</t>
        </is>
      </c>
      <c r="E1065" t="inlineStr">
        <is>
          <t>V.1</t>
        </is>
      </c>
      <c r="F1065" t="inlineStr">
        <is>
          <t>Yes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L1065" t="inlineStr">
        <is>
          <t>Washington, D.C. : Howard University Press, 1984.</t>
        </is>
      </c>
      <c r="M1065" t="inlineStr">
        <is>
          <t>1984</t>
        </is>
      </c>
      <c r="O1065" t="inlineStr">
        <is>
          <t>eng</t>
        </is>
      </c>
      <c r="P1065" t="inlineStr">
        <is>
          <t>dcu</t>
        </is>
      </c>
      <c r="R1065" t="inlineStr">
        <is>
          <t xml:space="preserve">PS </t>
        </is>
      </c>
      <c r="S1065" t="n">
        <v>1</v>
      </c>
      <c r="T1065" t="n">
        <v>2</v>
      </c>
      <c r="U1065" t="inlineStr">
        <is>
          <t>1992-09-02</t>
        </is>
      </c>
      <c r="V1065" t="inlineStr">
        <is>
          <t>1992-09-02</t>
        </is>
      </c>
      <c r="W1065" t="inlineStr">
        <is>
          <t>1990-10-19</t>
        </is>
      </c>
      <c r="X1065" t="inlineStr">
        <is>
          <t>1990-10-19</t>
        </is>
      </c>
      <c r="Y1065" t="n">
        <v>606</v>
      </c>
      <c r="Z1065" t="n">
        <v>545</v>
      </c>
      <c r="AA1065" t="n">
        <v>553</v>
      </c>
      <c r="AB1065" t="n">
        <v>4</v>
      </c>
      <c r="AC1065" t="n">
        <v>4</v>
      </c>
      <c r="AD1065" t="n">
        <v>23</v>
      </c>
      <c r="AE1065" t="n">
        <v>23</v>
      </c>
      <c r="AF1065" t="n">
        <v>10</v>
      </c>
      <c r="AG1065" t="n">
        <v>10</v>
      </c>
      <c r="AH1065" t="n">
        <v>4</v>
      </c>
      <c r="AI1065" t="n">
        <v>4</v>
      </c>
      <c r="AJ1065" t="n">
        <v>14</v>
      </c>
      <c r="AK1065" t="n">
        <v>14</v>
      </c>
      <c r="AL1065" t="n">
        <v>3</v>
      </c>
      <c r="AM1065" t="n">
        <v>3</v>
      </c>
      <c r="AN1065" t="n">
        <v>1</v>
      </c>
      <c r="AO1065" t="n">
        <v>1</v>
      </c>
      <c r="AP1065" t="inlineStr">
        <is>
          <t>No</t>
        </is>
      </c>
      <c r="AQ1065" t="inlineStr">
        <is>
          <t>Yes</t>
        </is>
      </c>
      <c r="AR1065">
        <f>HYPERLINK("http://catalog.hathitrust.org/Record/000337687","HathiTrust Record")</f>
        <v/>
      </c>
      <c r="AS1065">
        <f>HYPERLINK("https://creighton-primo.hosted.exlibrisgroup.com/primo-explore/search?tab=default_tab&amp;search_scope=EVERYTHING&amp;vid=01CRU&amp;lang=en_US&amp;offset=0&amp;query=any,contains,991000201609702656","Catalog Record")</f>
        <v/>
      </c>
      <c r="AT1065">
        <f>HYPERLINK("http://www.worldcat.org/oclc/9465181","WorldCat Record")</f>
        <v/>
      </c>
      <c r="AU1065" t="inlineStr">
        <is>
          <t>4161780401:eng</t>
        </is>
      </c>
      <c r="AV1065" t="inlineStr">
        <is>
          <t>9465181</t>
        </is>
      </c>
      <c r="AW1065" t="inlineStr">
        <is>
          <t>991000201609702656</t>
        </is>
      </c>
      <c r="AX1065" t="inlineStr">
        <is>
          <t>991000201609702656</t>
        </is>
      </c>
      <c r="AY1065" t="inlineStr">
        <is>
          <t>2264670650002656</t>
        </is>
      </c>
      <c r="AZ1065" t="inlineStr">
        <is>
          <t>BOOK</t>
        </is>
      </c>
      <c r="BB1065" t="inlineStr">
        <is>
          <t>9780882581200</t>
        </is>
      </c>
      <c r="BC1065" t="inlineStr">
        <is>
          <t>32285000361286</t>
        </is>
      </c>
      <c r="BD1065" t="inlineStr">
        <is>
          <t>893777779</t>
        </is>
      </c>
    </row>
    <row r="1066">
      <c r="A1066" t="inlineStr">
        <is>
          <t>No</t>
        </is>
      </c>
      <c r="B1066" t="inlineStr">
        <is>
          <t>PS509.M5 E86 1984</t>
        </is>
      </c>
      <c r="C1066" t="inlineStr">
        <is>
          <t>0                      PS 0509000M  5                  E  86          1984</t>
        </is>
      </c>
      <c r="D1066" t="inlineStr">
        <is>
          <t>The Ethnic image in modern American literature, 1900-1950 / edited by Philip Butcher.</t>
        </is>
      </c>
      <c r="E1066" t="inlineStr">
        <is>
          <t>V.2</t>
        </is>
      </c>
      <c r="F1066" t="inlineStr">
        <is>
          <t>Yes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L1066" t="inlineStr">
        <is>
          <t>Washington, D.C. : Howard University Press, 1984.</t>
        </is>
      </c>
      <c r="M1066" t="inlineStr">
        <is>
          <t>1984</t>
        </is>
      </c>
      <c r="O1066" t="inlineStr">
        <is>
          <t>eng</t>
        </is>
      </c>
      <c r="P1066" t="inlineStr">
        <is>
          <t>dcu</t>
        </is>
      </c>
      <c r="R1066" t="inlineStr">
        <is>
          <t xml:space="preserve">PS </t>
        </is>
      </c>
      <c r="S1066" t="n">
        <v>1</v>
      </c>
      <c r="T1066" t="n">
        <v>2</v>
      </c>
      <c r="U1066" t="inlineStr">
        <is>
          <t>1992-09-02</t>
        </is>
      </c>
      <c r="V1066" t="inlineStr">
        <is>
          <t>1992-09-02</t>
        </is>
      </c>
      <c r="W1066" t="inlineStr">
        <is>
          <t>1990-10-19</t>
        </is>
      </c>
      <c r="X1066" t="inlineStr">
        <is>
          <t>1990-10-19</t>
        </is>
      </c>
      <c r="Y1066" t="n">
        <v>606</v>
      </c>
      <c r="Z1066" t="n">
        <v>545</v>
      </c>
      <c r="AA1066" t="n">
        <v>553</v>
      </c>
      <c r="AB1066" t="n">
        <v>4</v>
      </c>
      <c r="AC1066" t="n">
        <v>4</v>
      </c>
      <c r="AD1066" t="n">
        <v>23</v>
      </c>
      <c r="AE1066" t="n">
        <v>23</v>
      </c>
      <c r="AF1066" t="n">
        <v>10</v>
      </c>
      <c r="AG1066" t="n">
        <v>10</v>
      </c>
      <c r="AH1066" t="n">
        <v>4</v>
      </c>
      <c r="AI1066" t="n">
        <v>4</v>
      </c>
      <c r="AJ1066" t="n">
        <v>14</v>
      </c>
      <c r="AK1066" t="n">
        <v>14</v>
      </c>
      <c r="AL1066" t="n">
        <v>3</v>
      </c>
      <c r="AM1066" t="n">
        <v>3</v>
      </c>
      <c r="AN1066" t="n">
        <v>1</v>
      </c>
      <c r="AO1066" t="n">
        <v>1</v>
      </c>
      <c r="AP1066" t="inlineStr">
        <is>
          <t>No</t>
        </is>
      </c>
      <c r="AQ1066" t="inlineStr">
        <is>
          <t>Yes</t>
        </is>
      </c>
      <c r="AR1066">
        <f>HYPERLINK("http://catalog.hathitrust.org/Record/000337687","HathiTrust Record")</f>
        <v/>
      </c>
      <c r="AS1066">
        <f>HYPERLINK("https://creighton-primo.hosted.exlibrisgroup.com/primo-explore/search?tab=default_tab&amp;search_scope=EVERYTHING&amp;vid=01CRU&amp;lang=en_US&amp;offset=0&amp;query=any,contains,991000201609702656","Catalog Record")</f>
        <v/>
      </c>
      <c r="AT1066">
        <f>HYPERLINK("http://www.worldcat.org/oclc/9465181","WorldCat Record")</f>
        <v/>
      </c>
      <c r="AU1066" t="inlineStr">
        <is>
          <t>4161780401:eng</t>
        </is>
      </c>
      <c r="AV1066" t="inlineStr">
        <is>
          <t>9465181</t>
        </is>
      </c>
      <c r="AW1066" t="inlineStr">
        <is>
          <t>991000201609702656</t>
        </is>
      </c>
      <c r="AX1066" t="inlineStr">
        <is>
          <t>991000201609702656</t>
        </is>
      </c>
      <c r="AY1066" t="inlineStr">
        <is>
          <t>2264670650002656</t>
        </is>
      </c>
      <c r="AZ1066" t="inlineStr">
        <is>
          <t>BOOK</t>
        </is>
      </c>
      <c r="BB1066" t="inlineStr">
        <is>
          <t>9780882581200</t>
        </is>
      </c>
      <c r="BC1066" t="inlineStr">
        <is>
          <t>32285000361294</t>
        </is>
      </c>
      <c r="BD1066" t="inlineStr">
        <is>
          <t>893771468</t>
        </is>
      </c>
    </row>
    <row r="1067">
      <c r="A1067" t="inlineStr">
        <is>
          <t>No</t>
        </is>
      </c>
      <c r="B1067" t="inlineStr">
        <is>
          <t>PS509.M6 S55 1992</t>
        </is>
      </c>
      <c r="C1067" t="inlineStr">
        <is>
          <t>0                      PS 0509000M  6                  S  55          1992</t>
        </is>
      </c>
      <c r="D1067" t="inlineStr">
        <is>
          <t>Centuries of solace : expressions of maternal grief in popular literature / Wendy Simonds, Barbara Katz Rothman.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K1067" t="inlineStr">
        <is>
          <t>Simonds, Wendy, 1962-</t>
        </is>
      </c>
      <c r="L1067" t="inlineStr">
        <is>
          <t>Philadelphia : Temple University Press, 1992.</t>
        </is>
      </c>
      <c r="M1067" t="inlineStr">
        <is>
          <t>1992</t>
        </is>
      </c>
      <c r="O1067" t="inlineStr">
        <is>
          <t>eng</t>
        </is>
      </c>
      <c r="P1067" t="inlineStr">
        <is>
          <t>pau</t>
        </is>
      </c>
      <c r="Q1067" t="inlineStr">
        <is>
          <t>Health, society, and policy</t>
        </is>
      </c>
      <c r="R1067" t="inlineStr">
        <is>
          <t xml:space="preserve">PS </t>
        </is>
      </c>
      <c r="S1067" t="n">
        <v>4</v>
      </c>
      <c r="T1067" t="n">
        <v>4</v>
      </c>
      <c r="U1067" t="inlineStr">
        <is>
          <t>2000-02-09</t>
        </is>
      </c>
      <c r="V1067" t="inlineStr">
        <is>
          <t>2000-02-09</t>
        </is>
      </c>
      <c r="W1067" t="inlineStr">
        <is>
          <t>1992-08-12</t>
        </is>
      </c>
      <c r="X1067" t="inlineStr">
        <is>
          <t>1992-08-12</t>
        </is>
      </c>
      <c r="Y1067" t="n">
        <v>227</v>
      </c>
      <c r="Z1067" t="n">
        <v>197</v>
      </c>
      <c r="AA1067" t="n">
        <v>197</v>
      </c>
      <c r="AB1067" t="n">
        <v>2</v>
      </c>
      <c r="AC1067" t="n">
        <v>2</v>
      </c>
      <c r="AD1067" t="n">
        <v>8</v>
      </c>
      <c r="AE1067" t="n">
        <v>8</v>
      </c>
      <c r="AF1067" t="n">
        <v>1</v>
      </c>
      <c r="AG1067" t="n">
        <v>1</v>
      </c>
      <c r="AH1067" t="n">
        <v>4</v>
      </c>
      <c r="AI1067" t="n">
        <v>4</v>
      </c>
      <c r="AJ1067" t="n">
        <v>4</v>
      </c>
      <c r="AK1067" t="n">
        <v>4</v>
      </c>
      <c r="AL1067" t="n">
        <v>1</v>
      </c>
      <c r="AM1067" t="n">
        <v>1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No</t>
        </is>
      </c>
      <c r="AS1067">
        <f>HYPERLINK("https://creighton-primo.hosted.exlibrisgroup.com/primo-explore/search?tab=default_tab&amp;search_scope=EVERYTHING&amp;vid=01CRU&amp;lang=en_US&amp;offset=0&amp;query=any,contains,991001950369702656","Catalog Record")</f>
        <v/>
      </c>
      <c r="AT1067">
        <f>HYPERLINK("http://www.worldcat.org/oclc/24666575","WorldCat Record")</f>
        <v/>
      </c>
      <c r="AU1067" t="inlineStr">
        <is>
          <t>26604060:eng</t>
        </is>
      </c>
      <c r="AV1067" t="inlineStr">
        <is>
          <t>24666575</t>
        </is>
      </c>
      <c r="AW1067" t="inlineStr">
        <is>
          <t>991001950369702656</t>
        </is>
      </c>
      <c r="AX1067" t="inlineStr">
        <is>
          <t>991001950369702656</t>
        </is>
      </c>
      <c r="AY1067" t="inlineStr">
        <is>
          <t>2254786490002656</t>
        </is>
      </c>
      <c r="AZ1067" t="inlineStr">
        <is>
          <t>BOOK</t>
        </is>
      </c>
      <c r="BB1067" t="inlineStr">
        <is>
          <t>9780877229315</t>
        </is>
      </c>
      <c r="BC1067" t="inlineStr">
        <is>
          <t>32285001197374</t>
        </is>
      </c>
      <c r="BD1067" t="inlineStr">
        <is>
          <t>893603021</t>
        </is>
      </c>
    </row>
    <row r="1068">
      <c r="A1068" t="inlineStr">
        <is>
          <t>No</t>
        </is>
      </c>
      <c r="B1068" t="inlineStr">
        <is>
          <t>PS535 .F63</t>
        </is>
      </c>
      <c r="C1068" t="inlineStr">
        <is>
          <t>0                      PS 0535000F  63</t>
        </is>
      </c>
      <c r="D1068" t="inlineStr">
        <is>
          <t>The romantic movement in American writing.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K1068" t="inlineStr">
        <is>
          <t>Fogle, Richard Harter editor.</t>
        </is>
      </c>
      <c r="L1068" t="inlineStr">
        <is>
          <t>New York, Odyssey Press [1966]</t>
        </is>
      </c>
      <c r="M1068" t="inlineStr">
        <is>
          <t>1966</t>
        </is>
      </c>
      <c r="O1068" t="inlineStr">
        <is>
          <t>eng</t>
        </is>
      </c>
      <c r="P1068" t="inlineStr">
        <is>
          <t>nyu</t>
        </is>
      </c>
      <c r="Q1068" t="inlineStr">
        <is>
          <t>The Odyssey surveys of American writing</t>
        </is>
      </c>
      <c r="R1068" t="inlineStr">
        <is>
          <t xml:space="preserve">PS </t>
        </is>
      </c>
      <c r="S1068" t="n">
        <v>5</v>
      </c>
      <c r="T1068" t="n">
        <v>5</v>
      </c>
      <c r="U1068" t="inlineStr">
        <is>
          <t>2000-04-07</t>
        </is>
      </c>
      <c r="V1068" t="inlineStr">
        <is>
          <t>2000-04-07</t>
        </is>
      </c>
      <c r="W1068" t="inlineStr">
        <is>
          <t>1997-05-05</t>
        </is>
      </c>
      <c r="X1068" t="inlineStr">
        <is>
          <t>1997-05-05</t>
        </is>
      </c>
      <c r="Y1068" t="n">
        <v>603</v>
      </c>
      <c r="Z1068" t="n">
        <v>535</v>
      </c>
      <c r="AA1068" t="n">
        <v>535</v>
      </c>
      <c r="AB1068" t="n">
        <v>4</v>
      </c>
      <c r="AC1068" t="n">
        <v>4</v>
      </c>
      <c r="AD1068" t="n">
        <v>18</v>
      </c>
      <c r="AE1068" t="n">
        <v>18</v>
      </c>
      <c r="AF1068" t="n">
        <v>5</v>
      </c>
      <c r="AG1068" t="n">
        <v>5</v>
      </c>
      <c r="AH1068" t="n">
        <v>5</v>
      </c>
      <c r="AI1068" t="n">
        <v>5</v>
      </c>
      <c r="AJ1068" t="n">
        <v>9</v>
      </c>
      <c r="AK1068" t="n">
        <v>9</v>
      </c>
      <c r="AL1068" t="n">
        <v>3</v>
      </c>
      <c r="AM1068" t="n">
        <v>3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No</t>
        </is>
      </c>
      <c r="AS1068">
        <f>HYPERLINK("https://creighton-primo.hosted.exlibrisgroup.com/primo-explore/search?tab=default_tab&amp;search_scope=EVERYTHING&amp;vid=01CRU&amp;lang=en_US&amp;offset=0&amp;query=any,contains,991002205449702656","Catalog Record")</f>
        <v/>
      </c>
      <c r="AT1068">
        <f>HYPERLINK("http://www.worldcat.org/oclc/285647","WorldCat Record")</f>
        <v/>
      </c>
      <c r="AU1068" t="inlineStr">
        <is>
          <t>1449464:eng</t>
        </is>
      </c>
      <c r="AV1068" t="inlineStr">
        <is>
          <t>285647</t>
        </is>
      </c>
      <c r="AW1068" t="inlineStr">
        <is>
          <t>991002205449702656</t>
        </is>
      </c>
      <c r="AX1068" t="inlineStr">
        <is>
          <t>991002205449702656</t>
        </is>
      </c>
      <c r="AY1068" t="inlineStr">
        <is>
          <t>2263295020002656</t>
        </is>
      </c>
      <c r="AZ1068" t="inlineStr">
        <is>
          <t>BOOK</t>
        </is>
      </c>
      <c r="BC1068" t="inlineStr">
        <is>
          <t>32285002638384</t>
        </is>
      </c>
      <c r="BD1068" t="inlineStr">
        <is>
          <t>893529672</t>
        </is>
      </c>
    </row>
    <row r="1069">
      <c r="A1069" t="inlineStr">
        <is>
          <t>No</t>
        </is>
      </c>
      <c r="B1069" t="inlineStr">
        <is>
          <t>PS535 .P66 2001</t>
        </is>
      </c>
      <c r="C1069" t="inlineStr">
        <is>
          <t>0                      PS 0535000P  66          2001</t>
        </is>
      </c>
      <c r="D1069" t="inlineStr">
        <is>
          <t>Popular American literature of the 19th century / edited by Paul C. Gutjahr.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L1069" t="inlineStr">
        <is>
          <t>New York : Oxford University Press, 2001.</t>
        </is>
      </c>
      <c r="M1069" t="inlineStr">
        <is>
          <t>2001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PS </t>
        </is>
      </c>
      <c r="S1069" t="n">
        <v>1</v>
      </c>
      <c r="T1069" t="n">
        <v>1</v>
      </c>
      <c r="U1069" t="inlineStr">
        <is>
          <t>2001-10-16</t>
        </is>
      </c>
      <c r="V1069" t="inlineStr">
        <is>
          <t>2001-10-16</t>
        </is>
      </c>
      <c r="W1069" t="inlineStr">
        <is>
          <t>2001-10-16</t>
        </is>
      </c>
      <c r="X1069" t="inlineStr">
        <is>
          <t>2001-10-16</t>
        </is>
      </c>
      <c r="Y1069" t="n">
        <v>418</v>
      </c>
      <c r="Z1069" t="n">
        <v>360</v>
      </c>
      <c r="AA1069" t="n">
        <v>360</v>
      </c>
      <c r="AB1069" t="n">
        <v>5</v>
      </c>
      <c r="AC1069" t="n">
        <v>5</v>
      </c>
      <c r="AD1069" t="n">
        <v>24</v>
      </c>
      <c r="AE1069" t="n">
        <v>24</v>
      </c>
      <c r="AF1069" t="n">
        <v>10</v>
      </c>
      <c r="AG1069" t="n">
        <v>10</v>
      </c>
      <c r="AH1069" t="n">
        <v>5</v>
      </c>
      <c r="AI1069" t="n">
        <v>5</v>
      </c>
      <c r="AJ1069" t="n">
        <v>10</v>
      </c>
      <c r="AK1069" t="n">
        <v>10</v>
      </c>
      <c r="AL1069" t="n">
        <v>4</v>
      </c>
      <c r="AM1069" t="n">
        <v>4</v>
      </c>
      <c r="AN1069" t="n">
        <v>0</v>
      </c>
      <c r="AO1069" t="n">
        <v>0</v>
      </c>
      <c r="AP1069" t="inlineStr">
        <is>
          <t>No</t>
        </is>
      </c>
      <c r="AQ1069" t="inlineStr">
        <is>
          <t>No</t>
        </is>
      </c>
      <c r="AS1069">
        <f>HYPERLINK("https://creighton-primo.hosted.exlibrisgroup.com/primo-explore/search?tab=default_tab&amp;search_scope=EVERYTHING&amp;vid=01CRU&amp;lang=en_US&amp;offset=0&amp;query=any,contains,991003619549702656","Catalog Record")</f>
        <v/>
      </c>
      <c r="AT1069">
        <f>HYPERLINK("http://www.worldcat.org/oclc/44133056","WorldCat Record")</f>
        <v/>
      </c>
      <c r="AU1069" t="inlineStr">
        <is>
          <t>33620833:eng</t>
        </is>
      </c>
      <c r="AV1069" t="inlineStr">
        <is>
          <t>44133056</t>
        </is>
      </c>
      <c r="AW1069" t="inlineStr">
        <is>
          <t>991003619549702656</t>
        </is>
      </c>
      <c r="AX1069" t="inlineStr">
        <is>
          <t>991003619549702656</t>
        </is>
      </c>
      <c r="AY1069" t="inlineStr">
        <is>
          <t>2270375710002656</t>
        </is>
      </c>
      <c r="AZ1069" t="inlineStr">
        <is>
          <t>BOOK</t>
        </is>
      </c>
      <c r="BB1069" t="inlineStr">
        <is>
          <t>9780195141405</t>
        </is>
      </c>
      <c r="BC1069" t="inlineStr">
        <is>
          <t>32285004397039</t>
        </is>
      </c>
      <c r="BD1069" t="inlineStr">
        <is>
          <t>893781202</t>
        </is>
      </c>
    </row>
    <row r="1070">
      <c r="A1070" t="inlineStr">
        <is>
          <t>No</t>
        </is>
      </c>
      <c r="B1070" t="inlineStr">
        <is>
          <t>PS535 .S74 2002</t>
        </is>
      </c>
      <c r="C1070" t="inlineStr">
        <is>
          <t>0                      PS 0535000S  74          2002</t>
        </is>
      </c>
      <c r="D1070" t="inlineStr">
        <is>
          <t>Stephen Crane's literary family : a garland of writings / edited by Thomas A. Gullason.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L1070" t="inlineStr">
        <is>
          <t>Syracuse, N.Y. : Syracuse University Press, 2002.</t>
        </is>
      </c>
      <c r="M1070" t="inlineStr">
        <is>
          <t>2002</t>
        </is>
      </c>
      <c r="N1070" t="inlineStr">
        <is>
          <t>1st ed.</t>
        </is>
      </c>
      <c r="O1070" t="inlineStr">
        <is>
          <t>eng</t>
        </is>
      </c>
      <c r="P1070" t="inlineStr">
        <is>
          <t>nyu</t>
        </is>
      </c>
      <c r="R1070" t="inlineStr">
        <is>
          <t xml:space="preserve">PS </t>
        </is>
      </c>
      <c r="S1070" t="n">
        <v>1</v>
      </c>
      <c r="T1070" t="n">
        <v>1</v>
      </c>
      <c r="U1070" t="inlineStr">
        <is>
          <t>2003-03-03</t>
        </is>
      </c>
      <c r="V1070" t="inlineStr">
        <is>
          <t>2003-03-03</t>
        </is>
      </c>
      <c r="W1070" t="inlineStr">
        <is>
          <t>2003-03-03</t>
        </is>
      </c>
      <c r="X1070" t="inlineStr">
        <is>
          <t>2003-03-03</t>
        </is>
      </c>
      <c r="Y1070" t="n">
        <v>218</v>
      </c>
      <c r="Z1070" t="n">
        <v>200</v>
      </c>
      <c r="AA1070" t="n">
        <v>207</v>
      </c>
      <c r="AB1070" t="n">
        <v>2</v>
      </c>
      <c r="AC1070" t="n">
        <v>2</v>
      </c>
      <c r="AD1070" t="n">
        <v>16</v>
      </c>
      <c r="AE1070" t="n">
        <v>16</v>
      </c>
      <c r="AF1070" t="n">
        <v>8</v>
      </c>
      <c r="AG1070" t="n">
        <v>8</v>
      </c>
      <c r="AH1070" t="n">
        <v>4</v>
      </c>
      <c r="AI1070" t="n">
        <v>4</v>
      </c>
      <c r="AJ1070" t="n">
        <v>9</v>
      </c>
      <c r="AK1070" t="n">
        <v>9</v>
      </c>
      <c r="AL1070" t="n">
        <v>1</v>
      </c>
      <c r="AM1070" t="n">
        <v>1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Yes</t>
        </is>
      </c>
      <c r="AR1070">
        <f>HYPERLINK("http://catalog.hathitrust.org/Record/004244217","HathiTrust Record")</f>
        <v/>
      </c>
      <c r="AS1070">
        <f>HYPERLINK("https://creighton-primo.hosted.exlibrisgroup.com/primo-explore/search?tab=default_tab&amp;search_scope=EVERYTHING&amp;vid=01CRU&amp;lang=en_US&amp;offset=0&amp;query=any,contains,991003984889702656","Catalog Record")</f>
        <v/>
      </c>
      <c r="AT1070">
        <f>HYPERLINK("http://www.worldcat.org/oclc/46952234","WorldCat Record")</f>
        <v/>
      </c>
      <c r="AU1070" t="inlineStr">
        <is>
          <t>438772340:eng</t>
        </is>
      </c>
      <c r="AV1070" t="inlineStr">
        <is>
          <t>46952234</t>
        </is>
      </c>
      <c r="AW1070" t="inlineStr">
        <is>
          <t>991003984889702656</t>
        </is>
      </c>
      <c r="AX1070" t="inlineStr">
        <is>
          <t>991003984889702656</t>
        </is>
      </c>
      <c r="AY1070" t="inlineStr">
        <is>
          <t>2268471110002656</t>
        </is>
      </c>
      <c r="AZ1070" t="inlineStr">
        <is>
          <t>BOOK</t>
        </is>
      </c>
      <c r="BB1070" t="inlineStr">
        <is>
          <t>9780815629016</t>
        </is>
      </c>
      <c r="BC1070" t="inlineStr">
        <is>
          <t>32285004681952</t>
        </is>
      </c>
      <c r="BD1070" t="inlineStr">
        <is>
          <t>893800443</t>
        </is>
      </c>
    </row>
    <row r="1071">
      <c r="A1071" t="inlineStr">
        <is>
          <t>No</t>
        </is>
      </c>
      <c r="B1071" t="inlineStr">
        <is>
          <t>PS535.5 .J6</t>
        </is>
      </c>
      <c r="C1071" t="inlineStr">
        <is>
          <t>0                      PS 0535500J  6</t>
        </is>
      </c>
      <c r="D1071" t="inlineStr">
        <is>
          <t>Contemporary American thought; a college reader / edited by E. W. Johnson.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Johnson, E. W. (Edward Warren), 1941-, compiler.</t>
        </is>
      </c>
      <c r="L1071" t="inlineStr">
        <is>
          <t>New York, Free Press [1968]</t>
        </is>
      </c>
      <c r="M1071" t="inlineStr">
        <is>
          <t>1968</t>
        </is>
      </c>
      <c r="O1071" t="inlineStr">
        <is>
          <t>eng</t>
        </is>
      </c>
      <c r="P1071" t="inlineStr">
        <is>
          <t>nyu</t>
        </is>
      </c>
      <c r="R1071" t="inlineStr">
        <is>
          <t xml:space="preserve">PS </t>
        </is>
      </c>
      <c r="S1071" t="n">
        <v>6</v>
      </c>
      <c r="T1071" t="n">
        <v>6</v>
      </c>
      <c r="U1071" t="inlineStr">
        <is>
          <t>2002-12-02</t>
        </is>
      </c>
      <c r="V1071" t="inlineStr">
        <is>
          <t>2002-12-02</t>
        </is>
      </c>
      <c r="W1071" t="inlineStr">
        <is>
          <t>1990-10-19</t>
        </is>
      </c>
      <c r="X1071" t="inlineStr">
        <is>
          <t>1990-10-19</t>
        </is>
      </c>
      <c r="Y1071" t="n">
        <v>254</v>
      </c>
      <c r="Z1071" t="n">
        <v>225</v>
      </c>
      <c r="AA1071" t="n">
        <v>233</v>
      </c>
      <c r="AB1071" t="n">
        <v>4</v>
      </c>
      <c r="AC1071" t="n">
        <v>4</v>
      </c>
      <c r="AD1071" t="n">
        <v>6</v>
      </c>
      <c r="AE1071" t="n">
        <v>6</v>
      </c>
      <c r="AF1071" t="n">
        <v>2</v>
      </c>
      <c r="AG1071" t="n">
        <v>2</v>
      </c>
      <c r="AH1071" t="n">
        <v>0</v>
      </c>
      <c r="AI1071" t="n">
        <v>0</v>
      </c>
      <c r="AJ1071" t="n">
        <v>1</v>
      </c>
      <c r="AK1071" t="n">
        <v>1</v>
      </c>
      <c r="AL1071" t="n">
        <v>3</v>
      </c>
      <c r="AM1071" t="n">
        <v>3</v>
      </c>
      <c r="AN1071" t="n">
        <v>0</v>
      </c>
      <c r="AO1071" t="n">
        <v>0</v>
      </c>
      <c r="AP1071" t="inlineStr">
        <is>
          <t>No</t>
        </is>
      </c>
      <c r="AQ1071" t="inlineStr">
        <is>
          <t>Yes</t>
        </is>
      </c>
      <c r="AR1071">
        <f>HYPERLINK("http://catalog.hathitrust.org/Record/009510852","HathiTrust Record")</f>
        <v/>
      </c>
      <c r="AS1071">
        <f>HYPERLINK("https://creighton-primo.hosted.exlibrisgroup.com/primo-explore/search?tab=default_tab&amp;search_scope=EVERYTHING&amp;vid=01CRU&amp;lang=en_US&amp;offset=0&amp;query=any,contains,991002773089702656","Catalog Record")</f>
        <v/>
      </c>
      <c r="AT1071">
        <f>HYPERLINK("http://www.worldcat.org/oclc/437754","WorldCat Record")</f>
        <v/>
      </c>
      <c r="AU1071" t="inlineStr">
        <is>
          <t>823644957:eng</t>
        </is>
      </c>
      <c r="AV1071" t="inlineStr">
        <is>
          <t>437754</t>
        </is>
      </c>
      <c r="AW1071" t="inlineStr">
        <is>
          <t>991002773089702656</t>
        </is>
      </c>
      <c r="AX1071" t="inlineStr">
        <is>
          <t>991002773089702656</t>
        </is>
      </c>
      <c r="AY1071" t="inlineStr">
        <is>
          <t>2267915010002656</t>
        </is>
      </c>
      <c r="AZ1071" t="inlineStr">
        <is>
          <t>BOOK</t>
        </is>
      </c>
      <c r="BC1071" t="inlineStr">
        <is>
          <t>32285000361351</t>
        </is>
      </c>
      <c r="BD1071" t="inlineStr">
        <is>
          <t>893421781</t>
        </is>
      </c>
    </row>
    <row r="1072">
      <c r="A1072" t="inlineStr">
        <is>
          <t>No</t>
        </is>
      </c>
      <c r="B1072" t="inlineStr">
        <is>
          <t>PS536 .J6</t>
        </is>
      </c>
      <c r="C1072" t="inlineStr">
        <is>
          <t>0                      PS 0536000J  6</t>
        </is>
      </c>
      <c r="D1072" t="inlineStr">
        <is>
          <t>The moderns : an anthology of new writing in America / edited with an introd. by LeRoi Jones.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Baraka, Amiri, 1934-2014 editor.</t>
        </is>
      </c>
      <c r="L1072" t="inlineStr">
        <is>
          <t>New York : Corinth Books, 1963.</t>
        </is>
      </c>
      <c r="M1072" t="inlineStr">
        <is>
          <t>1963</t>
        </is>
      </c>
      <c r="O1072" t="inlineStr">
        <is>
          <t>eng</t>
        </is>
      </c>
      <c r="P1072" t="inlineStr">
        <is>
          <t>nyu</t>
        </is>
      </c>
      <c r="R1072" t="inlineStr">
        <is>
          <t xml:space="preserve">PS </t>
        </is>
      </c>
      <c r="S1072" t="n">
        <v>2</v>
      </c>
      <c r="T1072" t="n">
        <v>2</v>
      </c>
      <c r="U1072" t="inlineStr">
        <is>
          <t>1995-02-15</t>
        </is>
      </c>
      <c r="V1072" t="inlineStr">
        <is>
          <t>1995-02-15</t>
        </is>
      </c>
      <c r="W1072" t="inlineStr">
        <is>
          <t>1992-05-19</t>
        </is>
      </c>
      <c r="X1072" t="inlineStr">
        <is>
          <t>1992-05-19</t>
        </is>
      </c>
      <c r="Y1072" t="n">
        <v>556</v>
      </c>
      <c r="Z1072" t="n">
        <v>505</v>
      </c>
      <c r="AA1072" t="n">
        <v>507</v>
      </c>
      <c r="AB1072" t="n">
        <v>4</v>
      </c>
      <c r="AC1072" t="n">
        <v>4</v>
      </c>
      <c r="AD1072" t="n">
        <v>17</v>
      </c>
      <c r="AE1072" t="n">
        <v>17</v>
      </c>
      <c r="AF1072" t="n">
        <v>6</v>
      </c>
      <c r="AG1072" t="n">
        <v>6</v>
      </c>
      <c r="AH1072" t="n">
        <v>2</v>
      </c>
      <c r="AI1072" t="n">
        <v>2</v>
      </c>
      <c r="AJ1072" t="n">
        <v>7</v>
      </c>
      <c r="AK1072" t="n">
        <v>7</v>
      </c>
      <c r="AL1072" t="n">
        <v>3</v>
      </c>
      <c r="AM1072" t="n">
        <v>3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No</t>
        </is>
      </c>
      <c r="AR1072">
        <f>HYPERLINK("http://catalog.hathitrust.org/Record/001441874","HathiTrust Record")</f>
        <v/>
      </c>
      <c r="AS1072">
        <f>HYPERLINK("https://creighton-primo.hosted.exlibrisgroup.com/primo-explore/search?tab=default_tab&amp;search_scope=EVERYTHING&amp;vid=01CRU&amp;lang=en_US&amp;offset=0&amp;query=any,contains,991004607729702656","Catalog Record")</f>
        <v/>
      </c>
      <c r="AT1072">
        <f>HYPERLINK("http://www.worldcat.org/oclc/4195488","WorldCat Record")</f>
        <v/>
      </c>
      <c r="AU1072" t="inlineStr">
        <is>
          <t>2999817369:eng</t>
        </is>
      </c>
      <c r="AV1072" t="inlineStr">
        <is>
          <t>4195488</t>
        </is>
      </c>
      <c r="AW1072" t="inlineStr">
        <is>
          <t>991004607729702656</t>
        </is>
      </c>
      <c r="AX1072" t="inlineStr">
        <is>
          <t>991004607729702656</t>
        </is>
      </c>
      <c r="AY1072" t="inlineStr">
        <is>
          <t>2260978180002656</t>
        </is>
      </c>
      <c r="AZ1072" t="inlineStr">
        <is>
          <t>BOOK</t>
        </is>
      </c>
      <c r="BC1072" t="inlineStr">
        <is>
          <t>32285001111524</t>
        </is>
      </c>
      <c r="BD1072" t="inlineStr">
        <is>
          <t>893876311</t>
        </is>
      </c>
    </row>
    <row r="1073">
      <c r="A1073" t="inlineStr">
        <is>
          <t>No</t>
        </is>
      </c>
      <c r="B1073" t="inlineStr">
        <is>
          <t>PS55 .M8</t>
        </is>
      </c>
      <c r="C1073" t="inlineStr">
        <is>
          <t>0                      PS 0055000M  8</t>
        </is>
      </c>
      <c r="D1073" t="inlineStr">
        <is>
          <t>Indian essays in American literature; papers in honour of Robert E. Spiller. Edited by Sujit Mukherjee &amp; D. V. K. Raghavacharyulu.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Mukherjee, Sujit.</t>
        </is>
      </c>
      <c r="L1073" t="inlineStr">
        <is>
          <t>Bombay, Popular Prakashan [1969]</t>
        </is>
      </c>
      <c r="M1073" t="inlineStr">
        <is>
          <t>1969</t>
        </is>
      </c>
      <c r="O1073" t="inlineStr">
        <is>
          <t>eng</t>
        </is>
      </c>
      <c r="P1073" t="inlineStr">
        <is>
          <t xml:space="preserve">ii </t>
        </is>
      </c>
      <c r="R1073" t="inlineStr">
        <is>
          <t xml:space="preserve">PS </t>
        </is>
      </c>
      <c r="S1073" t="n">
        <v>5</v>
      </c>
      <c r="T1073" t="n">
        <v>5</v>
      </c>
      <c r="U1073" t="inlineStr">
        <is>
          <t>1999-02-19</t>
        </is>
      </c>
      <c r="V1073" t="inlineStr">
        <is>
          <t>1999-02-19</t>
        </is>
      </c>
      <c r="W1073" t="inlineStr">
        <is>
          <t>1997-04-28</t>
        </is>
      </c>
      <c r="X1073" t="inlineStr">
        <is>
          <t>1997-04-28</t>
        </is>
      </c>
      <c r="Y1073" t="n">
        <v>140</v>
      </c>
      <c r="Z1073" t="n">
        <v>114</v>
      </c>
      <c r="AA1073" t="n">
        <v>124</v>
      </c>
      <c r="AB1073" t="n">
        <v>2</v>
      </c>
      <c r="AC1073" t="n">
        <v>2</v>
      </c>
      <c r="AD1073" t="n">
        <v>6</v>
      </c>
      <c r="AE1073" t="n">
        <v>6</v>
      </c>
      <c r="AF1073" t="n">
        <v>1</v>
      </c>
      <c r="AG1073" t="n">
        <v>1</v>
      </c>
      <c r="AH1073" t="n">
        <v>2</v>
      </c>
      <c r="AI1073" t="n">
        <v>2</v>
      </c>
      <c r="AJ1073" t="n">
        <v>3</v>
      </c>
      <c r="AK1073" t="n">
        <v>3</v>
      </c>
      <c r="AL1073" t="n">
        <v>1</v>
      </c>
      <c r="AM1073" t="n">
        <v>1</v>
      </c>
      <c r="AN1073" t="n">
        <v>0</v>
      </c>
      <c r="AO1073" t="n">
        <v>0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HYPERLINK("https://creighton-primo.hosted.exlibrisgroup.com/primo-explore/search?tab=default_tab&amp;search_scope=EVERYTHING&amp;vid=01CRU&amp;lang=en_US&amp;offset=0&amp;query=any,contains,991000424869702656","Catalog Record")</f>
        <v/>
      </c>
      <c r="AT1073">
        <f>HYPERLINK("http://www.worldcat.org/oclc/74710","WorldCat Record")</f>
        <v/>
      </c>
      <c r="AU1073" t="inlineStr">
        <is>
          <t>1246964:eng</t>
        </is>
      </c>
      <c r="AV1073" t="inlineStr">
        <is>
          <t>74710</t>
        </is>
      </c>
      <c r="AW1073" t="inlineStr">
        <is>
          <t>991000424869702656</t>
        </is>
      </c>
      <c r="AX1073" t="inlineStr">
        <is>
          <t>991000424869702656</t>
        </is>
      </c>
      <c r="AY1073" t="inlineStr">
        <is>
          <t>2272207160002656</t>
        </is>
      </c>
      <c r="AZ1073" t="inlineStr">
        <is>
          <t>BOOK</t>
        </is>
      </c>
      <c r="BC1073" t="inlineStr">
        <is>
          <t>32285002593522</t>
        </is>
      </c>
      <c r="BD1073" t="inlineStr">
        <is>
          <t>893231096</t>
        </is>
      </c>
    </row>
    <row r="1074">
      <c r="A1074" t="inlineStr">
        <is>
          <t>No</t>
        </is>
      </c>
      <c r="B1074" t="inlineStr">
        <is>
          <t>PS583 .O82</t>
        </is>
      </c>
      <c r="C1074" t="inlineStr">
        <is>
          <t>0                      PS 0583000O  82</t>
        </is>
      </c>
      <c r="D1074" t="inlineStr">
        <is>
          <t>The Oxford book of American verse / chosen and with an introd. by F. O. Matthiessen.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L1074" t="inlineStr">
        <is>
          <t>New York : Oxford University Press, 1950.</t>
        </is>
      </c>
      <c r="M1074" t="inlineStr">
        <is>
          <t>1950</t>
        </is>
      </c>
      <c r="O1074" t="inlineStr">
        <is>
          <t>eng</t>
        </is>
      </c>
      <c r="P1074" t="inlineStr">
        <is>
          <t>nyu</t>
        </is>
      </c>
      <c r="R1074" t="inlineStr">
        <is>
          <t xml:space="preserve">PS </t>
        </is>
      </c>
      <c r="S1074" t="n">
        <v>5</v>
      </c>
      <c r="T1074" t="n">
        <v>5</v>
      </c>
      <c r="U1074" t="inlineStr">
        <is>
          <t>1995-06-30</t>
        </is>
      </c>
      <c r="V1074" t="inlineStr">
        <is>
          <t>1995-06-30</t>
        </is>
      </c>
      <c r="W1074" t="inlineStr">
        <is>
          <t>1990-10-08</t>
        </is>
      </c>
      <c r="X1074" t="inlineStr">
        <is>
          <t>1990-10-08</t>
        </is>
      </c>
      <c r="Y1074" t="n">
        <v>2611</v>
      </c>
      <c r="Z1074" t="n">
        <v>2388</v>
      </c>
      <c r="AA1074" t="n">
        <v>2581</v>
      </c>
      <c r="AB1074" t="n">
        <v>20</v>
      </c>
      <c r="AC1074" t="n">
        <v>23</v>
      </c>
      <c r="AD1074" t="n">
        <v>50</v>
      </c>
      <c r="AE1074" t="n">
        <v>50</v>
      </c>
      <c r="AF1074" t="n">
        <v>18</v>
      </c>
      <c r="AG1074" t="n">
        <v>18</v>
      </c>
      <c r="AH1074" t="n">
        <v>8</v>
      </c>
      <c r="AI1074" t="n">
        <v>8</v>
      </c>
      <c r="AJ1074" t="n">
        <v>22</v>
      </c>
      <c r="AK1074" t="n">
        <v>22</v>
      </c>
      <c r="AL1074" t="n">
        <v>11</v>
      </c>
      <c r="AM1074" t="n">
        <v>11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No</t>
        </is>
      </c>
      <c r="AR1074">
        <f>HYPERLINK("http://catalog.hathitrust.org/Record/001113032","HathiTrust Record")</f>
        <v/>
      </c>
      <c r="AS1074">
        <f>HYPERLINK("https://creighton-primo.hosted.exlibrisgroup.com/primo-explore/search?tab=default_tab&amp;search_scope=EVERYTHING&amp;vid=01CRU&amp;lang=en_US&amp;offset=0&amp;query=any,contains,991002133839702656","Catalog Record")</f>
        <v/>
      </c>
      <c r="AT1074">
        <f>HYPERLINK("http://www.worldcat.org/oclc/270204","WorldCat Record")</f>
        <v/>
      </c>
      <c r="AU1074" t="inlineStr">
        <is>
          <t>54085155:eng</t>
        </is>
      </c>
      <c r="AV1074" t="inlineStr">
        <is>
          <t>270204</t>
        </is>
      </c>
      <c r="AW1074" t="inlineStr">
        <is>
          <t>991002133839702656</t>
        </is>
      </c>
      <c r="AX1074" t="inlineStr">
        <is>
          <t>991002133839702656</t>
        </is>
      </c>
      <c r="AY1074" t="inlineStr">
        <is>
          <t>2263773840002656</t>
        </is>
      </c>
      <c r="AZ1074" t="inlineStr">
        <is>
          <t>BOOK</t>
        </is>
      </c>
      <c r="BC1074" t="inlineStr">
        <is>
          <t>32285000334556</t>
        </is>
      </c>
      <c r="BD1074" t="inlineStr">
        <is>
          <t>893420975</t>
        </is>
      </c>
    </row>
    <row r="1075">
      <c r="A1075" t="inlineStr">
        <is>
          <t>No</t>
        </is>
      </c>
      <c r="B1075" t="inlineStr">
        <is>
          <t>PS586 .N4</t>
        </is>
      </c>
      <c r="C1075" t="inlineStr">
        <is>
          <t>0                      PS 0586000N  4</t>
        </is>
      </c>
      <c r="D1075" t="inlineStr">
        <is>
          <t>Poets of America, 1940-41.</t>
        </is>
      </c>
      <c r="F1075" t="inlineStr">
        <is>
          <t>Yes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L1075" t="inlineStr">
        <is>
          <t>New York, Avon House [c1940-42]</t>
        </is>
      </c>
      <c r="M1075" t="inlineStr">
        <is>
          <t>1940</t>
        </is>
      </c>
      <c r="O1075" t="inlineStr">
        <is>
          <t>eng</t>
        </is>
      </c>
      <c r="P1075" t="inlineStr">
        <is>
          <t xml:space="preserve">xx </t>
        </is>
      </c>
      <c r="R1075" t="inlineStr">
        <is>
          <t xml:space="preserve">PS </t>
        </is>
      </c>
      <c r="S1075" t="n">
        <v>0</v>
      </c>
      <c r="T1075" t="n">
        <v>0</v>
      </c>
      <c r="U1075" t="inlineStr">
        <is>
          <t>2000-07-12</t>
        </is>
      </c>
      <c r="V1075" t="inlineStr">
        <is>
          <t>2000-07-12</t>
        </is>
      </c>
      <c r="W1075" t="inlineStr">
        <is>
          <t>1997-05-05</t>
        </is>
      </c>
      <c r="X1075" t="inlineStr">
        <is>
          <t>1997-05-05</t>
        </is>
      </c>
      <c r="Y1075" t="n">
        <v>26</v>
      </c>
      <c r="Z1075" t="n">
        <v>26</v>
      </c>
      <c r="AA1075" t="n">
        <v>26</v>
      </c>
      <c r="AB1075" t="n">
        <v>2</v>
      </c>
      <c r="AC1075" t="n">
        <v>2</v>
      </c>
      <c r="AD1075" t="n">
        <v>2</v>
      </c>
      <c r="AE1075" t="n">
        <v>2</v>
      </c>
      <c r="AF1075" t="n">
        <v>1</v>
      </c>
      <c r="AG1075" t="n">
        <v>1</v>
      </c>
      <c r="AH1075" t="n">
        <v>0</v>
      </c>
      <c r="AI1075" t="n">
        <v>0</v>
      </c>
      <c r="AJ1075" t="n">
        <v>1</v>
      </c>
      <c r="AK1075" t="n">
        <v>1</v>
      </c>
      <c r="AL1075" t="n">
        <v>1</v>
      </c>
      <c r="AM1075" t="n">
        <v>1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No</t>
        </is>
      </c>
      <c r="AS1075">
        <f>HYPERLINK("https://creighton-primo.hosted.exlibrisgroup.com/primo-explore/search?tab=default_tab&amp;search_scope=EVERYTHING&amp;vid=01CRU&amp;lang=en_US&amp;offset=0&amp;query=any,contains,991002254079702656","Catalog Record")</f>
        <v/>
      </c>
      <c r="AT1075">
        <f>HYPERLINK("http://www.worldcat.org/oclc/300794","WorldCat Record")</f>
        <v/>
      </c>
      <c r="AU1075" t="inlineStr">
        <is>
          <t>1342479:eng</t>
        </is>
      </c>
      <c r="AV1075" t="inlineStr">
        <is>
          <t>300794</t>
        </is>
      </c>
      <c r="AW1075" t="inlineStr">
        <is>
          <t>991002254079702656</t>
        </is>
      </c>
      <c r="AX1075" t="inlineStr">
        <is>
          <t>991002254079702656</t>
        </is>
      </c>
      <c r="AY1075" t="inlineStr">
        <is>
          <t>2269431790002656</t>
        </is>
      </c>
      <c r="AZ1075" t="inlineStr">
        <is>
          <t>BOOK</t>
        </is>
      </c>
      <c r="BC1075" t="inlineStr">
        <is>
          <t>32285002638897</t>
        </is>
      </c>
      <c r="BD1075" t="inlineStr">
        <is>
          <t>893615896</t>
        </is>
      </c>
    </row>
    <row r="1076">
      <c r="A1076" t="inlineStr">
        <is>
          <t>No</t>
        </is>
      </c>
      <c r="B1076" t="inlineStr">
        <is>
          <t>PS586 .S43</t>
        </is>
      </c>
      <c r="C1076" t="inlineStr">
        <is>
          <t>0                      PS 0586000S  43</t>
        </is>
      </c>
      <c r="D1076" t="inlineStr">
        <is>
          <t>American poetry.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Shapiro, Karl, 1913-2000, editor.</t>
        </is>
      </c>
      <c r="L1076" t="inlineStr">
        <is>
          <t>New York : Crowell, [1960]</t>
        </is>
      </c>
      <c r="M1076" t="inlineStr">
        <is>
          <t>1960</t>
        </is>
      </c>
      <c r="O1076" t="inlineStr">
        <is>
          <t>eng</t>
        </is>
      </c>
      <c r="P1076" t="inlineStr">
        <is>
          <t>nyu</t>
        </is>
      </c>
      <c r="Q1076" t="inlineStr">
        <is>
          <t>American literary forms</t>
        </is>
      </c>
      <c r="R1076" t="inlineStr">
        <is>
          <t xml:space="preserve">PS </t>
        </is>
      </c>
      <c r="S1076" t="n">
        <v>7</v>
      </c>
      <c r="T1076" t="n">
        <v>7</v>
      </c>
      <c r="U1076" t="inlineStr">
        <is>
          <t>1995-01-23</t>
        </is>
      </c>
      <c r="V1076" t="inlineStr">
        <is>
          <t>1995-01-23</t>
        </is>
      </c>
      <c r="W1076" t="inlineStr">
        <is>
          <t>1990-10-02</t>
        </is>
      </c>
      <c r="X1076" t="inlineStr">
        <is>
          <t>1990-10-02</t>
        </is>
      </c>
      <c r="Y1076" t="n">
        <v>1115</v>
      </c>
      <c r="Z1076" t="n">
        <v>1048</v>
      </c>
      <c r="AA1076" t="n">
        <v>1122</v>
      </c>
      <c r="AB1076" t="n">
        <v>8</v>
      </c>
      <c r="AC1076" t="n">
        <v>8</v>
      </c>
      <c r="AD1076" t="n">
        <v>20</v>
      </c>
      <c r="AE1076" t="n">
        <v>20</v>
      </c>
      <c r="AF1076" t="n">
        <v>7</v>
      </c>
      <c r="AG1076" t="n">
        <v>7</v>
      </c>
      <c r="AH1076" t="n">
        <v>4</v>
      </c>
      <c r="AI1076" t="n">
        <v>4</v>
      </c>
      <c r="AJ1076" t="n">
        <v>7</v>
      </c>
      <c r="AK1076" t="n">
        <v>7</v>
      </c>
      <c r="AL1076" t="n">
        <v>4</v>
      </c>
      <c r="AM1076" t="n">
        <v>4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No</t>
        </is>
      </c>
      <c r="AR1076">
        <f>HYPERLINK("http://catalog.hathitrust.org/Record/001026808","HathiTrust Record")</f>
        <v/>
      </c>
      <c r="AS1076">
        <f>HYPERLINK("https://creighton-primo.hosted.exlibrisgroup.com/primo-explore/search?tab=default_tab&amp;search_scope=EVERYTHING&amp;vid=01CRU&amp;lang=en_US&amp;offset=0&amp;query=any,contains,991002133899702656","Catalog Record")</f>
        <v/>
      </c>
      <c r="AT1076">
        <f>HYPERLINK("http://www.worldcat.org/oclc/270237","WorldCat Record")</f>
        <v/>
      </c>
      <c r="AU1076" t="inlineStr">
        <is>
          <t>49051515:eng</t>
        </is>
      </c>
      <c r="AV1076" t="inlineStr">
        <is>
          <t>270237</t>
        </is>
      </c>
      <c r="AW1076" t="inlineStr">
        <is>
          <t>991002133899702656</t>
        </is>
      </c>
      <c r="AX1076" t="inlineStr">
        <is>
          <t>991002133899702656</t>
        </is>
      </c>
      <c r="AY1076" t="inlineStr">
        <is>
          <t>2263780570002656</t>
        </is>
      </c>
      <c r="AZ1076" t="inlineStr">
        <is>
          <t>BOOK</t>
        </is>
      </c>
      <c r="BC1076" t="inlineStr">
        <is>
          <t>32285000330851</t>
        </is>
      </c>
      <c r="BD1076" t="inlineStr">
        <is>
          <t>893879529</t>
        </is>
      </c>
    </row>
    <row r="1077">
      <c r="A1077" t="inlineStr">
        <is>
          <t>No</t>
        </is>
      </c>
      <c r="B1077" t="inlineStr">
        <is>
          <t>PS586 .V3</t>
        </is>
      </c>
      <c r="C1077" t="inlineStr">
        <is>
          <t>0                      PS 0586000V  3</t>
        </is>
      </c>
      <c r="D1077" t="inlineStr">
        <is>
          <t>American poets, 1630-1930 / edited by Mark Van Doren.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Van Doren, Mark, 1894-1972 editor.</t>
        </is>
      </c>
      <c r="L1077" t="inlineStr">
        <is>
          <t>Boston : Little, Brown and Company, 1932.</t>
        </is>
      </c>
      <c r="M1077" t="inlineStr">
        <is>
          <t>1932</t>
        </is>
      </c>
      <c r="O1077" t="inlineStr">
        <is>
          <t>eng</t>
        </is>
      </c>
      <c r="P1077" t="inlineStr">
        <is>
          <t>mau</t>
        </is>
      </c>
      <c r="R1077" t="inlineStr">
        <is>
          <t xml:space="preserve">PS </t>
        </is>
      </c>
      <c r="S1077" t="n">
        <v>3</v>
      </c>
      <c r="T1077" t="n">
        <v>3</v>
      </c>
      <c r="U1077" t="inlineStr">
        <is>
          <t>1999-05-03</t>
        </is>
      </c>
      <c r="V1077" t="inlineStr">
        <is>
          <t>1999-05-03</t>
        </is>
      </c>
      <c r="W1077" t="inlineStr">
        <is>
          <t>1990-02-23</t>
        </is>
      </c>
      <c r="X1077" t="inlineStr">
        <is>
          <t>1990-02-23</t>
        </is>
      </c>
      <c r="Y1077" t="n">
        <v>487</v>
      </c>
      <c r="Z1077" t="n">
        <v>460</v>
      </c>
      <c r="AA1077" t="n">
        <v>486</v>
      </c>
      <c r="AB1077" t="n">
        <v>4</v>
      </c>
      <c r="AC1077" t="n">
        <v>6</v>
      </c>
      <c r="AD1077" t="n">
        <v>20</v>
      </c>
      <c r="AE1077" t="n">
        <v>22</v>
      </c>
      <c r="AF1077" t="n">
        <v>9</v>
      </c>
      <c r="AG1077" t="n">
        <v>9</v>
      </c>
      <c r="AH1077" t="n">
        <v>5</v>
      </c>
      <c r="AI1077" t="n">
        <v>5</v>
      </c>
      <c r="AJ1077" t="n">
        <v>8</v>
      </c>
      <c r="AK1077" t="n">
        <v>9</v>
      </c>
      <c r="AL1077" t="n">
        <v>3</v>
      </c>
      <c r="AM1077" t="n">
        <v>4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Yes</t>
        </is>
      </c>
      <c r="AR1077">
        <f>HYPERLINK("http://catalog.hathitrust.org/Record/001372257","HathiTrust Record")</f>
        <v/>
      </c>
      <c r="AS1077">
        <f>HYPERLINK("https://creighton-primo.hosted.exlibrisgroup.com/primo-explore/search?tab=default_tab&amp;search_scope=EVERYTHING&amp;vid=01CRU&amp;lang=en_US&amp;offset=0&amp;query=any,contains,991003319079702656","Catalog Record")</f>
        <v/>
      </c>
      <c r="AT1077">
        <f>HYPERLINK("http://www.worldcat.org/oclc/845925","WorldCat Record")</f>
        <v/>
      </c>
      <c r="AU1077" t="inlineStr">
        <is>
          <t>1762347:eng</t>
        </is>
      </c>
      <c r="AV1077" t="inlineStr">
        <is>
          <t>845925</t>
        </is>
      </c>
      <c r="AW1077" t="inlineStr">
        <is>
          <t>991003319079702656</t>
        </is>
      </c>
      <c r="AX1077" t="inlineStr">
        <is>
          <t>991003319079702656</t>
        </is>
      </c>
      <c r="AY1077" t="inlineStr">
        <is>
          <t>2271274540002656</t>
        </is>
      </c>
      <c r="AZ1077" t="inlineStr">
        <is>
          <t>BOOK</t>
        </is>
      </c>
      <c r="BC1077" t="inlineStr">
        <is>
          <t>32285000060706</t>
        </is>
      </c>
      <c r="BD1077" t="inlineStr">
        <is>
          <t>893610915</t>
        </is>
      </c>
    </row>
    <row r="1078">
      <c r="A1078" t="inlineStr">
        <is>
          <t>No</t>
        </is>
      </c>
      <c r="B1078" t="inlineStr">
        <is>
          <t>PS595.H6 C6</t>
        </is>
      </c>
      <c r="C1078" t="inlineStr">
        <is>
          <t>0                      PS 0595000H  6                  C  6</t>
        </is>
      </c>
      <c r="D1078" t="inlineStr">
        <is>
          <t>Poems for seasons and celebrations / illustrated by Johannes Troyer.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Cole, William, 1919-2000 editor.</t>
        </is>
      </c>
      <c r="L1078" t="inlineStr">
        <is>
          <t>Cleveland : World Pub. Co., [1961]</t>
        </is>
      </c>
      <c r="M1078" t="inlineStr">
        <is>
          <t>1961</t>
        </is>
      </c>
      <c r="N1078" t="inlineStr">
        <is>
          <t>[1st ed.]</t>
        </is>
      </c>
      <c r="O1078" t="inlineStr">
        <is>
          <t>eng</t>
        </is>
      </c>
      <c r="P1078" t="inlineStr">
        <is>
          <t>ohu</t>
        </is>
      </c>
      <c r="R1078" t="inlineStr">
        <is>
          <t xml:space="preserve">PS </t>
        </is>
      </c>
      <c r="S1078" t="n">
        <v>7</v>
      </c>
      <c r="T1078" t="n">
        <v>7</v>
      </c>
      <c r="U1078" t="inlineStr">
        <is>
          <t>1998-05-06</t>
        </is>
      </c>
      <c r="V1078" t="inlineStr">
        <is>
          <t>1998-05-06</t>
        </is>
      </c>
      <c r="W1078" t="inlineStr">
        <is>
          <t>1990-05-22</t>
        </is>
      </c>
      <c r="X1078" t="inlineStr">
        <is>
          <t>1990-05-22</t>
        </is>
      </c>
      <c r="Y1078" t="n">
        <v>917</v>
      </c>
      <c r="Z1078" t="n">
        <v>888</v>
      </c>
      <c r="AA1078" t="n">
        <v>931</v>
      </c>
      <c r="AB1078" t="n">
        <v>11</v>
      </c>
      <c r="AC1078" t="n">
        <v>11</v>
      </c>
      <c r="AD1078" t="n">
        <v>13</v>
      </c>
      <c r="AE1078" t="n">
        <v>13</v>
      </c>
      <c r="AF1078" t="n">
        <v>4</v>
      </c>
      <c r="AG1078" t="n">
        <v>4</v>
      </c>
      <c r="AH1078" t="n">
        <v>3</v>
      </c>
      <c r="AI1078" t="n">
        <v>3</v>
      </c>
      <c r="AJ1078" t="n">
        <v>1</v>
      </c>
      <c r="AK1078" t="n">
        <v>1</v>
      </c>
      <c r="AL1078" t="n">
        <v>5</v>
      </c>
      <c r="AM1078" t="n">
        <v>5</v>
      </c>
      <c r="AN1078" t="n">
        <v>0</v>
      </c>
      <c r="AO1078" t="n">
        <v>0</v>
      </c>
      <c r="AP1078" t="inlineStr">
        <is>
          <t>No</t>
        </is>
      </c>
      <c r="AQ1078" t="inlineStr">
        <is>
          <t>No</t>
        </is>
      </c>
      <c r="AR1078">
        <f>HYPERLINK("http://catalog.hathitrust.org/Record/007124415","HathiTrust Record")</f>
        <v/>
      </c>
      <c r="AS1078">
        <f>HYPERLINK("https://creighton-primo.hosted.exlibrisgroup.com/primo-explore/search?tab=default_tab&amp;search_scope=EVERYTHING&amp;vid=01CRU&amp;lang=en_US&amp;offset=0&amp;query=any,contains,991003095629702656","Catalog Record")</f>
        <v/>
      </c>
      <c r="AT1078">
        <f>HYPERLINK("http://www.worldcat.org/oclc/645198","WorldCat Record")</f>
        <v/>
      </c>
      <c r="AU1078" t="inlineStr">
        <is>
          <t>70055908:eng</t>
        </is>
      </c>
      <c r="AV1078" t="inlineStr">
        <is>
          <t>645198</t>
        </is>
      </c>
      <c r="AW1078" t="inlineStr">
        <is>
          <t>991003095629702656</t>
        </is>
      </c>
      <c r="AX1078" t="inlineStr">
        <is>
          <t>991003095629702656</t>
        </is>
      </c>
      <c r="AY1078" t="inlineStr">
        <is>
          <t>2261640370002656</t>
        </is>
      </c>
      <c r="AZ1078" t="inlineStr">
        <is>
          <t>BOOK</t>
        </is>
      </c>
      <c r="BC1078" t="inlineStr">
        <is>
          <t>32285000157379</t>
        </is>
      </c>
      <c r="BD1078" t="inlineStr">
        <is>
          <t>893530849</t>
        </is>
      </c>
    </row>
    <row r="1079">
      <c r="A1079" t="inlineStr">
        <is>
          <t>No</t>
        </is>
      </c>
      <c r="B1079" t="inlineStr">
        <is>
          <t>PS613 .N4 1969</t>
        </is>
      </c>
      <c r="C1079" t="inlineStr">
        <is>
          <t>0                      PS 0613000N  4           1969</t>
        </is>
      </c>
      <c r="D1079" t="inlineStr">
        <is>
          <t>The New Yorker book of poems / selected by the editors of the New Yorker.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L1079" t="inlineStr">
        <is>
          <t>New York : Viking Press, [1969]</t>
        </is>
      </c>
      <c r="M1079" t="inlineStr">
        <is>
          <t>1969</t>
        </is>
      </c>
      <c r="O1079" t="inlineStr">
        <is>
          <t>eng</t>
        </is>
      </c>
      <c r="P1079" t="inlineStr">
        <is>
          <t>nyu</t>
        </is>
      </c>
      <c r="R1079" t="inlineStr">
        <is>
          <t xml:space="preserve">PS </t>
        </is>
      </c>
      <c r="S1079" t="n">
        <v>6</v>
      </c>
      <c r="T1079" t="n">
        <v>6</v>
      </c>
      <c r="U1079" t="inlineStr">
        <is>
          <t>1995-02-22</t>
        </is>
      </c>
      <c r="V1079" t="inlineStr">
        <is>
          <t>1995-02-22</t>
        </is>
      </c>
      <c r="W1079" t="inlineStr">
        <is>
          <t>1990-04-25</t>
        </is>
      </c>
      <c r="X1079" t="inlineStr">
        <is>
          <t>1990-04-25</t>
        </is>
      </c>
      <c r="Y1079" t="n">
        <v>977</v>
      </c>
      <c r="Z1079" t="n">
        <v>918</v>
      </c>
      <c r="AA1079" t="n">
        <v>1185</v>
      </c>
      <c r="AB1079" t="n">
        <v>7</v>
      </c>
      <c r="AC1079" t="n">
        <v>9</v>
      </c>
      <c r="AD1079" t="n">
        <v>23</v>
      </c>
      <c r="AE1079" t="n">
        <v>32</v>
      </c>
      <c r="AF1079" t="n">
        <v>9</v>
      </c>
      <c r="AG1079" t="n">
        <v>14</v>
      </c>
      <c r="AH1079" t="n">
        <v>5</v>
      </c>
      <c r="AI1079" t="n">
        <v>7</v>
      </c>
      <c r="AJ1079" t="n">
        <v>10</v>
      </c>
      <c r="AK1079" t="n">
        <v>16</v>
      </c>
      <c r="AL1079" t="n">
        <v>2</v>
      </c>
      <c r="AM1079" t="n">
        <v>3</v>
      </c>
      <c r="AN1079" t="n">
        <v>0</v>
      </c>
      <c r="AO1079" t="n">
        <v>0</v>
      </c>
      <c r="AP1079" t="inlineStr">
        <is>
          <t>No</t>
        </is>
      </c>
      <c r="AQ1079" t="inlineStr">
        <is>
          <t>Yes</t>
        </is>
      </c>
      <c r="AR1079">
        <f>HYPERLINK("http://catalog.hathitrust.org/Record/001907884","HathiTrust Record")</f>
        <v/>
      </c>
      <c r="AS1079">
        <f>HYPERLINK("https://creighton-primo.hosted.exlibrisgroup.com/primo-explore/search?tab=default_tab&amp;search_scope=EVERYTHING&amp;vid=01CRU&amp;lang=en_US&amp;offset=0&amp;query=any,contains,991000114629702656","Catalog Record")</f>
        <v/>
      </c>
      <c r="AT1079">
        <f>HYPERLINK("http://www.worldcat.org/oclc/48788","WorldCat Record")</f>
        <v/>
      </c>
      <c r="AU1079" t="inlineStr">
        <is>
          <t>178784225:eng</t>
        </is>
      </c>
      <c r="AV1079" t="inlineStr">
        <is>
          <t>48788</t>
        </is>
      </c>
      <c r="AW1079" t="inlineStr">
        <is>
          <t>991000114629702656</t>
        </is>
      </c>
      <c r="AX1079" t="inlineStr">
        <is>
          <t>991000114629702656</t>
        </is>
      </c>
      <c r="AY1079" t="inlineStr">
        <is>
          <t>2263087390002656</t>
        </is>
      </c>
      <c r="AZ1079" t="inlineStr">
        <is>
          <t>BOOK</t>
        </is>
      </c>
      <c r="BB1079" t="inlineStr">
        <is>
          <t>9780670509218</t>
        </is>
      </c>
      <c r="BC1079" t="inlineStr">
        <is>
          <t>32285000119221</t>
        </is>
      </c>
      <c r="BD1079" t="inlineStr">
        <is>
          <t>893502249</t>
        </is>
      </c>
    </row>
    <row r="1080">
      <c r="A1080" t="inlineStr">
        <is>
          <t>No</t>
        </is>
      </c>
      <c r="B1080" t="inlineStr">
        <is>
          <t>PS614 .R767</t>
        </is>
      </c>
      <c r="C1080" t="inlineStr">
        <is>
          <t>0                      PS 0614000R  767</t>
        </is>
      </c>
      <c r="D1080" t="inlineStr">
        <is>
          <t>Ted Malone's adventures in poetry.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Malone, Ted, 1908-1989.</t>
        </is>
      </c>
      <c r="L1080" t="inlineStr">
        <is>
          <t>New York, W. Morrow, 1946.</t>
        </is>
      </c>
      <c r="M1080" t="inlineStr">
        <is>
          <t>1946</t>
        </is>
      </c>
      <c r="O1080" t="inlineStr">
        <is>
          <t>eng</t>
        </is>
      </c>
      <c r="P1080" t="inlineStr">
        <is>
          <t xml:space="preserve">xx </t>
        </is>
      </c>
      <c r="R1080" t="inlineStr">
        <is>
          <t xml:space="preserve">PS </t>
        </is>
      </c>
      <c r="S1080" t="n">
        <v>1</v>
      </c>
      <c r="T1080" t="n">
        <v>1</v>
      </c>
      <c r="U1080" t="inlineStr">
        <is>
          <t>2004-12-06</t>
        </is>
      </c>
      <c r="V1080" t="inlineStr">
        <is>
          <t>2004-12-06</t>
        </is>
      </c>
      <c r="W1080" t="inlineStr">
        <is>
          <t>1997-05-05</t>
        </is>
      </c>
      <c r="X1080" t="inlineStr">
        <is>
          <t>1997-05-05</t>
        </is>
      </c>
      <c r="Y1080" t="n">
        <v>88</v>
      </c>
      <c r="Z1080" t="n">
        <v>83</v>
      </c>
      <c r="AA1080" t="n">
        <v>85</v>
      </c>
      <c r="AB1080" t="n">
        <v>4</v>
      </c>
      <c r="AC1080" t="n">
        <v>4</v>
      </c>
      <c r="AD1080" t="n">
        <v>3</v>
      </c>
      <c r="AE1080" t="n">
        <v>3</v>
      </c>
      <c r="AF1080" t="n">
        <v>0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3</v>
      </c>
      <c r="AM1080" t="n">
        <v>3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No</t>
        </is>
      </c>
      <c r="AR1080">
        <f>HYPERLINK("http://catalog.hathitrust.org/Record/102213989","HathiTrust Record")</f>
        <v/>
      </c>
      <c r="AS1080">
        <f>HYPERLINK("https://creighton-primo.hosted.exlibrisgroup.com/primo-explore/search?tab=default_tab&amp;search_scope=EVERYTHING&amp;vid=01CRU&amp;lang=en_US&amp;offset=0&amp;query=any,contains,991003712589702656","Catalog Record")</f>
        <v/>
      </c>
      <c r="AT1080">
        <f>HYPERLINK("http://www.worldcat.org/oclc/1354595","WorldCat Record")</f>
        <v/>
      </c>
      <c r="AU1080" t="inlineStr">
        <is>
          <t>44882878:eng</t>
        </is>
      </c>
      <c r="AV1080" t="inlineStr">
        <is>
          <t>1354595</t>
        </is>
      </c>
      <c r="AW1080" t="inlineStr">
        <is>
          <t>991003712589702656</t>
        </is>
      </c>
      <c r="AX1080" t="inlineStr">
        <is>
          <t>991003712589702656</t>
        </is>
      </c>
      <c r="AY1080" t="inlineStr">
        <is>
          <t>2271107570002656</t>
        </is>
      </c>
      <c r="AZ1080" t="inlineStr">
        <is>
          <t>BOOK</t>
        </is>
      </c>
      <c r="BC1080" t="inlineStr">
        <is>
          <t>32285002639366</t>
        </is>
      </c>
      <c r="BD1080" t="inlineStr">
        <is>
          <t>893441616</t>
        </is>
      </c>
    </row>
    <row r="1081">
      <c r="A1081" t="inlineStr">
        <is>
          <t>No</t>
        </is>
      </c>
      <c r="B1081" t="inlineStr">
        <is>
          <t>PS614 .W6642</t>
        </is>
      </c>
      <c r="C1081" t="inlineStr">
        <is>
          <t>0                      PS 0614000W  6642</t>
        </is>
      </c>
      <c r="D1081" t="inlineStr">
        <is>
          <t>The World's Fair anthology of verse / edited by Paul Emory Carter.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Carter, Paul Emory, editor.</t>
        </is>
      </c>
      <c r="L1081" t="inlineStr">
        <is>
          <t>New York : Exposition Press, c1938.</t>
        </is>
      </c>
      <c r="M1081" t="inlineStr">
        <is>
          <t>1938</t>
        </is>
      </c>
      <c r="N1081" t="inlineStr">
        <is>
          <t>Western ed.</t>
        </is>
      </c>
      <c r="O1081" t="inlineStr">
        <is>
          <t>eng</t>
        </is>
      </c>
      <c r="P1081" t="inlineStr">
        <is>
          <t>nyu</t>
        </is>
      </c>
      <c r="R1081" t="inlineStr">
        <is>
          <t xml:space="preserve">PS </t>
        </is>
      </c>
      <c r="S1081" t="n">
        <v>1</v>
      </c>
      <c r="T1081" t="n">
        <v>1</v>
      </c>
      <c r="U1081" t="inlineStr">
        <is>
          <t>2002-06-06</t>
        </is>
      </c>
      <c r="V1081" t="inlineStr">
        <is>
          <t>2002-06-06</t>
        </is>
      </c>
      <c r="W1081" t="inlineStr">
        <is>
          <t>1998-09-09</t>
        </is>
      </c>
      <c r="X1081" t="inlineStr">
        <is>
          <t>1998-09-09</t>
        </is>
      </c>
      <c r="Y1081" t="n">
        <v>26</v>
      </c>
      <c r="Z1081" t="n">
        <v>25</v>
      </c>
      <c r="AA1081" t="n">
        <v>91</v>
      </c>
      <c r="AB1081" t="n">
        <v>1</v>
      </c>
      <c r="AC1081" t="n">
        <v>1</v>
      </c>
      <c r="AD1081" t="n">
        <v>1</v>
      </c>
      <c r="AE1081" t="n">
        <v>1</v>
      </c>
      <c r="AF1081" t="n">
        <v>1</v>
      </c>
      <c r="AG1081" t="n">
        <v>1</v>
      </c>
      <c r="AH1081" t="n">
        <v>0</v>
      </c>
      <c r="AI1081" t="n">
        <v>0</v>
      </c>
      <c r="AJ1081" t="n">
        <v>0</v>
      </c>
      <c r="AK1081" t="n">
        <v>0</v>
      </c>
      <c r="AL1081" t="n">
        <v>0</v>
      </c>
      <c r="AM1081" t="n">
        <v>0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HYPERLINK("http://catalog.hathitrust.org/Record/010563872","HathiTrust Record")</f>
        <v/>
      </c>
      <c r="AS1081">
        <f>HYPERLINK("https://creighton-primo.hosted.exlibrisgroup.com/primo-explore/search?tab=default_tab&amp;search_scope=EVERYTHING&amp;vid=01CRU&amp;lang=en_US&amp;offset=0&amp;query=any,contains,991005038269702656","Catalog Record")</f>
        <v/>
      </c>
      <c r="AT1081">
        <f>HYPERLINK("http://www.worldcat.org/oclc/6769307","WorldCat Record")</f>
        <v/>
      </c>
      <c r="AU1081" t="inlineStr">
        <is>
          <t>2365570:eng</t>
        </is>
      </c>
      <c r="AV1081" t="inlineStr">
        <is>
          <t>6769307</t>
        </is>
      </c>
      <c r="AW1081" t="inlineStr">
        <is>
          <t>991005038269702656</t>
        </is>
      </c>
      <c r="AX1081" t="inlineStr">
        <is>
          <t>991005038269702656</t>
        </is>
      </c>
      <c r="AY1081" t="inlineStr">
        <is>
          <t>2268695730002656</t>
        </is>
      </c>
      <c r="AZ1081" t="inlineStr">
        <is>
          <t>BOOK</t>
        </is>
      </c>
      <c r="BC1081" t="inlineStr">
        <is>
          <t>32285003466538</t>
        </is>
      </c>
      <c r="BD1081" t="inlineStr">
        <is>
          <t>893344551</t>
        </is>
      </c>
    </row>
    <row r="1082">
      <c r="A1082" t="inlineStr">
        <is>
          <t>No</t>
        </is>
      </c>
      <c r="B1082" t="inlineStr">
        <is>
          <t>PS623.A1 A62</t>
        </is>
      </c>
      <c r="C1082" t="inlineStr">
        <is>
          <t>0                      PS 0623000A  1                  A  62</t>
        </is>
      </c>
      <c r="D1082" t="inlineStr">
        <is>
          <t>America's lost plays. Barrett H. Clark, general editor.</t>
        </is>
      </c>
      <c r="E1082" t="inlineStr">
        <is>
          <t>V.5-6</t>
        </is>
      </c>
      <c r="F1082" t="inlineStr">
        <is>
          <t>Yes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L1082" t="inlineStr">
        <is>
          <t>[Bloomington, Indiana University Press, 1963-65, c1940]</t>
        </is>
      </c>
      <c r="M1082" t="inlineStr">
        <is>
          <t>1963</t>
        </is>
      </c>
      <c r="O1082" t="inlineStr">
        <is>
          <t>eng</t>
        </is>
      </c>
      <c r="P1082" t="inlineStr">
        <is>
          <t>inu</t>
        </is>
      </c>
      <c r="R1082" t="inlineStr">
        <is>
          <t xml:space="preserve">PS </t>
        </is>
      </c>
      <c r="S1082" t="n">
        <v>0</v>
      </c>
      <c r="T1082" t="n">
        <v>5</v>
      </c>
      <c r="V1082" t="inlineStr">
        <is>
          <t>1997-11-06</t>
        </is>
      </c>
      <c r="W1082" t="inlineStr">
        <is>
          <t>1997-05-05</t>
        </is>
      </c>
      <c r="X1082" t="inlineStr">
        <is>
          <t>1997-05-05</t>
        </is>
      </c>
      <c r="Y1082" t="n">
        <v>771</v>
      </c>
      <c r="Z1082" t="n">
        <v>734</v>
      </c>
      <c r="AA1082" t="n">
        <v>803</v>
      </c>
      <c r="AB1082" t="n">
        <v>7</v>
      </c>
      <c r="AC1082" t="n">
        <v>8</v>
      </c>
      <c r="AD1082" t="n">
        <v>35</v>
      </c>
      <c r="AE1082" t="n">
        <v>38</v>
      </c>
      <c r="AF1082" t="n">
        <v>18</v>
      </c>
      <c r="AG1082" t="n">
        <v>18</v>
      </c>
      <c r="AH1082" t="n">
        <v>8</v>
      </c>
      <c r="AI1082" t="n">
        <v>9</v>
      </c>
      <c r="AJ1082" t="n">
        <v>12</v>
      </c>
      <c r="AK1082" t="n">
        <v>13</v>
      </c>
      <c r="AL1082" t="n">
        <v>6</v>
      </c>
      <c r="AM1082" t="n">
        <v>7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No</t>
        </is>
      </c>
      <c r="AR1082">
        <f>HYPERLINK("http://catalog.hathitrust.org/Record/000276227","HathiTrust Record")</f>
        <v/>
      </c>
      <c r="AS1082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2">
        <f>HYPERLINK("http://www.worldcat.org/oclc/2907833","WorldCat Record")</f>
        <v/>
      </c>
      <c r="AU1082" t="inlineStr">
        <is>
          <t>3372283473:eng</t>
        </is>
      </c>
      <c r="AV1082" t="inlineStr">
        <is>
          <t>2907833</t>
        </is>
      </c>
      <c r="AW1082" t="inlineStr">
        <is>
          <t>991004280059702656</t>
        </is>
      </c>
      <c r="AX1082" t="inlineStr">
        <is>
          <t>991004280059702656</t>
        </is>
      </c>
      <c r="AY1082" t="inlineStr">
        <is>
          <t>2268981460002656</t>
        </is>
      </c>
      <c r="AZ1082" t="inlineStr">
        <is>
          <t>BOOK</t>
        </is>
      </c>
      <c r="BC1082" t="inlineStr">
        <is>
          <t>32285002639408</t>
        </is>
      </c>
      <c r="BD1082" t="inlineStr">
        <is>
          <t>893687562</t>
        </is>
      </c>
    </row>
    <row r="1083">
      <c r="A1083" t="inlineStr">
        <is>
          <t>No</t>
        </is>
      </c>
      <c r="B1083" t="inlineStr">
        <is>
          <t>PS623.A1 A62</t>
        </is>
      </c>
      <c r="C1083" t="inlineStr">
        <is>
          <t>0                      PS 0623000A  1                  A  62</t>
        </is>
      </c>
      <c r="D1083" t="inlineStr">
        <is>
          <t>America's lost plays. Barrett H. Clark, general editor.</t>
        </is>
      </c>
      <c r="E1083" t="inlineStr">
        <is>
          <t>V.7-8</t>
        </is>
      </c>
      <c r="F1083" t="inlineStr">
        <is>
          <t>Yes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[Bloomington, Indiana University Press, 1963-65, c1940]</t>
        </is>
      </c>
      <c r="M1083" t="inlineStr">
        <is>
          <t>1963</t>
        </is>
      </c>
      <c r="O1083" t="inlineStr">
        <is>
          <t>eng</t>
        </is>
      </c>
      <c r="P1083" t="inlineStr">
        <is>
          <t>inu</t>
        </is>
      </c>
      <c r="R1083" t="inlineStr">
        <is>
          <t xml:space="preserve">PS </t>
        </is>
      </c>
      <c r="S1083" t="n">
        <v>0</v>
      </c>
      <c r="T1083" t="n">
        <v>5</v>
      </c>
      <c r="V1083" t="inlineStr">
        <is>
          <t>1997-11-06</t>
        </is>
      </c>
      <c r="W1083" t="inlineStr">
        <is>
          <t>1997-05-05</t>
        </is>
      </c>
      <c r="X1083" t="inlineStr">
        <is>
          <t>1997-05-05</t>
        </is>
      </c>
      <c r="Y1083" t="n">
        <v>771</v>
      </c>
      <c r="Z1083" t="n">
        <v>734</v>
      </c>
      <c r="AA1083" t="n">
        <v>803</v>
      </c>
      <c r="AB1083" t="n">
        <v>7</v>
      </c>
      <c r="AC1083" t="n">
        <v>8</v>
      </c>
      <c r="AD1083" t="n">
        <v>35</v>
      </c>
      <c r="AE1083" t="n">
        <v>38</v>
      </c>
      <c r="AF1083" t="n">
        <v>18</v>
      </c>
      <c r="AG1083" t="n">
        <v>18</v>
      </c>
      <c r="AH1083" t="n">
        <v>8</v>
      </c>
      <c r="AI1083" t="n">
        <v>9</v>
      </c>
      <c r="AJ1083" t="n">
        <v>12</v>
      </c>
      <c r="AK1083" t="n">
        <v>13</v>
      </c>
      <c r="AL1083" t="n">
        <v>6</v>
      </c>
      <c r="AM1083" t="n">
        <v>7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No</t>
        </is>
      </c>
      <c r="AR1083">
        <f>HYPERLINK("http://catalog.hathitrust.org/Record/000276227","HathiTrust Record")</f>
        <v/>
      </c>
      <c r="AS1083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3">
        <f>HYPERLINK("http://www.worldcat.org/oclc/2907833","WorldCat Record")</f>
        <v/>
      </c>
      <c r="AU1083" t="inlineStr">
        <is>
          <t>3372283473:eng</t>
        </is>
      </c>
      <c r="AV1083" t="inlineStr">
        <is>
          <t>2907833</t>
        </is>
      </c>
      <c r="AW1083" t="inlineStr">
        <is>
          <t>991004280059702656</t>
        </is>
      </c>
      <c r="AX1083" t="inlineStr">
        <is>
          <t>991004280059702656</t>
        </is>
      </c>
      <c r="AY1083" t="inlineStr">
        <is>
          <t>2268981460002656</t>
        </is>
      </c>
      <c r="AZ1083" t="inlineStr">
        <is>
          <t>BOOK</t>
        </is>
      </c>
      <c r="BC1083" t="inlineStr">
        <is>
          <t>32285002639416</t>
        </is>
      </c>
      <c r="BD1083" t="inlineStr">
        <is>
          <t>893693743</t>
        </is>
      </c>
    </row>
    <row r="1084">
      <c r="A1084" t="inlineStr">
        <is>
          <t>No</t>
        </is>
      </c>
      <c r="B1084" t="inlineStr">
        <is>
          <t>PS623.A1 A62</t>
        </is>
      </c>
      <c r="C1084" t="inlineStr">
        <is>
          <t>0                      PS 0623000A  1                  A  62</t>
        </is>
      </c>
      <c r="D1084" t="inlineStr">
        <is>
          <t>America's lost plays. Barrett H. Clark, general editor.</t>
        </is>
      </c>
      <c r="E1084" t="inlineStr">
        <is>
          <t>V.1-2</t>
        </is>
      </c>
      <c r="F1084" t="inlineStr">
        <is>
          <t>Yes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L1084" t="inlineStr">
        <is>
          <t>[Bloomington, Indiana University Press, 1963-65, c1940]</t>
        </is>
      </c>
      <c r="M1084" t="inlineStr">
        <is>
          <t>1963</t>
        </is>
      </c>
      <c r="O1084" t="inlineStr">
        <is>
          <t>eng</t>
        </is>
      </c>
      <c r="P1084" t="inlineStr">
        <is>
          <t>inu</t>
        </is>
      </c>
      <c r="R1084" t="inlineStr">
        <is>
          <t xml:space="preserve">PS </t>
        </is>
      </c>
      <c r="S1084" t="n">
        <v>5</v>
      </c>
      <c r="T1084" t="n">
        <v>5</v>
      </c>
      <c r="U1084" t="inlineStr">
        <is>
          <t>1997-11-06</t>
        </is>
      </c>
      <c r="V1084" t="inlineStr">
        <is>
          <t>1997-11-06</t>
        </is>
      </c>
      <c r="W1084" t="inlineStr">
        <is>
          <t>1997-05-05</t>
        </is>
      </c>
      <c r="X1084" t="inlineStr">
        <is>
          <t>1997-05-05</t>
        </is>
      </c>
      <c r="Y1084" t="n">
        <v>771</v>
      </c>
      <c r="Z1084" t="n">
        <v>734</v>
      </c>
      <c r="AA1084" t="n">
        <v>803</v>
      </c>
      <c r="AB1084" t="n">
        <v>7</v>
      </c>
      <c r="AC1084" t="n">
        <v>8</v>
      </c>
      <c r="AD1084" t="n">
        <v>35</v>
      </c>
      <c r="AE1084" t="n">
        <v>38</v>
      </c>
      <c r="AF1084" t="n">
        <v>18</v>
      </c>
      <c r="AG1084" t="n">
        <v>18</v>
      </c>
      <c r="AH1084" t="n">
        <v>8</v>
      </c>
      <c r="AI1084" t="n">
        <v>9</v>
      </c>
      <c r="AJ1084" t="n">
        <v>12</v>
      </c>
      <c r="AK1084" t="n">
        <v>13</v>
      </c>
      <c r="AL1084" t="n">
        <v>6</v>
      </c>
      <c r="AM1084" t="n">
        <v>7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No</t>
        </is>
      </c>
      <c r="AR1084">
        <f>HYPERLINK("http://catalog.hathitrust.org/Record/000276227","HathiTrust Record")</f>
        <v/>
      </c>
      <c r="AS1084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4">
        <f>HYPERLINK("http://www.worldcat.org/oclc/2907833","WorldCat Record")</f>
        <v/>
      </c>
      <c r="AU1084" t="inlineStr">
        <is>
          <t>3372283473:eng</t>
        </is>
      </c>
      <c r="AV1084" t="inlineStr">
        <is>
          <t>2907833</t>
        </is>
      </c>
      <c r="AW1084" t="inlineStr">
        <is>
          <t>991004280059702656</t>
        </is>
      </c>
      <c r="AX1084" t="inlineStr">
        <is>
          <t>991004280059702656</t>
        </is>
      </c>
      <c r="AY1084" t="inlineStr">
        <is>
          <t>2268981460002656</t>
        </is>
      </c>
      <c r="AZ1084" t="inlineStr">
        <is>
          <t>BOOK</t>
        </is>
      </c>
      <c r="BC1084" t="inlineStr">
        <is>
          <t>32285002639382</t>
        </is>
      </c>
      <c r="BD1084" t="inlineStr">
        <is>
          <t>893693744</t>
        </is>
      </c>
    </row>
    <row r="1085">
      <c r="A1085" t="inlineStr">
        <is>
          <t>No</t>
        </is>
      </c>
      <c r="B1085" t="inlineStr">
        <is>
          <t>PS623.A1 A62</t>
        </is>
      </c>
      <c r="C1085" t="inlineStr">
        <is>
          <t>0                      PS 0623000A  1                  A  62</t>
        </is>
      </c>
      <c r="D1085" t="inlineStr">
        <is>
          <t>America's lost plays. Barrett H. Clark, general editor.</t>
        </is>
      </c>
      <c r="E1085" t="inlineStr">
        <is>
          <t>V.3-4</t>
        </is>
      </c>
      <c r="F1085" t="inlineStr">
        <is>
          <t>Yes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L1085" t="inlineStr">
        <is>
          <t>[Bloomington, Indiana University Press, 1963-65, c1940]</t>
        </is>
      </c>
      <c r="M1085" t="inlineStr">
        <is>
          <t>1963</t>
        </is>
      </c>
      <c r="O1085" t="inlineStr">
        <is>
          <t>eng</t>
        </is>
      </c>
      <c r="P1085" t="inlineStr">
        <is>
          <t>inu</t>
        </is>
      </c>
      <c r="R1085" t="inlineStr">
        <is>
          <t xml:space="preserve">PS </t>
        </is>
      </c>
      <c r="S1085" t="n">
        <v>0</v>
      </c>
      <c r="T1085" t="n">
        <v>5</v>
      </c>
      <c r="V1085" t="inlineStr">
        <is>
          <t>1997-11-06</t>
        </is>
      </c>
      <c r="W1085" t="inlineStr">
        <is>
          <t>1997-05-05</t>
        </is>
      </c>
      <c r="X1085" t="inlineStr">
        <is>
          <t>1997-05-05</t>
        </is>
      </c>
      <c r="Y1085" t="n">
        <v>771</v>
      </c>
      <c r="Z1085" t="n">
        <v>734</v>
      </c>
      <c r="AA1085" t="n">
        <v>803</v>
      </c>
      <c r="AB1085" t="n">
        <v>7</v>
      </c>
      <c r="AC1085" t="n">
        <v>8</v>
      </c>
      <c r="AD1085" t="n">
        <v>35</v>
      </c>
      <c r="AE1085" t="n">
        <v>38</v>
      </c>
      <c r="AF1085" t="n">
        <v>18</v>
      </c>
      <c r="AG1085" t="n">
        <v>18</v>
      </c>
      <c r="AH1085" t="n">
        <v>8</v>
      </c>
      <c r="AI1085" t="n">
        <v>9</v>
      </c>
      <c r="AJ1085" t="n">
        <v>12</v>
      </c>
      <c r="AK1085" t="n">
        <v>13</v>
      </c>
      <c r="AL1085" t="n">
        <v>6</v>
      </c>
      <c r="AM1085" t="n">
        <v>7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R1085">
        <f>HYPERLINK("http://catalog.hathitrust.org/Record/000276227","HathiTrust Record")</f>
        <v/>
      </c>
      <c r="AS1085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5">
        <f>HYPERLINK("http://www.worldcat.org/oclc/2907833","WorldCat Record")</f>
        <v/>
      </c>
      <c r="AU1085" t="inlineStr">
        <is>
          <t>3372283473:eng</t>
        </is>
      </c>
      <c r="AV1085" t="inlineStr">
        <is>
          <t>2907833</t>
        </is>
      </c>
      <c r="AW1085" t="inlineStr">
        <is>
          <t>991004280059702656</t>
        </is>
      </c>
      <c r="AX1085" t="inlineStr">
        <is>
          <t>991004280059702656</t>
        </is>
      </c>
      <c r="AY1085" t="inlineStr">
        <is>
          <t>2268981460002656</t>
        </is>
      </c>
      <c r="AZ1085" t="inlineStr">
        <is>
          <t>BOOK</t>
        </is>
      </c>
      <c r="BC1085" t="inlineStr">
        <is>
          <t>32285002639390</t>
        </is>
      </c>
      <c r="BD1085" t="inlineStr">
        <is>
          <t>893706181</t>
        </is>
      </c>
    </row>
    <row r="1086">
      <c r="A1086" t="inlineStr">
        <is>
          <t>No</t>
        </is>
      </c>
      <c r="B1086" t="inlineStr">
        <is>
          <t>PS625 .C4</t>
        </is>
      </c>
      <c r="C1086" t="inlineStr">
        <is>
          <t>0                      PS 0625000C  4</t>
        </is>
      </c>
      <c r="D1086" t="inlineStr">
        <is>
          <t>S.R.O.; the most successful plays in the history of the American stage, compiled by Bennett Cerf and Van H. Cartmell; introduction by John Chapman.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Cerf, Bennett, 1898-1971 compiler.</t>
        </is>
      </c>
      <c r="L1086" t="inlineStr">
        <is>
          <t>Garden City, N.Y., Doubleday, Doran and Company, inc., 1944.</t>
        </is>
      </c>
      <c r="M1086" t="inlineStr">
        <is>
          <t>1944</t>
        </is>
      </c>
      <c r="O1086" t="inlineStr">
        <is>
          <t>eng</t>
        </is>
      </c>
      <c r="P1086" t="inlineStr">
        <is>
          <t>nyu</t>
        </is>
      </c>
      <c r="R1086" t="inlineStr">
        <is>
          <t xml:space="preserve">PS </t>
        </is>
      </c>
      <c r="S1086" t="n">
        <v>3</v>
      </c>
      <c r="T1086" t="n">
        <v>3</v>
      </c>
      <c r="U1086" t="inlineStr">
        <is>
          <t>1998-12-01</t>
        </is>
      </c>
      <c r="V1086" t="inlineStr">
        <is>
          <t>1998-12-01</t>
        </is>
      </c>
      <c r="W1086" t="inlineStr">
        <is>
          <t>1997-05-05</t>
        </is>
      </c>
      <c r="X1086" t="inlineStr">
        <is>
          <t>1997-05-05</t>
        </is>
      </c>
      <c r="Y1086" t="n">
        <v>639</v>
      </c>
      <c r="Z1086" t="n">
        <v>591</v>
      </c>
      <c r="AA1086" t="n">
        <v>783</v>
      </c>
      <c r="AB1086" t="n">
        <v>6</v>
      </c>
      <c r="AC1086" t="n">
        <v>8</v>
      </c>
      <c r="AD1086" t="n">
        <v>21</v>
      </c>
      <c r="AE1086" t="n">
        <v>29</v>
      </c>
      <c r="AF1086" t="n">
        <v>10</v>
      </c>
      <c r="AG1086" t="n">
        <v>15</v>
      </c>
      <c r="AH1086" t="n">
        <v>3</v>
      </c>
      <c r="AI1086" t="n">
        <v>4</v>
      </c>
      <c r="AJ1086" t="n">
        <v>8</v>
      </c>
      <c r="AK1086" t="n">
        <v>9</v>
      </c>
      <c r="AL1086" t="n">
        <v>4</v>
      </c>
      <c r="AM1086" t="n">
        <v>6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Yes</t>
        </is>
      </c>
      <c r="AR1086">
        <f>HYPERLINK("http://catalog.hathitrust.org/Record/001421268","HathiTrust Record")</f>
        <v/>
      </c>
      <c r="AS1086">
        <f>HYPERLINK("https://creighton-primo.hosted.exlibrisgroup.com/primo-explore/search?tab=default_tab&amp;search_scope=EVERYTHING&amp;vid=01CRU&amp;lang=en_US&amp;offset=0&amp;query=any,contains,991004148609702656","Catalog Record")</f>
        <v/>
      </c>
      <c r="AT1086">
        <f>HYPERLINK("http://www.worldcat.org/oclc/2519350","WorldCat Record")</f>
        <v/>
      </c>
      <c r="AU1086" t="inlineStr">
        <is>
          <t>3485687:eng</t>
        </is>
      </c>
      <c r="AV1086" t="inlineStr">
        <is>
          <t>2519350</t>
        </is>
      </c>
      <c r="AW1086" t="inlineStr">
        <is>
          <t>991004148609702656</t>
        </is>
      </c>
      <c r="AX1086" t="inlineStr">
        <is>
          <t>991004148609702656</t>
        </is>
      </c>
      <c r="AY1086" t="inlineStr">
        <is>
          <t>2255503960002656</t>
        </is>
      </c>
      <c r="AZ1086" t="inlineStr">
        <is>
          <t>BOOK</t>
        </is>
      </c>
      <c r="BC1086" t="inlineStr">
        <is>
          <t>32285002639440</t>
        </is>
      </c>
      <c r="BD1086" t="inlineStr">
        <is>
          <t>893228985</t>
        </is>
      </c>
    </row>
    <row r="1087">
      <c r="A1087" t="inlineStr">
        <is>
          <t>No</t>
        </is>
      </c>
      <c r="B1087" t="inlineStr">
        <is>
          <t>PS625 .D6</t>
        </is>
      </c>
      <c r="C1087" t="inlineStr">
        <is>
          <t>0                      PS 0625000D  6</t>
        </is>
      </c>
      <c r="D1087" t="inlineStr">
        <is>
          <t>American drama / edited by Alan S. Downer.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K1087" t="inlineStr">
        <is>
          <t>Downer, Alan S. (Alan Seymour), 1912-1970 editor.</t>
        </is>
      </c>
      <c r="L1087" t="inlineStr">
        <is>
          <t>New York : Crowell, [1960]</t>
        </is>
      </c>
      <c r="M1087" t="inlineStr">
        <is>
          <t>1960</t>
        </is>
      </c>
      <c r="O1087" t="inlineStr">
        <is>
          <t>eng</t>
        </is>
      </c>
      <c r="P1087" t="inlineStr">
        <is>
          <t>nyu</t>
        </is>
      </c>
      <c r="Q1087" t="inlineStr">
        <is>
          <t>American literary forms</t>
        </is>
      </c>
      <c r="R1087" t="inlineStr">
        <is>
          <t xml:space="preserve">PS </t>
        </is>
      </c>
      <c r="S1087" t="n">
        <v>1</v>
      </c>
      <c r="T1087" t="n">
        <v>1</v>
      </c>
      <c r="U1087" t="inlineStr">
        <is>
          <t>2000-09-17</t>
        </is>
      </c>
      <c r="V1087" t="inlineStr">
        <is>
          <t>2000-09-17</t>
        </is>
      </c>
      <c r="W1087" t="inlineStr">
        <is>
          <t>1999-11-15</t>
        </is>
      </c>
      <c r="X1087" t="inlineStr">
        <is>
          <t>1999-11-15</t>
        </is>
      </c>
      <c r="Y1087" t="n">
        <v>938</v>
      </c>
      <c r="Z1087" t="n">
        <v>878</v>
      </c>
      <c r="AA1087" t="n">
        <v>895</v>
      </c>
      <c r="AB1087" t="n">
        <v>5</v>
      </c>
      <c r="AC1087" t="n">
        <v>5</v>
      </c>
      <c r="AD1087" t="n">
        <v>26</v>
      </c>
      <c r="AE1087" t="n">
        <v>26</v>
      </c>
      <c r="AF1087" t="n">
        <v>10</v>
      </c>
      <c r="AG1087" t="n">
        <v>10</v>
      </c>
      <c r="AH1087" t="n">
        <v>6</v>
      </c>
      <c r="AI1087" t="n">
        <v>6</v>
      </c>
      <c r="AJ1087" t="n">
        <v>12</v>
      </c>
      <c r="AK1087" t="n">
        <v>12</v>
      </c>
      <c r="AL1087" t="n">
        <v>2</v>
      </c>
      <c r="AM1087" t="n">
        <v>2</v>
      </c>
      <c r="AN1087" t="n">
        <v>0</v>
      </c>
      <c r="AO1087" t="n">
        <v>0</v>
      </c>
      <c r="AP1087" t="inlineStr">
        <is>
          <t>No</t>
        </is>
      </c>
      <c r="AQ1087" t="inlineStr">
        <is>
          <t>Yes</t>
        </is>
      </c>
      <c r="AR1087">
        <f>HYPERLINK("http://catalog.hathitrust.org/Record/004431070","HathiTrust Record")</f>
        <v/>
      </c>
      <c r="AS1087">
        <f>HYPERLINK("https://creighton-primo.hosted.exlibrisgroup.com/primo-explore/search?tab=default_tab&amp;search_scope=EVERYTHING&amp;vid=01CRU&amp;lang=en_US&amp;offset=0&amp;query=any,contains,991001966049702656","Catalog Record")</f>
        <v/>
      </c>
      <c r="AT1087">
        <f>HYPERLINK("http://www.worldcat.org/oclc/253821","WorldCat Record")</f>
        <v/>
      </c>
      <c r="AU1087" t="inlineStr">
        <is>
          <t>3856924577:eng</t>
        </is>
      </c>
      <c r="AV1087" t="inlineStr">
        <is>
          <t>253821</t>
        </is>
      </c>
      <c r="AW1087" t="inlineStr">
        <is>
          <t>991001966049702656</t>
        </is>
      </c>
      <c r="AX1087" t="inlineStr">
        <is>
          <t>991001966049702656</t>
        </is>
      </c>
      <c r="AY1087" t="inlineStr">
        <is>
          <t>2267247110002656</t>
        </is>
      </c>
      <c r="AZ1087" t="inlineStr">
        <is>
          <t>BOOK</t>
        </is>
      </c>
      <c r="BC1087" t="inlineStr">
        <is>
          <t>32285003622569</t>
        </is>
      </c>
      <c r="BD1087" t="inlineStr">
        <is>
          <t>893328526</t>
        </is>
      </c>
    </row>
    <row r="1088">
      <c r="A1088" t="inlineStr">
        <is>
          <t>No</t>
        </is>
      </c>
      <c r="B1088" t="inlineStr">
        <is>
          <t>PS625 .G3</t>
        </is>
      </c>
      <c r="C1088" t="inlineStr">
        <is>
          <t>0                      PS 0625000G  3</t>
        </is>
      </c>
      <c r="D1088" t="inlineStr">
        <is>
          <t>Best plays of the early American theatre; from the beginning to 1916. Edited, with introductions, by John Gassner in association with Mollie Gassner.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K1088" t="inlineStr">
        <is>
          <t>Gassner, John, 1903-1967 compiler.</t>
        </is>
      </c>
      <c r="L1088" t="inlineStr">
        <is>
          <t>New York, Crown Publishers [1967]</t>
        </is>
      </c>
      <c r="M1088" t="inlineStr">
        <is>
          <t>1967</t>
        </is>
      </c>
      <c r="O1088" t="inlineStr">
        <is>
          <t>eng</t>
        </is>
      </c>
      <c r="P1088" t="inlineStr">
        <is>
          <t>nyu</t>
        </is>
      </c>
      <c r="R1088" t="inlineStr">
        <is>
          <t xml:space="preserve">PS </t>
        </is>
      </c>
      <c r="S1088" t="n">
        <v>2</v>
      </c>
      <c r="T1088" t="n">
        <v>2</v>
      </c>
      <c r="U1088" t="inlineStr">
        <is>
          <t>2003-09-24</t>
        </is>
      </c>
      <c r="V1088" t="inlineStr">
        <is>
          <t>2003-09-24</t>
        </is>
      </c>
      <c r="W1088" t="inlineStr">
        <is>
          <t>1990-10-19</t>
        </is>
      </c>
      <c r="X1088" t="inlineStr">
        <is>
          <t>1990-10-19</t>
        </is>
      </c>
      <c r="Y1088" t="n">
        <v>2006</v>
      </c>
      <c r="Z1088" t="n">
        <v>1893</v>
      </c>
      <c r="AA1088" t="n">
        <v>1929</v>
      </c>
      <c r="AB1088" t="n">
        <v>18</v>
      </c>
      <c r="AC1088" t="n">
        <v>18</v>
      </c>
      <c r="AD1088" t="n">
        <v>49</v>
      </c>
      <c r="AE1088" t="n">
        <v>50</v>
      </c>
      <c r="AF1088" t="n">
        <v>17</v>
      </c>
      <c r="AG1088" t="n">
        <v>17</v>
      </c>
      <c r="AH1088" t="n">
        <v>8</v>
      </c>
      <c r="AI1088" t="n">
        <v>9</v>
      </c>
      <c r="AJ1088" t="n">
        <v>19</v>
      </c>
      <c r="AK1088" t="n">
        <v>19</v>
      </c>
      <c r="AL1088" t="n">
        <v>12</v>
      </c>
      <c r="AM1088" t="n">
        <v>12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HYPERLINK("http://catalog.hathitrust.org/Record/001026862","HathiTrust Record")</f>
        <v/>
      </c>
      <c r="AS1088">
        <f>HYPERLINK("https://creighton-primo.hosted.exlibrisgroup.com/primo-explore/search?tab=default_tab&amp;search_scope=EVERYTHING&amp;vid=01CRU&amp;lang=en_US&amp;offset=0&amp;query=any,contains,991002141479702656","Catalog Record")</f>
        <v/>
      </c>
      <c r="AT1088">
        <f>HYPERLINK("http://www.worldcat.org/oclc/270466","WorldCat Record")</f>
        <v/>
      </c>
      <c r="AU1088" t="inlineStr">
        <is>
          <t>57526916:eng</t>
        </is>
      </c>
      <c r="AV1088" t="inlineStr">
        <is>
          <t>270466</t>
        </is>
      </c>
      <c r="AW1088" t="inlineStr">
        <is>
          <t>991002141479702656</t>
        </is>
      </c>
      <c r="AX1088" t="inlineStr">
        <is>
          <t>991002141479702656</t>
        </is>
      </c>
      <c r="AY1088" t="inlineStr">
        <is>
          <t>2263785820002656</t>
        </is>
      </c>
      <c r="AZ1088" t="inlineStr">
        <is>
          <t>BOOK</t>
        </is>
      </c>
      <c r="BC1088" t="inlineStr">
        <is>
          <t>32285000361559</t>
        </is>
      </c>
      <c r="BD1088" t="inlineStr">
        <is>
          <t>893328737</t>
        </is>
      </c>
    </row>
    <row r="1089">
      <c r="A1089" t="inlineStr">
        <is>
          <t>No</t>
        </is>
      </c>
      <c r="B1089" t="inlineStr">
        <is>
          <t>PS625 .O5 1996</t>
        </is>
      </c>
      <c r="C1089" t="inlineStr">
        <is>
          <t>0                      PS 0625000O  5           1996</t>
        </is>
      </c>
      <c r="D1089" t="inlineStr">
        <is>
          <t>On stage, America! : a selection of distinctly American plays / edited and introduced by Walter J. Meserve.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L1089" t="inlineStr">
        <is>
          <t>New York : Feedback Theatrebooks &amp; Prospero Press, c1996.</t>
        </is>
      </c>
      <c r="M1089" t="inlineStr">
        <is>
          <t>1996</t>
        </is>
      </c>
      <c r="O1089" t="inlineStr">
        <is>
          <t>eng</t>
        </is>
      </c>
      <c r="P1089" t="inlineStr">
        <is>
          <t>nyu</t>
        </is>
      </c>
      <c r="R1089" t="inlineStr">
        <is>
          <t xml:space="preserve">PS </t>
        </is>
      </c>
      <c r="S1089" t="n">
        <v>4</v>
      </c>
      <c r="T1089" t="n">
        <v>4</v>
      </c>
      <c r="U1089" t="inlineStr">
        <is>
          <t>1998-12-01</t>
        </is>
      </c>
      <c r="V1089" t="inlineStr">
        <is>
          <t>1998-12-01</t>
        </is>
      </c>
      <c r="W1089" t="inlineStr">
        <is>
          <t>1997-04-28</t>
        </is>
      </c>
      <c r="X1089" t="inlineStr">
        <is>
          <t>1997-04-28</t>
        </is>
      </c>
      <c r="Y1089" t="n">
        <v>351</v>
      </c>
      <c r="Z1089" t="n">
        <v>343</v>
      </c>
      <c r="AA1089" t="n">
        <v>349</v>
      </c>
      <c r="AB1089" t="n">
        <v>5</v>
      </c>
      <c r="AC1089" t="n">
        <v>5</v>
      </c>
      <c r="AD1089" t="n">
        <v>15</v>
      </c>
      <c r="AE1089" t="n">
        <v>15</v>
      </c>
      <c r="AF1089" t="n">
        <v>8</v>
      </c>
      <c r="AG1089" t="n">
        <v>8</v>
      </c>
      <c r="AH1089" t="n">
        <v>0</v>
      </c>
      <c r="AI1089" t="n">
        <v>0</v>
      </c>
      <c r="AJ1089" t="n">
        <v>6</v>
      </c>
      <c r="AK1089" t="n">
        <v>6</v>
      </c>
      <c r="AL1089" t="n">
        <v>4</v>
      </c>
      <c r="AM1089" t="n">
        <v>4</v>
      </c>
      <c r="AN1089" t="n">
        <v>0</v>
      </c>
      <c r="AO1089" t="n">
        <v>0</v>
      </c>
      <c r="AP1089" t="inlineStr">
        <is>
          <t>No</t>
        </is>
      </c>
      <c r="AQ1089" t="inlineStr">
        <is>
          <t>Yes</t>
        </is>
      </c>
      <c r="AR1089">
        <f>HYPERLINK("http://catalog.hathitrust.org/Record/004570158","HathiTrust Record")</f>
        <v/>
      </c>
      <c r="AS1089">
        <f>HYPERLINK("https://creighton-primo.hosted.exlibrisgroup.com/primo-explore/search?tab=default_tab&amp;search_scope=EVERYTHING&amp;vid=01CRU&amp;lang=en_US&amp;offset=0&amp;query=any,contains,991002719469702656","Catalog Record")</f>
        <v/>
      </c>
      <c r="AT1089">
        <f>HYPERLINK("http://www.worldcat.org/oclc/35653374","WorldCat Record")</f>
        <v/>
      </c>
      <c r="AU1089" t="inlineStr">
        <is>
          <t>40008379:eng</t>
        </is>
      </c>
      <c r="AV1089" t="inlineStr">
        <is>
          <t>35653374</t>
        </is>
      </c>
      <c r="AW1089" t="inlineStr">
        <is>
          <t>991002719469702656</t>
        </is>
      </c>
      <c r="AX1089" t="inlineStr">
        <is>
          <t>991002719469702656</t>
        </is>
      </c>
      <c r="AY1089" t="inlineStr">
        <is>
          <t>2261855990002656</t>
        </is>
      </c>
      <c r="AZ1089" t="inlineStr">
        <is>
          <t>BOOK</t>
        </is>
      </c>
      <c r="BB1089" t="inlineStr">
        <is>
          <t>9780937657201</t>
        </is>
      </c>
      <c r="BC1089" t="inlineStr">
        <is>
          <t>32285002541869</t>
        </is>
      </c>
      <c r="BD1089" t="inlineStr">
        <is>
          <t>893804937</t>
        </is>
      </c>
    </row>
    <row r="1090">
      <c r="A1090" t="inlineStr">
        <is>
          <t>No</t>
        </is>
      </c>
      <c r="B1090" t="inlineStr">
        <is>
          <t>PS625 .P562</t>
        </is>
      </c>
      <c r="C1090" t="inlineStr">
        <is>
          <t>0                      PS 0625000P  562</t>
        </is>
      </c>
      <c r="D1090" t="inlineStr">
        <is>
          <t>The Playmakers one / compiled by Roger Mansfield ; illustrated by Barry Davies.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Huddersfield : Schofield &amp; Sims, 1976.</t>
        </is>
      </c>
      <c r="M1090" t="inlineStr">
        <is>
          <t>1976</t>
        </is>
      </c>
      <c r="O1090" t="inlineStr">
        <is>
          <t>eng</t>
        </is>
      </c>
      <c r="P1090" t="inlineStr">
        <is>
          <t>enk</t>
        </is>
      </c>
      <c r="R1090" t="inlineStr">
        <is>
          <t xml:space="preserve">PS </t>
        </is>
      </c>
      <c r="S1090" t="n">
        <v>7</v>
      </c>
      <c r="T1090" t="n">
        <v>7</v>
      </c>
      <c r="U1090" t="inlineStr">
        <is>
          <t>2000-02-08</t>
        </is>
      </c>
      <c r="V1090" t="inlineStr">
        <is>
          <t>2000-02-08</t>
        </is>
      </c>
      <c r="W1090" t="inlineStr">
        <is>
          <t>1990-10-19</t>
        </is>
      </c>
      <c r="X1090" t="inlineStr">
        <is>
          <t>1990-10-19</t>
        </is>
      </c>
      <c r="Y1090" t="n">
        <v>33</v>
      </c>
      <c r="Z1090" t="n">
        <v>25</v>
      </c>
      <c r="AA1090" t="n">
        <v>25</v>
      </c>
      <c r="AB1090" t="n">
        <v>1</v>
      </c>
      <c r="AC1090" t="n">
        <v>1</v>
      </c>
      <c r="AD1090" t="n">
        <v>1</v>
      </c>
      <c r="AE1090" t="n">
        <v>1</v>
      </c>
      <c r="AF1090" t="n">
        <v>0</v>
      </c>
      <c r="AG1090" t="n">
        <v>0</v>
      </c>
      <c r="AH1090" t="n">
        <v>1</v>
      </c>
      <c r="AI1090" t="n">
        <v>1</v>
      </c>
      <c r="AJ1090" t="n">
        <v>0</v>
      </c>
      <c r="AK1090" t="n">
        <v>0</v>
      </c>
      <c r="AL1090" t="n">
        <v>0</v>
      </c>
      <c r="AM1090" t="n">
        <v>0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No</t>
        </is>
      </c>
      <c r="AS1090">
        <f>HYPERLINK("https://creighton-primo.hosted.exlibrisgroup.com/primo-explore/search?tab=default_tab&amp;search_scope=EVERYTHING&amp;vid=01CRU&amp;lang=en_US&amp;offset=0&amp;query=any,contains,991004819199702656","Catalog Record")</f>
        <v/>
      </c>
      <c r="AT1090">
        <f>HYPERLINK("http://www.worldcat.org/oclc/5320095","WorldCat Record")</f>
        <v/>
      </c>
      <c r="AU1090" t="inlineStr">
        <is>
          <t>1910382345:eng</t>
        </is>
      </c>
      <c r="AV1090" t="inlineStr">
        <is>
          <t>5320095</t>
        </is>
      </c>
      <c r="AW1090" t="inlineStr">
        <is>
          <t>991004819199702656</t>
        </is>
      </c>
      <c r="AX1090" t="inlineStr">
        <is>
          <t>991004819199702656</t>
        </is>
      </c>
      <c r="AY1090" t="inlineStr">
        <is>
          <t>2262580560002656</t>
        </is>
      </c>
      <c r="AZ1090" t="inlineStr">
        <is>
          <t>BOOK</t>
        </is>
      </c>
      <c r="BB1090" t="inlineStr">
        <is>
          <t>9780721702803</t>
        </is>
      </c>
      <c r="BC1090" t="inlineStr">
        <is>
          <t>32285000361567</t>
        </is>
      </c>
      <c r="BD1090" t="inlineStr">
        <is>
          <t>893338161</t>
        </is>
      </c>
    </row>
    <row r="1091">
      <c r="A1091" t="inlineStr">
        <is>
          <t>No</t>
        </is>
      </c>
      <c r="B1091" t="inlineStr">
        <is>
          <t>PS625 .P563</t>
        </is>
      </c>
      <c r="C1091" t="inlineStr">
        <is>
          <t>0                      PS 0625000P  563</t>
        </is>
      </c>
      <c r="D1091" t="inlineStr">
        <is>
          <t>The Playmakers two / compiled by Roger Mansfield ; illustrated by Barry Davies.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L1091" t="inlineStr">
        <is>
          <t>Huddersfield : Schofield &amp; Sims, 1976.</t>
        </is>
      </c>
      <c r="M1091" t="inlineStr">
        <is>
          <t>1976</t>
        </is>
      </c>
      <c r="O1091" t="inlineStr">
        <is>
          <t>eng</t>
        </is>
      </c>
      <c r="P1091" t="inlineStr">
        <is>
          <t>enk</t>
        </is>
      </c>
      <c r="R1091" t="inlineStr">
        <is>
          <t xml:space="preserve">PS </t>
        </is>
      </c>
      <c r="S1091" t="n">
        <v>7</v>
      </c>
      <c r="T1091" t="n">
        <v>7</v>
      </c>
      <c r="U1091" t="inlineStr">
        <is>
          <t>2000-02-08</t>
        </is>
      </c>
      <c r="V1091" t="inlineStr">
        <is>
          <t>2000-02-08</t>
        </is>
      </c>
      <c r="W1091" t="inlineStr">
        <is>
          <t>1990-10-19</t>
        </is>
      </c>
      <c r="X1091" t="inlineStr">
        <is>
          <t>1990-10-19</t>
        </is>
      </c>
      <c r="Y1091" t="n">
        <v>27</v>
      </c>
      <c r="Z1091" t="n">
        <v>21</v>
      </c>
      <c r="AA1091" t="n">
        <v>21</v>
      </c>
      <c r="AB1091" t="n">
        <v>1</v>
      </c>
      <c r="AC1091" t="n">
        <v>1</v>
      </c>
      <c r="AD1091" t="n">
        <v>1</v>
      </c>
      <c r="AE1091" t="n">
        <v>1</v>
      </c>
      <c r="AF1091" t="n">
        <v>0</v>
      </c>
      <c r="AG1091" t="n">
        <v>0</v>
      </c>
      <c r="AH1091" t="n">
        <v>1</v>
      </c>
      <c r="AI1091" t="n">
        <v>1</v>
      </c>
      <c r="AJ1091" t="n">
        <v>0</v>
      </c>
      <c r="AK1091" t="n">
        <v>0</v>
      </c>
      <c r="AL1091" t="n">
        <v>0</v>
      </c>
      <c r="AM1091" t="n">
        <v>0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No</t>
        </is>
      </c>
      <c r="AS1091">
        <f>HYPERLINK("https://creighton-primo.hosted.exlibrisgroup.com/primo-explore/search?tab=default_tab&amp;search_scope=EVERYTHING&amp;vid=01CRU&amp;lang=en_US&amp;offset=0&amp;query=any,contains,991004819659702656","Catalog Record")</f>
        <v/>
      </c>
      <c r="AT1091">
        <f>HYPERLINK("http://www.worldcat.org/oclc/5324819","WorldCat Record")</f>
        <v/>
      </c>
      <c r="AU1091" t="inlineStr">
        <is>
          <t>3859311668:eng</t>
        </is>
      </c>
      <c r="AV1091" t="inlineStr">
        <is>
          <t>5324819</t>
        </is>
      </c>
      <c r="AW1091" t="inlineStr">
        <is>
          <t>991004819659702656</t>
        </is>
      </c>
      <c r="AX1091" t="inlineStr">
        <is>
          <t>991004819659702656</t>
        </is>
      </c>
      <c r="AY1091" t="inlineStr">
        <is>
          <t>2265307200002656</t>
        </is>
      </c>
      <c r="AZ1091" t="inlineStr">
        <is>
          <t>BOOK</t>
        </is>
      </c>
      <c r="BB1091" t="inlineStr">
        <is>
          <t>9780721702810</t>
        </is>
      </c>
      <c r="BC1091" t="inlineStr">
        <is>
          <t>32285000361575</t>
        </is>
      </c>
      <c r="BD1091" t="inlineStr">
        <is>
          <t>893600268</t>
        </is>
      </c>
    </row>
    <row r="1092">
      <c r="A1092" t="inlineStr">
        <is>
          <t>No</t>
        </is>
      </c>
      <c r="B1092" t="inlineStr">
        <is>
          <t>PS627.O53 E88 1994</t>
        </is>
      </c>
      <c r="C1092" t="inlineStr">
        <is>
          <t>0                      PS 0627000O  53                 E  88          1994</t>
        </is>
      </c>
      <c r="D1092" t="inlineStr">
        <is>
          <t>EST marathon 1994 : one-act plays / edited by Marisa Smith.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L1092" t="inlineStr">
        <is>
          <t>[Lyme, NH] : Smith and Kraus, c1995.</t>
        </is>
      </c>
      <c r="M1092" t="inlineStr">
        <is>
          <t>1995</t>
        </is>
      </c>
      <c r="N1092" t="inlineStr">
        <is>
          <t>1st ed.</t>
        </is>
      </c>
      <c r="O1092" t="inlineStr">
        <is>
          <t>eng</t>
        </is>
      </c>
      <c r="P1092" t="inlineStr">
        <is>
          <t>nhu</t>
        </is>
      </c>
      <c r="Q1092" t="inlineStr">
        <is>
          <t>Contemporary playwrights series</t>
        </is>
      </c>
      <c r="R1092" t="inlineStr">
        <is>
          <t xml:space="preserve">PS </t>
        </is>
      </c>
      <c r="S1092" t="n">
        <v>11</v>
      </c>
      <c r="T1092" t="n">
        <v>11</v>
      </c>
      <c r="U1092" t="inlineStr">
        <is>
          <t>2001-02-15</t>
        </is>
      </c>
      <c r="V1092" t="inlineStr">
        <is>
          <t>2001-02-15</t>
        </is>
      </c>
      <c r="W1092" t="inlineStr">
        <is>
          <t>1996-03-14</t>
        </is>
      </c>
      <c r="X1092" t="inlineStr">
        <is>
          <t>1996-03-14</t>
        </is>
      </c>
      <c r="Y1092" t="n">
        <v>383</v>
      </c>
      <c r="Z1092" t="n">
        <v>370</v>
      </c>
      <c r="AA1092" t="n">
        <v>375</v>
      </c>
      <c r="AB1092" t="n">
        <v>4</v>
      </c>
      <c r="AC1092" t="n">
        <v>4</v>
      </c>
      <c r="AD1092" t="n">
        <v>17</v>
      </c>
      <c r="AE1092" t="n">
        <v>17</v>
      </c>
      <c r="AF1092" t="n">
        <v>8</v>
      </c>
      <c r="AG1092" t="n">
        <v>8</v>
      </c>
      <c r="AH1092" t="n">
        <v>2</v>
      </c>
      <c r="AI1092" t="n">
        <v>2</v>
      </c>
      <c r="AJ1092" t="n">
        <v>8</v>
      </c>
      <c r="AK1092" t="n">
        <v>8</v>
      </c>
      <c r="AL1092" t="n">
        <v>2</v>
      </c>
      <c r="AM1092" t="n">
        <v>2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No</t>
        </is>
      </c>
      <c r="AS1092">
        <f>HYPERLINK("https://creighton-primo.hosted.exlibrisgroup.com/primo-explore/search?tab=default_tab&amp;search_scope=EVERYTHING&amp;vid=01CRU&amp;lang=en_US&amp;offset=0&amp;query=any,contains,991002455739702656","Catalog Record")</f>
        <v/>
      </c>
      <c r="AT1092">
        <f>HYPERLINK("http://www.worldcat.org/oclc/32014159","WorldCat Record")</f>
        <v/>
      </c>
      <c r="AU1092" t="inlineStr">
        <is>
          <t>5086270917:eng</t>
        </is>
      </c>
      <c r="AV1092" t="inlineStr">
        <is>
          <t>32014159</t>
        </is>
      </c>
      <c r="AW1092" t="inlineStr">
        <is>
          <t>991002455739702656</t>
        </is>
      </c>
      <c r="AX1092" t="inlineStr">
        <is>
          <t>991002455739702656</t>
        </is>
      </c>
      <c r="AY1092" t="inlineStr">
        <is>
          <t>2255414060002656</t>
        </is>
      </c>
      <c r="AZ1092" t="inlineStr">
        <is>
          <t>BOOK</t>
        </is>
      </c>
      <c r="BB1092" t="inlineStr">
        <is>
          <t>9781880399835</t>
        </is>
      </c>
      <c r="BC1092" t="inlineStr">
        <is>
          <t>32285002142437</t>
        </is>
      </c>
      <c r="BD1092" t="inlineStr">
        <is>
          <t>893226853</t>
        </is>
      </c>
    </row>
    <row r="1093">
      <c r="A1093" t="inlineStr">
        <is>
          <t>No</t>
        </is>
      </c>
      <c r="B1093" t="inlineStr">
        <is>
          <t>PS627.O53 E882 1995</t>
        </is>
      </c>
      <c r="C1093" t="inlineStr">
        <is>
          <t>0                      PS 0627000O  53                 E  882         1995</t>
        </is>
      </c>
      <c r="D1093" t="inlineStr">
        <is>
          <t>EST marathon '95 : the complete one-act plays / edited by Marisa Smith ; introduction by Curt Dempster.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L1093" t="inlineStr">
        <is>
          <t>Lyme, NH : Smith and Kraus, 1995.</t>
        </is>
      </c>
      <c r="M1093" t="inlineStr">
        <is>
          <t>1995</t>
        </is>
      </c>
      <c r="N1093" t="inlineStr">
        <is>
          <t>1st ed.</t>
        </is>
      </c>
      <c r="O1093" t="inlineStr">
        <is>
          <t>eng</t>
        </is>
      </c>
      <c r="P1093" t="inlineStr">
        <is>
          <t>nhu</t>
        </is>
      </c>
      <c r="Q1093" t="inlineStr">
        <is>
          <t>Contemporary playwrights series</t>
        </is>
      </c>
      <c r="R1093" t="inlineStr">
        <is>
          <t xml:space="preserve">PS </t>
        </is>
      </c>
      <c r="S1093" t="n">
        <v>15</v>
      </c>
      <c r="T1093" t="n">
        <v>15</v>
      </c>
      <c r="U1093" t="inlineStr">
        <is>
          <t>2005-04-08</t>
        </is>
      </c>
      <c r="V1093" t="inlineStr">
        <is>
          <t>2005-04-08</t>
        </is>
      </c>
      <c r="W1093" t="inlineStr">
        <is>
          <t>1996-06-04</t>
        </is>
      </c>
      <c r="X1093" t="inlineStr">
        <is>
          <t>1996-06-04</t>
        </is>
      </c>
      <c r="Y1093" t="n">
        <v>246</v>
      </c>
      <c r="Z1093" t="n">
        <v>239</v>
      </c>
      <c r="AA1093" t="n">
        <v>244</v>
      </c>
      <c r="AB1093" t="n">
        <v>4</v>
      </c>
      <c r="AC1093" t="n">
        <v>4</v>
      </c>
      <c r="AD1093" t="n">
        <v>14</v>
      </c>
      <c r="AE1093" t="n">
        <v>14</v>
      </c>
      <c r="AF1093" t="n">
        <v>8</v>
      </c>
      <c r="AG1093" t="n">
        <v>8</v>
      </c>
      <c r="AH1093" t="n">
        <v>1</v>
      </c>
      <c r="AI1093" t="n">
        <v>1</v>
      </c>
      <c r="AJ1093" t="n">
        <v>4</v>
      </c>
      <c r="AK1093" t="n">
        <v>4</v>
      </c>
      <c r="AL1093" t="n">
        <v>3</v>
      </c>
      <c r="AM1093" t="n">
        <v>3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No</t>
        </is>
      </c>
      <c r="AS1093">
        <f>HYPERLINK("https://creighton-primo.hosted.exlibrisgroup.com/primo-explore/search?tab=default_tab&amp;search_scope=EVERYTHING&amp;vid=01CRU&amp;lang=en_US&amp;offset=0&amp;query=any,contains,991002566069702656","Catalog Record")</f>
        <v/>
      </c>
      <c r="AT1093">
        <f>HYPERLINK("http://www.worldcat.org/oclc/33358347","WorldCat Record")</f>
        <v/>
      </c>
      <c r="AU1093" t="inlineStr">
        <is>
          <t>1008576944:eng</t>
        </is>
      </c>
      <c r="AV1093" t="inlineStr">
        <is>
          <t>33358347</t>
        </is>
      </c>
      <c r="AW1093" t="inlineStr">
        <is>
          <t>991002566069702656</t>
        </is>
      </c>
      <c r="AX1093" t="inlineStr">
        <is>
          <t>991002566069702656</t>
        </is>
      </c>
      <c r="AY1093" t="inlineStr">
        <is>
          <t>2263823940002656</t>
        </is>
      </c>
      <c r="AZ1093" t="inlineStr">
        <is>
          <t>BOOK</t>
        </is>
      </c>
      <c r="BB1093" t="inlineStr">
        <is>
          <t>9781880399859</t>
        </is>
      </c>
      <c r="BC1093" t="inlineStr">
        <is>
          <t>32285002186772</t>
        </is>
      </c>
      <c r="BD1093" t="inlineStr">
        <is>
          <t>893880120</t>
        </is>
      </c>
    </row>
    <row r="1094">
      <c r="A1094" t="inlineStr">
        <is>
          <t>No</t>
        </is>
      </c>
      <c r="B1094" t="inlineStr">
        <is>
          <t>PS627.O53 E882 1998</t>
        </is>
      </c>
      <c r="C1094" t="inlineStr">
        <is>
          <t>0                      PS 0627000O  53                 E  882         1998</t>
        </is>
      </c>
      <c r="D1094" t="inlineStr">
        <is>
          <t>EST marathon '98 : the one-act plays / [edited by Marisa Smith].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L1094" t="inlineStr">
        <is>
          <t>Lyme, NH : Smith and Kraus, 1999.</t>
        </is>
      </c>
      <c r="M1094" t="inlineStr">
        <is>
          <t>1999</t>
        </is>
      </c>
      <c r="N1094" t="inlineStr">
        <is>
          <t>1st ed.</t>
        </is>
      </c>
      <c r="O1094" t="inlineStr">
        <is>
          <t>eng</t>
        </is>
      </c>
      <c r="P1094" t="inlineStr">
        <is>
          <t>nhu</t>
        </is>
      </c>
      <c r="Q1094" t="inlineStr">
        <is>
          <t>Contemporary playwrights series</t>
        </is>
      </c>
      <c r="R1094" t="inlineStr">
        <is>
          <t xml:space="preserve">PS </t>
        </is>
      </c>
      <c r="S1094" t="n">
        <v>3</v>
      </c>
      <c r="T1094" t="n">
        <v>3</v>
      </c>
      <c r="U1094" t="inlineStr">
        <is>
          <t>2005-04-08</t>
        </is>
      </c>
      <c r="V1094" t="inlineStr">
        <is>
          <t>2005-04-08</t>
        </is>
      </c>
      <c r="W1094" t="inlineStr">
        <is>
          <t>2000-08-23</t>
        </is>
      </c>
      <c r="X1094" t="inlineStr">
        <is>
          <t>2000-08-23</t>
        </is>
      </c>
      <c r="Y1094" t="n">
        <v>194</v>
      </c>
      <c r="Z1094" t="n">
        <v>189</v>
      </c>
      <c r="AA1094" t="n">
        <v>190</v>
      </c>
      <c r="AB1094" t="n">
        <v>3</v>
      </c>
      <c r="AC1094" t="n">
        <v>3</v>
      </c>
      <c r="AD1094" t="n">
        <v>12</v>
      </c>
      <c r="AE1094" t="n">
        <v>12</v>
      </c>
      <c r="AF1094" t="n">
        <v>4</v>
      </c>
      <c r="AG1094" t="n">
        <v>4</v>
      </c>
      <c r="AH1094" t="n">
        <v>4</v>
      </c>
      <c r="AI1094" t="n">
        <v>4</v>
      </c>
      <c r="AJ1094" t="n">
        <v>5</v>
      </c>
      <c r="AK1094" t="n">
        <v>5</v>
      </c>
      <c r="AL1094" t="n">
        <v>2</v>
      </c>
      <c r="AM1094" t="n">
        <v>2</v>
      </c>
      <c r="AN1094" t="n">
        <v>0</v>
      </c>
      <c r="AO1094" t="n">
        <v>0</v>
      </c>
      <c r="AP1094" t="inlineStr">
        <is>
          <t>No</t>
        </is>
      </c>
      <c r="AQ1094" t="inlineStr">
        <is>
          <t>No</t>
        </is>
      </c>
      <c r="AS1094">
        <f>HYPERLINK("https://creighton-primo.hosted.exlibrisgroup.com/primo-explore/search?tab=default_tab&amp;search_scope=EVERYTHING&amp;vid=01CRU&amp;lang=en_US&amp;offset=0&amp;query=any,contains,991003271269702656","Catalog Record")</f>
        <v/>
      </c>
      <c r="AT1094">
        <f>HYPERLINK("http://www.worldcat.org/oclc/42518159","WorldCat Record")</f>
        <v/>
      </c>
      <c r="AU1094" t="inlineStr">
        <is>
          <t>4576457596:eng</t>
        </is>
      </c>
      <c r="AV1094" t="inlineStr">
        <is>
          <t>42518159</t>
        </is>
      </c>
      <c r="AW1094" t="inlineStr">
        <is>
          <t>991003271269702656</t>
        </is>
      </c>
      <c r="AX1094" t="inlineStr">
        <is>
          <t>991003271269702656</t>
        </is>
      </c>
      <c r="AY1094" t="inlineStr">
        <is>
          <t>2269278590002656</t>
        </is>
      </c>
      <c r="AZ1094" t="inlineStr">
        <is>
          <t>BOOK</t>
        </is>
      </c>
      <c r="BB1094" t="inlineStr">
        <is>
          <t>9781575251653</t>
        </is>
      </c>
      <c r="BC1094" t="inlineStr">
        <is>
          <t>32285003759015</t>
        </is>
      </c>
      <c r="BD1094" t="inlineStr">
        <is>
          <t>893692551</t>
        </is>
      </c>
    </row>
    <row r="1095">
      <c r="A1095" t="inlineStr">
        <is>
          <t>No</t>
        </is>
      </c>
      <c r="B1095" t="inlineStr">
        <is>
          <t>PS634 .H86 1994</t>
        </is>
      </c>
      <c r="C1095" t="inlineStr">
        <is>
          <t>0                      PS 0634000H  86          1994</t>
        </is>
      </c>
      <c r="D1095" t="inlineStr">
        <is>
          <t>Humana Festival '94 : the complete plays / edited by Marisa Smith.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L1095" t="inlineStr">
        <is>
          <t>Lyme, NH : Smith and Kraus, 1994.</t>
        </is>
      </c>
      <c r="M1095" t="inlineStr">
        <is>
          <t>1994</t>
        </is>
      </c>
      <c r="N1095" t="inlineStr">
        <is>
          <t>1st ed.</t>
        </is>
      </c>
      <c r="O1095" t="inlineStr">
        <is>
          <t>eng</t>
        </is>
      </c>
      <c r="P1095" t="inlineStr">
        <is>
          <t>nhu</t>
        </is>
      </c>
      <c r="Q1095" t="inlineStr">
        <is>
          <t>Contemporary playwrights series</t>
        </is>
      </c>
      <c r="R1095" t="inlineStr">
        <is>
          <t xml:space="preserve">PS </t>
        </is>
      </c>
      <c r="S1095" t="n">
        <v>5</v>
      </c>
      <c r="T1095" t="n">
        <v>5</v>
      </c>
      <c r="U1095" t="inlineStr">
        <is>
          <t>2000-11-28</t>
        </is>
      </c>
      <c r="V1095" t="inlineStr">
        <is>
          <t>2000-11-28</t>
        </is>
      </c>
      <c r="W1095" t="inlineStr">
        <is>
          <t>1995-02-16</t>
        </is>
      </c>
      <c r="X1095" t="inlineStr">
        <is>
          <t>1995-02-16</t>
        </is>
      </c>
      <c r="Y1095" t="n">
        <v>416</v>
      </c>
      <c r="Z1095" t="n">
        <v>404</v>
      </c>
      <c r="AA1095" t="n">
        <v>411</v>
      </c>
      <c r="AB1095" t="n">
        <v>6</v>
      </c>
      <c r="AC1095" t="n">
        <v>6</v>
      </c>
      <c r="AD1095" t="n">
        <v>22</v>
      </c>
      <c r="AE1095" t="n">
        <v>22</v>
      </c>
      <c r="AF1095" t="n">
        <v>10</v>
      </c>
      <c r="AG1095" t="n">
        <v>10</v>
      </c>
      <c r="AH1095" t="n">
        <v>4</v>
      </c>
      <c r="AI1095" t="n">
        <v>4</v>
      </c>
      <c r="AJ1095" t="n">
        <v>8</v>
      </c>
      <c r="AK1095" t="n">
        <v>8</v>
      </c>
      <c r="AL1095" t="n">
        <v>5</v>
      </c>
      <c r="AM1095" t="n">
        <v>5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No</t>
        </is>
      </c>
      <c r="AS1095">
        <f>HYPERLINK("https://creighton-primo.hosted.exlibrisgroup.com/primo-explore/search?tab=default_tab&amp;search_scope=EVERYTHING&amp;vid=01CRU&amp;lang=en_US&amp;offset=0&amp;query=any,contains,991002350889702656","Catalog Record")</f>
        <v/>
      </c>
      <c r="AT1095">
        <f>HYPERLINK("http://www.worldcat.org/oclc/30623514","WorldCat Record")</f>
        <v/>
      </c>
      <c r="AU1095" t="inlineStr">
        <is>
          <t>32661016:eng</t>
        </is>
      </c>
      <c r="AV1095" t="inlineStr">
        <is>
          <t>30623514</t>
        </is>
      </c>
      <c r="AW1095" t="inlineStr">
        <is>
          <t>991002350889702656</t>
        </is>
      </c>
      <c r="AX1095" t="inlineStr">
        <is>
          <t>991002350889702656</t>
        </is>
      </c>
      <c r="AY1095" t="inlineStr">
        <is>
          <t>2259713840002656</t>
        </is>
      </c>
      <c r="AZ1095" t="inlineStr">
        <is>
          <t>BOOK</t>
        </is>
      </c>
      <c r="BB1095" t="inlineStr">
        <is>
          <t>9781880399569</t>
        </is>
      </c>
      <c r="BC1095" t="inlineStr">
        <is>
          <t>32285001999134</t>
        </is>
      </c>
      <c r="BD1095" t="inlineStr">
        <is>
          <t>893792351</t>
        </is>
      </c>
    </row>
    <row r="1096">
      <c r="A1096" t="inlineStr">
        <is>
          <t>No</t>
        </is>
      </c>
      <c r="B1096" t="inlineStr">
        <is>
          <t>PS645 .A52 1935</t>
        </is>
      </c>
      <c r="C1096" t="inlineStr">
        <is>
          <t>0                      PS 0645000A  52          1935</t>
        </is>
      </c>
      <c r="D1096" t="inlineStr">
        <is>
          <t>The American short short story 1932- an anthology of ... new short stories ...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L1096" t="inlineStr">
        <is>
          <t>New York, Galleon Press, 1932-</t>
        </is>
      </c>
      <c r="M1096" t="inlineStr">
        <is>
          <t>1932</t>
        </is>
      </c>
      <c r="O1096" t="inlineStr">
        <is>
          <t>eng</t>
        </is>
      </c>
      <c r="P1096" t="inlineStr">
        <is>
          <t>nyu</t>
        </is>
      </c>
      <c r="R1096" t="inlineStr">
        <is>
          <t xml:space="preserve">PS </t>
        </is>
      </c>
      <c r="S1096" t="n">
        <v>2</v>
      </c>
      <c r="T1096" t="n">
        <v>2</v>
      </c>
      <c r="U1096" t="inlineStr">
        <is>
          <t>1998-02-24</t>
        </is>
      </c>
      <c r="V1096" t="inlineStr">
        <is>
          <t>1998-02-24</t>
        </is>
      </c>
      <c r="W1096" t="inlineStr">
        <is>
          <t>1997-05-06</t>
        </is>
      </c>
      <c r="X1096" t="inlineStr">
        <is>
          <t>1997-05-06</t>
        </is>
      </c>
      <c r="Y1096" t="n">
        <v>31</v>
      </c>
      <c r="Z1096" t="n">
        <v>31</v>
      </c>
      <c r="AA1096" t="n">
        <v>31</v>
      </c>
      <c r="AB1096" t="n">
        <v>2</v>
      </c>
      <c r="AC1096" t="n">
        <v>2</v>
      </c>
      <c r="AD1096" t="n">
        <v>2</v>
      </c>
      <c r="AE1096" t="n">
        <v>2</v>
      </c>
      <c r="AF1096" t="n">
        <v>0</v>
      </c>
      <c r="AG1096" t="n">
        <v>0</v>
      </c>
      <c r="AH1096" t="n">
        <v>1</v>
      </c>
      <c r="AI1096" t="n">
        <v>1</v>
      </c>
      <c r="AJ1096" t="n">
        <v>0</v>
      </c>
      <c r="AK1096" t="n">
        <v>0</v>
      </c>
      <c r="AL1096" t="n">
        <v>1</v>
      </c>
      <c r="AM1096" t="n">
        <v>1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No</t>
        </is>
      </c>
      <c r="AS1096">
        <f>HYPERLINK("https://creighton-primo.hosted.exlibrisgroup.com/primo-explore/search?tab=default_tab&amp;search_scope=EVERYTHING&amp;vid=01CRU&amp;lang=en_US&amp;offset=0&amp;query=any,contains,991003643189702656","Catalog Record")</f>
        <v/>
      </c>
      <c r="AT1096">
        <f>HYPERLINK("http://www.worldcat.org/oclc/1241613","WorldCat Record")</f>
        <v/>
      </c>
      <c r="AU1096" t="inlineStr">
        <is>
          <t>2146502:eng</t>
        </is>
      </c>
      <c r="AV1096" t="inlineStr">
        <is>
          <t>1241613</t>
        </is>
      </c>
      <c r="AW1096" t="inlineStr">
        <is>
          <t>991003643189702656</t>
        </is>
      </c>
      <c r="AX1096" t="inlineStr">
        <is>
          <t>991003643189702656</t>
        </is>
      </c>
      <c r="AY1096" t="inlineStr">
        <is>
          <t>2261095940002656</t>
        </is>
      </c>
      <c r="AZ1096" t="inlineStr">
        <is>
          <t>BOOK</t>
        </is>
      </c>
      <c r="BC1096" t="inlineStr">
        <is>
          <t>32285002655180</t>
        </is>
      </c>
      <c r="BD1096" t="inlineStr">
        <is>
          <t>893717926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