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621"/>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QB1 .A28593 1999</t>
        </is>
      </c>
      <c r="C2" t="inlineStr">
        <is>
          <t>0                      QB 0001000A  28593       1999</t>
        </is>
      </c>
      <c r="D2" t="inlineStr">
        <is>
          <t>The American Astronomical Society's first century / editor, David H. DeVorkin.</t>
        </is>
      </c>
      <c r="F2" t="inlineStr">
        <is>
          <t>No</t>
        </is>
      </c>
      <c r="G2" t="inlineStr">
        <is>
          <t>1</t>
        </is>
      </c>
      <c r="H2" t="inlineStr">
        <is>
          <t>No</t>
        </is>
      </c>
      <c r="I2" t="inlineStr">
        <is>
          <t>No</t>
        </is>
      </c>
      <c r="J2" t="inlineStr">
        <is>
          <t>0</t>
        </is>
      </c>
      <c r="L2" t="inlineStr">
        <is>
          <t>[New York, N.Y.] : Published for the American Astronomical Society through the American Institute of Physics, [Washington, D.C.], c1999.</t>
        </is>
      </c>
      <c r="M2" t="inlineStr">
        <is>
          <t>1999</t>
        </is>
      </c>
      <c r="O2" t="inlineStr">
        <is>
          <t>eng</t>
        </is>
      </c>
      <c r="P2" t="inlineStr">
        <is>
          <t>nyu</t>
        </is>
      </c>
      <c r="R2" t="inlineStr">
        <is>
          <t xml:space="preserve">QB </t>
        </is>
      </c>
      <c r="S2" t="n">
        <v>1</v>
      </c>
      <c r="T2" t="n">
        <v>1</v>
      </c>
      <c r="U2" t="inlineStr">
        <is>
          <t>2007-03-30</t>
        </is>
      </c>
      <c r="V2" t="inlineStr">
        <is>
          <t>2007-03-30</t>
        </is>
      </c>
      <c r="W2" t="inlineStr">
        <is>
          <t>2000-03-13</t>
        </is>
      </c>
      <c r="X2" t="inlineStr">
        <is>
          <t>2000-03-13</t>
        </is>
      </c>
      <c r="Y2" t="n">
        <v>190</v>
      </c>
      <c r="Z2" t="n">
        <v>166</v>
      </c>
      <c r="AA2" t="n">
        <v>172</v>
      </c>
      <c r="AB2" t="n">
        <v>2</v>
      </c>
      <c r="AC2" t="n">
        <v>2</v>
      </c>
      <c r="AD2" t="n">
        <v>8</v>
      </c>
      <c r="AE2" t="n">
        <v>8</v>
      </c>
      <c r="AF2" t="n">
        <v>0</v>
      </c>
      <c r="AG2" t="n">
        <v>0</v>
      </c>
      <c r="AH2" t="n">
        <v>2</v>
      </c>
      <c r="AI2" t="n">
        <v>2</v>
      </c>
      <c r="AJ2" t="n">
        <v>6</v>
      </c>
      <c r="AK2" t="n">
        <v>6</v>
      </c>
      <c r="AL2" t="n">
        <v>1</v>
      </c>
      <c r="AM2" t="n">
        <v>1</v>
      </c>
      <c r="AN2" t="n">
        <v>0</v>
      </c>
      <c r="AO2" t="n">
        <v>0</v>
      </c>
      <c r="AP2" t="inlineStr">
        <is>
          <t>No</t>
        </is>
      </c>
      <c r="AQ2" t="inlineStr">
        <is>
          <t>Yes</t>
        </is>
      </c>
      <c r="AR2">
        <f>HYPERLINK("http://catalog.hathitrust.org/Record/004041275","HathiTrust Record")</f>
        <v/>
      </c>
      <c r="AS2">
        <f>HYPERLINK("https://creighton-primo.hosted.exlibrisgroup.com/primo-explore/search?tab=default_tab&amp;search_scope=EVERYTHING&amp;vid=01CRU&amp;lang=en_US&amp;offset=0&amp;query=any,contains,991002974869702656","Catalog Record")</f>
        <v/>
      </c>
      <c r="AT2">
        <f>HYPERLINK("http://www.worldcat.org/oclc/39890335","WorldCat Record")</f>
        <v/>
      </c>
      <c r="AU2" t="inlineStr">
        <is>
          <t>364494237:eng</t>
        </is>
      </c>
      <c r="AV2" t="inlineStr">
        <is>
          <t>39890335</t>
        </is>
      </c>
      <c r="AW2" t="inlineStr">
        <is>
          <t>991002974869702656</t>
        </is>
      </c>
      <c r="AX2" t="inlineStr">
        <is>
          <t>991002974869702656</t>
        </is>
      </c>
      <c r="AY2" t="inlineStr">
        <is>
          <t>2261154830002656</t>
        </is>
      </c>
      <c r="AZ2" t="inlineStr">
        <is>
          <t>BOOK</t>
        </is>
      </c>
      <c r="BB2" t="inlineStr">
        <is>
          <t>9781563966835</t>
        </is>
      </c>
      <c r="BC2" t="inlineStr">
        <is>
          <t>32285003668968</t>
        </is>
      </c>
      <c r="BD2" t="inlineStr">
        <is>
          <t>893710918</t>
        </is>
      </c>
    </row>
    <row r="3">
      <c r="A3" t="inlineStr">
        <is>
          <t>No</t>
        </is>
      </c>
      <c r="B3" t="inlineStr">
        <is>
          <t>QB103 .C37 2002</t>
        </is>
      </c>
      <c r="C3" t="inlineStr">
        <is>
          <t>0                      QB 0103000C  37          2002</t>
        </is>
      </c>
      <c r="D3" t="inlineStr">
        <is>
          <t>Latitude : how American astronomers solved the mystery of variation / Bill Carter and Merri Sue Carter.</t>
        </is>
      </c>
      <c r="F3" t="inlineStr">
        <is>
          <t>No</t>
        </is>
      </c>
      <c r="G3" t="inlineStr">
        <is>
          <t>1</t>
        </is>
      </c>
      <c r="H3" t="inlineStr">
        <is>
          <t>No</t>
        </is>
      </c>
      <c r="I3" t="inlineStr">
        <is>
          <t>No</t>
        </is>
      </c>
      <c r="J3" t="inlineStr">
        <is>
          <t>0</t>
        </is>
      </c>
      <c r="K3" t="inlineStr">
        <is>
          <t>Carter, William E. (William Eugene), 1939-</t>
        </is>
      </c>
      <c r="L3" t="inlineStr">
        <is>
          <t>Annapolis, Md. : Naval Institute Press, c2002.</t>
        </is>
      </c>
      <c r="M3" t="inlineStr">
        <is>
          <t>2002</t>
        </is>
      </c>
      <c r="O3" t="inlineStr">
        <is>
          <t>eng</t>
        </is>
      </c>
      <c r="P3" t="inlineStr">
        <is>
          <t>mdu</t>
        </is>
      </c>
      <c r="R3" t="inlineStr">
        <is>
          <t xml:space="preserve">QB </t>
        </is>
      </c>
      <c r="S3" t="n">
        <v>1</v>
      </c>
      <c r="T3" t="n">
        <v>1</v>
      </c>
      <c r="U3" t="inlineStr">
        <is>
          <t>2003-06-10</t>
        </is>
      </c>
      <c r="V3" t="inlineStr">
        <is>
          <t>2003-06-10</t>
        </is>
      </c>
      <c r="W3" t="inlineStr">
        <is>
          <t>2003-06-10</t>
        </is>
      </c>
      <c r="X3" t="inlineStr">
        <is>
          <t>2003-06-10</t>
        </is>
      </c>
      <c r="Y3" t="n">
        <v>569</v>
      </c>
      <c r="Z3" t="n">
        <v>534</v>
      </c>
      <c r="AA3" t="n">
        <v>540</v>
      </c>
      <c r="AB3" t="n">
        <v>4</v>
      </c>
      <c r="AC3" t="n">
        <v>4</v>
      </c>
      <c r="AD3" t="n">
        <v>17</v>
      </c>
      <c r="AE3" t="n">
        <v>17</v>
      </c>
      <c r="AF3" t="n">
        <v>8</v>
      </c>
      <c r="AG3" t="n">
        <v>8</v>
      </c>
      <c r="AH3" t="n">
        <v>2</v>
      </c>
      <c r="AI3" t="n">
        <v>2</v>
      </c>
      <c r="AJ3" t="n">
        <v>10</v>
      </c>
      <c r="AK3" t="n">
        <v>10</v>
      </c>
      <c r="AL3" t="n">
        <v>3</v>
      </c>
      <c r="AM3" t="n">
        <v>3</v>
      </c>
      <c r="AN3" t="n">
        <v>0</v>
      </c>
      <c r="AO3" t="n">
        <v>0</v>
      </c>
      <c r="AP3" t="inlineStr">
        <is>
          <t>No</t>
        </is>
      </c>
      <c r="AQ3" t="inlineStr">
        <is>
          <t>Yes</t>
        </is>
      </c>
      <c r="AR3">
        <f>HYPERLINK("http://catalog.hathitrust.org/Record/004301459","HathiTrust Record")</f>
        <v/>
      </c>
      <c r="AS3">
        <f>HYPERLINK("https://creighton-primo.hosted.exlibrisgroup.com/primo-explore/search?tab=default_tab&amp;search_scope=EVERYTHING&amp;vid=01CRU&amp;lang=en_US&amp;offset=0&amp;query=any,contains,991004058129702656","Catalog Record")</f>
        <v/>
      </c>
      <c r="AT3">
        <f>HYPERLINK("http://www.worldcat.org/oclc/50041441","WorldCat Record")</f>
        <v/>
      </c>
      <c r="AU3" t="inlineStr">
        <is>
          <t>311071706:eng</t>
        </is>
      </c>
      <c r="AV3" t="inlineStr">
        <is>
          <t>50041441</t>
        </is>
      </c>
      <c r="AW3" t="inlineStr">
        <is>
          <t>991004058129702656</t>
        </is>
      </c>
      <c r="AX3" t="inlineStr">
        <is>
          <t>991004058129702656</t>
        </is>
      </c>
      <c r="AY3" t="inlineStr">
        <is>
          <t>2259482470002656</t>
        </is>
      </c>
      <c r="AZ3" t="inlineStr">
        <is>
          <t>BOOK</t>
        </is>
      </c>
      <c r="BB3" t="inlineStr">
        <is>
          <t>9781557500168</t>
        </is>
      </c>
      <c r="BC3" t="inlineStr">
        <is>
          <t>32285004751466</t>
        </is>
      </c>
      <c r="BD3" t="inlineStr">
        <is>
          <t>893318751</t>
        </is>
      </c>
    </row>
    <row r="4">
      <c r="A4" t="inlineStr">
        <is>
          <t>No</t>
        </is>
      </c>
      <c r="B4" t="inlineStr">
        <is>
          <t>QB12 .M6613 1989</t>
        </is>
      </c>
      <c r="C4" t="inlineStr">
        <is>
          <t>0                      QB 0012000M  6613        1989</t>
        </is>
      </c>
      <c r="D4" t="inlineStr">
        <is>
          <t>Practical ephemeris calculations / Oliver Montenbruck ; [translator, A.H. Armstrong].</t>
        </is>
      </c>
      <c r="F4" t="inlineStr">
        <is>
          <t>No</t>
        </is>
      </c>
      <c r="G4" t="inlineStr">
        <is>
          <t>1</t>
        </is>
      </c>
      <c r="H4" t="inlineStr">
        <is>
          <t>No</t>
        </is>
      </c>
      <c r="I4" t="inlineStr">
        <is>
          <t>No</t>
        </is>
      </c>
      <c r="J4" t="inlineStr">
        <is>
          <t>0</t>
        </is>
      </c>
      <c r="K4" t="inlineStr">
        <is>
          <t>Montenbruck, Oliver, 1961-</t>
        </is>
      </c>
      <c r="L4" t="inlineStr">
        <is>
          <t>Berlin ; New York : Springer-Verlag, c1989.</t>
        </is>
      </c>
      <c r="M4" t="inlineStr">
        <is>
          <t>1989</t>
        </is>
      </c>
      <c r="O4" t="inlineStr">
        <is>
          <t>eng</t>
        </is>
      </c>
      <c r="P4" t="inlineStr">
        <is>
          <t xml:space="preserve">gw </t>
        </is>
      </c>
      <c r="R4" t="inlineStr">
        <is>
          <t xml:space="preserve">QB </t>
        </is>
      </c>
      <c r="S4" t="n">
        <v>4</v>
      </c>
      <c r="T4" t="n">
        <v>4</v>
      </c>
      <c r="U4" t="inlineStr">
        <is>
          <t>1993-09-14</t>
        </is>
      </c>
      <c r="V4" t="inlineStr">
        <is>
          <t>1993-09-14</t>
        </is>
      </c>
      <c r="W4" t="inlineStr">
        <is>
          <t>1989-11-16</t>
        </is>
      </c>
      <c r="X4" t="inlineStr">
        <is>
          <t>1989-11-16</t>
        </is>
      </c>
      <c r="Y4" t="n">
        <v>180</v>
      </c>
      <c r="Z4" t="n">
        <v>131</v>
      </c>
      <c r="AA4" t="n">
        <v>134</v>
      </c>
      <c r="AB4" t="n">
        <v>1</v>
      </c>
      <c r="AC4" t="n">
        <v>1</v>
      </c>
      <c r="AD4" t="n">
        <v>2</v>
      </c>
      <c r="AE4" t="n">
        <v>2</v>
      </c>
      <c r="AF4" t="n">
        <v>0</v>
      </c>
      <c r="AG4" t="n">
        <v>0</v>
      </c>
      <c r="AH4" t="n">
        <v>2</v>
      </c>
      <c r="AI4" t="n">
        <v>2</v>
      </c>
      <c r="AJ4" t="n">
        <v>0</v>
      </c>
      <c r="AK4" t="n">
        <v>0</v>
      </c>
      <c r="AL4" t="n">
        <v>0</v>
      </c>
      <c r="AM4" t="n">
        <v>0</v>
      </c>
      <c r="AN4" t="n">
        <v>0</v>
      </c>
      <c r="AO4" t="n">
        <v>0</v>
      </c>
      <c r="AP4" t="inlineStr">
        <is>
          <t>No</t>
        </is>
      </c>
      <c r="AQ4" t="inlineStr">
        <is>
          <t>Yes</t>
        </is>
      </c>
      <c r="AR4">
        <f>HYPERLINK("http://catalog.hathitrust.org/Record/001541189","HathiTrust Record")</f>
        <v/>
      </c>
      <c r="AS4">
        <f>HYPERLINK("https://creighton-primo.hosted.exlibrisgroup.com/primo-explore/search?tab=default_tab&amp;search_scope=EVERYTHING&amp;vid=01CRU&amp;lang=en_US&amp;offset=0&amp;query=any,contains,991001441659702656","Catalog Record")</f>
        <v/>
      </c>
      <c r="AT4">
        <f>HYPERLINK("http://www.worldcat.org/oclc/19262808","WorldCat Record")</f>
        <v/>
      </c>
      <c r="AU4" t="inlineStr">
        <is>
          <t>1152337914:eng</t>
        </is>
      </c>
      <c r="AV4" t="inlineStr">
        <is>
          <t>19262808</t>
        </is>
      </c>
      <c r="AW4" t="inlineStr">
        <is>
          <t>991001441659702656</t>
        </is>
      </c>
      <c r="AX4" t="inlineStr">
        <is>
          <t>991001441659702656</t>
        </is>
      </c>
      <c r="AY4" t="inlineStr">
        <is>
          <t>2272780760002656</t>
        </is>
      </c>
      <c r="AZ4" t="inlineStr">
        <is>
          <t>BOOK</t>
        </is>
      </c>
      <c r="BB4" t="inlineStr">
        <is>
          <t>9780387507040</t>
        </is>
      </c>
      <c r="BC4" t="inlineStr">
        <is>
          <t>32285000013978</t>
        </is>
      </c>
      <c r="BD4" t="inlineStr">
        <is>
          <t>893608872</t>
        </is>
      </c>
    </row>
    <row r="5">
      <c r="A5" t="inlineStr">
        <is>
          <t>No</t>
        </is>
      </c>
      <c r="B5" t="inlineStr">
        <is>
          <t>QB121 .A75 2003</t>
        </is>
      </c>
      <c r="C5" t="inlineStr">
        <is>
          <t>0                      QB 0121000A  75          2003</t>
        </is>
      </c>
      <c r="D5" t="inlineStr">
        <is>
          <t>Astrophotography : an introduction to film and digital imaging / H.J.P. Arnold.</t>
        </is>
      </c>
      <c r="F5" t="inlineStr">
        <is>
          <t>No</t>
        </is>
      </c>
      <c r="G5" t="inlineStr">
        <is>
          <t>1</t>
        </is>
      </c>
      <c r="H5" t="inlineStr">
        <is>
          <t>No</t>
        </is>
      </c>
      <c r="I5" t="inlineStr">
        <is>
          <t>No</t>
        </is>
      </c>
      <c r="J5" t="inlineStr">
        <is>
          <t>0</t>
        </is>
      </c>
      <c r="K5" t="inlineStr">
        <is>
          <t>Arnold, H. J. P. (Harry John Philip), 1932-2006.</t>
        </is>
      </c>
      <c r="L5" t="inlineStr">
        <is>
          <t>Toronto, Ont. ; Buffalo, N.Y. : Firefly Books, 2003.</t>
        </is>
      </c>
      <c r="M5" t="inlineStr">
        <is>
          <t>2003</t>
        </is>
      </c>
      <c r="O5" t="inlineStr">
        <is>
          <t>eng</t>
        </is>
      </c>
      <c r="P5" t="inlineStr">
        <is>
          <t>onc</t>
        </is>
      </c>
      <c r="R5" t="inlineStr">
        <is>
          <t xml:space="preserve">QB </t>
        </is>
      </c>
      <c r="S5" t="n">
        <v>1</v>
      </c>
      <c r="T5" t="n">
        <v>1</v>
      </c>
      <c r="U5" t="inlineStr">
        <is>
          <t>2008-12-17</t>
        </is>
      </c>
      <c r="V5" t="inlineStr">
        <is>
          <t>2008-12-17</t>
        </is>
      </c>
      <c r="W5" t="inlineStr">
        <is>
          <t>2008-12-17</t>
        </is>
      </c>
      <c r="X5" t="inlineStr">
        <is>
          <t>2008-12-17</t>
        </is>
      </c>
      <c r="Y5" t="n">
        <v>288</v>
      </c>
      <c r="Z5" t="n">
        <v>263</v>
      </c>
      <c r="AA5" t="n">
        <v>314</v>
      </c>
      <c r="AB5" t="n">
        <v>3</v>
      </c>
      <c r="AC5" t="n">
        <v>4</v>
      </c>
      <c r="AD5" t="n">
        <v>7</v>
      </c>
      <c r="AE5" t="n">
        <v>7</v>
      </c>
      <c r="AF5" t="n">
        <v>4</v>
      </c>
      <c r="AG5" t="n">
        <v>4</v>
      </c>
      <c r="AH5" t="n">
        <v>1</v>
      </c>
      <c r="AI5" t="n">
        <v>1</v>
      </c>
      <c r="AJ5" t="n">
        <v>3</v>
      </c>
      <c r="AK5" t="n">
        <v>3</v>
      </c>
      <c r="AL5" t="n">
        <v>2</v>
      </c>
      <c r="AM5" t="n">
        <v>2</v>
      </c>
      <c r="AN5" t="n">
        <v>0</v>
      </c>
      <c r="AO5" t="n">
        <v>0</v>
      </c>
      <c r="AP5" t="inlineStr">
        <is>
          <t>No</t>
        </is>
      </c>
      <c r="AQ5" t="inlineStr">
        <is>
          <t>Yes</t>
        </is>
      </c>
      <c r="AR5">
        <f>HYPERLINK("http://catalog.hathitrust.org/Record/008442112","HathiTrust Record")</f>
        <v/>
      </c>
      <c r="AS5">
        <f>HYPERLINK("https://creighton-primo.hosted.exlibrisgroup.com/primo-explore/search?tab=default_tab&amp;search_scope=EVERYTHING&amp;vid=01CRU&amp;lang=en_US&amp;offset=0&amp;query=any,contains,991005285319702656","Catalog Record")</f>
        <v/>
      </c>
      <c r="AT5">
        <f>HYPERLINK("http://www.worldcat.org/oclc/51042897","WorldCat Record")</f>
        <v/>
      </c>
      <c r="AU5" t="inlineStr">
        <is>
          <t>33076400:eng</t>
        </is>
      </c>
      <c r="AV5" t="inlineStr">
        <is>
          <t>51042897</t>
        </is>
      </c>
      <c r="AW5" t="inlineStr">
        <is>
          <t>991005285319702656</t>
        </is>
      </c>
      <c r="AX5" t="inlineStr">
        <is>
          <t>991005285319702656</t>
        </is>
      </c>
      <c r="AY5" t="inlineStr">
        <is>
          <t>2272372490002656</t>
        </is>
      </c>
      <c r="AZ5" t="inlineStr">
        <is>
          <t>BOOK</t>
        </is>
      </c>
      <c r="BB5" t="inlineStr">
        <is>
          <t>9781552978016</t>
        </is>
      </c>
      <c r="BC5" t="inlineStr">
        <is>
          <t>32285005474563</t>
        </is>
      </c>
      <c r="BD5" t="inlineStr">
        <is>
          <t>893320381</t>
        </is>
      </c>
    </row>
    <row r="6">
      <c r="A6" t="inlineStr">
        <is>
          <t>No</t>
        </is>
      </c>
      <c r="B6" t="inlineStr">
        <is>
          <t>QB121 .M34 1993</t>
        </is>
      </c>
      <c r="C6" t="inlineStr">
        <is>
          <t>0                      QB 0121000M  34          1993</t>
        </is>
      </c>
      <c r="D6" t="inlineStr">
        <is>
          <t>A view of the universe / David Malin.</t>
        </is>
      </c>
      <c r="F6" t="inlineStr">
        <is>
          <t>No</t>
        </is>
      </c>
      <c r="G6" t="inlineStr">
        <is>
          <t>1</t>
        </is>
      </c>
      <c r="H6" t="inlineStr">
        <is>
          <t>No</t>
        </is>
      </c>
      <c r="I6" t="inlineStr">
        <is>
          <t>No</t>
        </is>
      </c>
      <c r="J6" t="inlineStr">
        <is>
          <t>0</t>
        </is>
      </c>
      <c r="K6" t="inlineStr">
        <is>
          <t>Malin, David, 1941-</t>
        </is>
      </c>
      <c r="L6" t="inlineStr">
        <is>
          <t>Cambridge, Mass. : Sky Pub. Corp. ; New York, NY, USA : Cambridge University Press, 1993.</t>
        </is>
      </c>
      <c r="M6" t="inlineStr">
        <is>
          <t>1993</t>
        </is>
      </c>
      <c r="O6" t="inlineStr">
        <is>
          <t>eng</t>
        </is>
      </c>
      <c r="P6" t="inlineStr">
        <is>
          <t>mau</t>
        </is>
      </c>
      <c r="R6" t="inlineStr">
        <is>
          <t xml:space="preserve">QB </t>
        </is>
      </c>
      <c r="S6" t="n">
        <v>6</v>
      </c>
      <c r="T6" t="n">
        <v>6</v>
      </c>
      <c r="U6" t="inlineStr">
        <is>
          <t>1997-02-23</t>
        </is>
      </c>
      <c r="V6" t="inlineStr">
        <is>
          <t>1997-02-23</t>
        </is>
      </c>
      <c r="W6" t="inlineStr">
        <is>
          <t>1994-08-11</t>
        </is>
      </c>
      <c r="X6" t="inlineStr">
        <is>
          <t>1994-08-11</t>
        </is>
      </c>
      <c r="Y6" t="n">
        <v>525</v>
      </c>
      <c r="Z6" t="n">
        <v>396</v>
      </c>
      <c r="AA6" t="n">
        <v>402</v>
      </c>
      <c r="AB6" t="n">
        <v>3</v>
      </c>
      <c r="AC6" t="n">
        <v>3</v>
      </c>
      <c r="AD6" t="n">
        <v>13</v>
      </c>
      <c r="AE6" t="n">
        <v>13</v>
      </c>
      <c r="AF6" t="n">
        <v>6</v>
      </c>
      <c r="AG6" t="n">
        <v>6</v>
      </c>
      <c r="AH6" t="n">
        <v>1</v>
      </c>
      <c r="AI6" t="n">
        <v>1</v>
      </c>
      <c r="AJ6" t="n">
        <v>7</v>
      </c>
      <c r="AK6" t="n">
        <v>7</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HYPERLINK("https://creighton-primo.hosted.exlibrisgroup.com/primo-explore/search?tab=default_tab&amp;search_scope=EVERYTHING&amp;vid=01CRU&amp;lang=en_US&amp;offset=0&amp;query=any,contains,991002121199702656","Catalog Record")</f>
        <v/>
      </c>
      <c r="AT6">
        <f>HYPERLINK("http://www.worldcat.org/oclc/27186135","WorldCat Record")</f>
        <v/>
      </c>
      <c r="AU6" t="inlineStr">
        <is>
          <t>343282:eng</t>
        </is>
      </c>
      <c r="AV6" t="inlineStr">
        <is>
          <t>27186135</t>
        </is>
      </c>
      <c r="AW6" t="inlineStr">
        <is>
          <t>991002121199702656</t>
        </is>
      </c>
      <c r="AX6" t="inlineStr">
        <is>
          <t>991002121199702656</t>
        </is>
      </c>
      <c r="AY6" t="inlineStr">
        <is>
          <t>2270579650002656</t>
        </is>
      </c>
      <c r="AZ6" t="inlineStr">
        <is>
          <t>BOOK</t>
        </is>
      </c>
      <c r="BB6" t="inlineStr">
        <is>
          <t>9780521444774</t>
        </is>
      </c>
      <c r="BC6" t="inlineStr">
        <is>
          <t>32285001942456</t>
        </is>
      </c>
      <c r="BD6" t="inlineStr">
        <is>
          <t>893433503</t>
        </is>
      </c>
    </row>
    <row r="7">
      <c r="A7" t="inlineStr">
        <is>
          <t>No</t>
        </is>
      </c>
      <c r="B7" t="inlineStr">
        <is>
          <t>QB135 .G47 1982</t>
        </is>
      </c>
      <c r="C7" t="inlineStr">
        <is>
          <t>0                      QB 0135000G  47          1982</t>
        </is>
      </c>
      <c r="D7" t="inlineStr">
        <is>
          <t>Software for photometric astronomy / Silvano Ghedini ; foreword by Russell M. Genet.</t>
        </is>
      </c>
      <c r="F7" t="inlineStr">
        <is>
          <t>No</t>
        </is>
      </c>
      <c r="G7" t="inlineStr">
        <is>
          <t>1</t>
        </is>
      </c>
      <c r="H7" t="inlineStr">
        <is>
          <t>No</t>
        </is>
      </c>
      <c r="I7" t="inlineStr">
        <is>
          <t>No</t>
        </is>
      </c>
      <c r="J7" t="inlineStr">
        <is>
          <t>0</t>
        </is>
      </c>
      <c r="K7" t="inlineStr">
        <is>
          <t>Ghedini, Silvano, 1955-</t>
        </is>
      </c>
      <c r="L7" t="inlineStr">
        <is>
          <t>Richmond, Va. : Willmann-Bell, c1982.</t>
        </is>
      </c>
      <c r="M7" t="inlineStr">
        <is>
          <t>1982</t>
        </is>
      </c>
      <c r="O7" t="inlineStr">
        <is>
          <t>eng</t>
        </is>
      </c>
      <c r="P7" t="inlineStr">
        <is>
          <t>vau</t>
        </is>
      </c>
      <c r="R7" t="inlineStr">
        <is>
          <t xml:space="preserve">QB </t>
        </is>
      </c>
      <c r="S7" t="n">
        <v>2</v>
      </c>
      <c r="T7" t="n">
        <v>2</v>
      </c>
      <c r="U7" t="inlineStr">
        <is>
          <t>1992-10-27</t>
        </is>
      </c>
      <c r="V7" t="inlineStr">
        <is>
          <t>1992-10-27</t>
        </is>
      </c>
      <c r="W7" t="inlineStr">
        <is>
          <t>1992-09-30</t>
        </is>
      </c>
      <c r="X7" t="inlineStr">
        <is>
          <t>1992-09-30</t>
        </is>
      </c>
      <c r="Y7" t="n">
        <v>98</v>
      </c>
      <c r="Z7" t="n">
        <v>74</v>
      </c>
      <c r="AA7" t="n">
        <v>75</v>
      </c>
      <c r="AB7" t="n">
        <v>2</v>
      </c>
      <c r="AC7" t="n">
        <v>2</v>
      </c>
      <c r="AD7" t="n">
        <v>1</v>
      </c>
      <c r="AE7" t="n">
        <v>1</v>
      </c>
      <c r="AF7" t="n">
        <v>0</v>
      </c>
      <c r="AG7" t="n">
        <v>0</v>
      </c>
      <c r="AH7" t="n">
        <v>0</v>
      </c>
      <c r="AI7" t="n">
        <v>0</v>
      </c>
      <c r="AJ7" t="n">
        <v>0</v>
      </c>
      <c r="AK7" t="n">
        <v>0</v>
      </c>
      <c r="AL7" t="n">
        <v>1</v>
      </c>
      <c r="AM7" t="n">
        <v>1</v>
      </c>
      <c r="AN7" t="n">
        <v>0</v>
      </c>
      <c r="AO7" t="n">
        <v>0</v>
      </c>
      <c r="AP7" t="inlineStr">
        <is>
          <t>No</t>
        </is>
      </c>
      <c r="AQ7" t="inlineStr">
        <is>
          <t>Yes</t>
        </is>
      </c>
      <c r="AR7">
        <f>HYPERLINK("http://catalog.hathitrust.org/Record/000774531","HathiTrust Record")</f>
        <v/>
      </c>
      <c r="AS7">
        <f>HYPERLINK("https://creighton-primo.hosted.exlibrisgroup.com/primo-explore/search?tab=default_tab&amp;search_scope=EVERYTHING&amp;vid=01CRU&amp;lang=en_US&amp;offset=0&amp;query=any,contains,991005248719702656","Catalog Record")</f>
        <v/>
      </c>
      <c r="AT7">
        <f>HYPERLINK("http://www.worldcat.org/oclc/8475758","WorldCat Record")</f>
        <v/>
      </c>
      <c r="AU7" t="inlineStr">
        <is>
          <t>565608:eng</t>
        </is>
      </c>
      <c r="AV7" t="inlineStr">
        <is>
          <t>8475758</t>
        </is>
      </c>
      <c r="AW7" t="inlineStr">
        <is>
          <t>991005248719702656</t>
        </is>
      </c>
      <c r="AX7" t="inlineStr">
        <is>
          <t>991005248719702656</t>
        </is>
      </c>
      <c r="AY7" t="inlineStr">
        <is>
          <t>2259594530002656</t>
        </is>
      </c>
      <c r="AZ7" t="inlineStr">
        <is>
          <t>BOOK</t>
        </is>
      </c>
      <c r="BB7" t="inlineStr">
        <is>
          <t>9780943396002</t>
        </is>
      </c>
      <c r="BC7" t="inlineStr">
        <is>
          <t>32285001323517</t>
        </is>
      </c>
      <c r="BD7" t="inlineStr">
        <is>
          <t>893619692</t>
        </is>
      </c>
    </row>
    <row r="8">
      <c r="A8" t="inlineStr">
        <is>
          <t>No</t>
        </is>
      </c>
      <c r="B8" t="inlineStr">
        <is>
          <t>QB135 .S68 1983</t>
        </is>
      </c>
      <c r="C8" t="inlineStr">
        <is>
          <t>0                      QB 0135000S  68          1983</t>
        </is>
      </c>
      <c r="D8" t="inlineStr">
        <is>
          <t>Solar system photometry handbook / edited by Russell M. Genet.</t>
        </is>
      </c>
      <c r="F8" t="inlineStr">
        <is>
          <t>No</t>
        </is>
      </c>
      <c r="G8" t="inlineStr">
        <is>
          <t>1</t>
        </is>
      </c>
      <c r="H8" t="inlineStr">
        <is>
          <t>No</t>
        </is>
      </c>
      <c r="I8" t="inlineStr">
        <is>
          <t>No</t>
        </is>
      </c>
      <c r="J8" t="inlineStr">
        <is>
          <t>0</t>
        </is>
      </c>
      <c r="L8" t="inlineStr">
        <is>
          <t>Richmond, Va. : Willmann-Bell, c1983.</t>
        </is>
      </c>
      <c r="M8" t="inlineStr">
        <is>
          <t>1983</t>
        </is>
      </c>
      <c r="O8" t="inlineStr">
        <is>
          <t>eng</t>
        </is>
      </c>
      <c r="P8" t="inlineStr">
        <is>
          <t>vau</t>
        </is>
      </c>
      <c r="R8" t="inlineStr">
        <is>
          <t xml:space="preserve">QB </t>
        </is>
      </c>
      <c r="S8" t="n">
        <v>1</v>
      </c>
      <c r="T8" t="n">
        <v>1</v>
      </c>
      <c r="U8" t="inlineStr">
        <is>
          <t>2005-11-27</t>
        </is>
      </c>
      <c r="V8" t="inlineStr">
        <is>
          <t>2005-11-27</t>
        </is>
      </c>
      <c r="W8" t="inlineStr">
        <is>
          <t>1992-11-18</t>
        </is>
      </c>
      <c r="X8" t="inlineStr">
        <is>
          <t>1992-11-18</t>
        </is>
      </c>
      <c r="Y8" t="n">
        <v>182</v>
      </c>
      <c r="Z8" t="n">
        <v>156</v>
      </c>
      <c r="AA8" t="n">
        <v>157</v>
      </c>
      <c r="AB8" t="n">
        <v>1</v>
      </c>
      <c r="AC8" t="n">
        <v>1</v>
      </c>
      <c r="AD8" t="n">
        <v>3</v>
      </c>
      <c r="AE8" t="n">
        <v>3</v>
      </c>
      <c r="AF8" t="n">
        <v>2</v>
      </c>
      <c r="AG8" t="n">
        <v>2</v>
      </c>
      <c r="AH8" t="n">
        <v>2</v>
      </c>
      <c r="AI8" t="n">
        <v>2</v>
      </c>
      <c r="AJ8" t="n">
        <v>1</v>
      </c>
      <c r="AK8" t="n">
        <v>1</v>
      </c>
      <c r="AL8" t="n">
        <v>0</v>
      </c>
      <c r="AM8" t="n">
        <v>0</v>
      </c>
      <c r="AN8" t="n">
        <v>0</v>
      </c>
      <c r="AO8" t="n">
        <v>0</v>
      </c>
      <c r="AP8" t="inlineStr">
        <is>
          <t>No</t>
        </is>
      </c>
      <c r="AQ8" t="inlineStr">
        <is>
          <t>Yes</t>
        </is>
      </c>
      <c r="AR8">
        <f>HYPERLINK("http://catalog.hathitrust.org/Record/000451943","HathiTrust Record")</f>
        <v/>
      </c>
      <c r="AS8">
        <f>HYPERLINK("https://creighton-primo.hosted.exlibrisgroup.com/primo-explore/search?tab=default_tab&amp;search_scope=EVERYTHING&amp;vid=01CRU&amp;lang=en_US&amp;offset=0&amp;query=any,contains,991000304739702656","Catalog Record")</f>
        <v/>
      </c>
      <c r="AT8">
        <f>HYPERLINK("http://www.worldcat.org/oclc/10046242","WorldCat Record")</f>
        <v/>
      </c>
      <c r="AU8" t="inlineStr">
        <is>
          <t>3782715:eng</t>
        </is>
      </c>
      <c r="AV8" t="inlineStr">
        <is>
          <t>10046242</t>
        </is>
      </c>
      <c r="AW8" t="inlineStr">
        <is>
          <t>991000304739702656</t>
        </is>
      </c>
      <c r="AX8" t="inlineStr">
        <is>
          <t>991000304739702656</t>
        </is>
      </c>
      <c r="AY8" t="inlineStr">
        <is>
          <t>2258546250002656</t>
        </is>
      </c>
      <c r="AZ8" t="inlineStr">
        <is>
          <t>BOOK</t>
        </is>
      </c>
      <c r="BB8" t="inlineStr">
        <is>
          <t>9780943396033</t>
        </is>
      </c>
      <c r="BC8" t="inlineStr">
        <is>
          <t>32285001432383</t>
        </is>
      </c>
      <c r="BD8" t="inlineStr">
        <is>
          <t>893339451</t>
        </is>
      </c>
    </row>
    <row r="9">
      <c r="A9" t="inlineStr">
        <is>
          <t>No</t>
        </is>
      </c>
      <c r="B9" t="inlineStr">
        <is>
          <t>QB136 .A79 1983</t>
        </is>
      </c>
      <c r="C9" t="inlineStr">
        <is>
          <t>0                      QB 0136000A  79          1983</t>
        </is>
      </c>
      <c r="D9" t="inlineStr">
        <is>
          <t>Astronomy from space : Sputnik to space telescope / edited by James Cornell and Paul Gorenstein.</t>
        </is>
      </c>
      <c r="F9" t="inlineStr">
        <is>
          <t>No</t>
        </is>
      </c>
      <c r="G9" t="inlineStr">
        <is>
          <t>1</t>
        </is>
      </c>
      <c r="H9" t="inlineStr">
        <is>
          <t>No</t>
        </is>
      </c>
      <c r="I9" t="inlineStr">
        <is>
          <t>No</t>
        </is>
      </c>
      <c r="J9" t="inlineStr">
        <is>
          <t>0</t>
        </is>
      </c>
      <c r="L9" t="inlineStr">
        <is>
          <t>Cambridge, Mass. : MIT Press, c1983, 1984 printing.</t>
        </is>
      </c>
      <c r="M9" t="inlineStr">
        <is>
          <t>1983</t>
        </is>
      </c>
      <c r="O9" t="inlineStr">
        <is>
          <t>eng</t>
        </is>
      </c>
      <c r="P9" t="inlineStr">
        <is>
          <t>mau</t>
        </is>
      </c>
      <c r="R9" t="inlineStr">
        <is>
          <t xml:space="preserve">QB </t>
        </is>
      </c>
      <c r="S9" t="n">
        <v>1</v>
      </c>
      <c r="T9" t="n">
        <v>1</v>
      </c>
      <c r="U9" t="inlineStr">
        <is>
          <t>2005-11-27</t>
        </is>
      </c>
      <c r="V9" t="inlineStr">
        <is>
          <t>2005-11-27</t>
        </is>
      </c>
      <c r="W9" t="inlineStr">
        <is>
          <t>1992-11-18</t>
        </is>
      </c>
      <c r="X9" t="inlineStr">
        <is>
          <t>1992-11-18</t>
        </is>
      </c>
      <c r="Y9" t="n">
        <v>733</v>
      </c>
      <c r="Z9" t="n">
        <v>647</v>
      </c>
      <c r="AA9" t="n">
        <v>654</v>
      </c>
      <c r="AB9" t="n">
        <v>5</v>
      </c>
      <c r="AC9" t="n">
        <v>5</v>
      </c>
      <c r="AD9" t="n">
        <v>19</v>
      </c>
      <c r="AE9" t="n">
        <v>19</v>
      </c>
      <c r="AF9" t="n">
        <v>9</v>
      </c>
      <c r="AG9" t="n">
        <v>9</v>
      </c>
      <c r="AH9" t="n">
        <v>4</v>
      </c>
      <c r="AI9" t="n">
        <v>4</v>
      </c>
      <c r="AJ9" t="n">
        <v>7</v>
      </c>
      <c r="AK9" t="n">
        <v>7</v>
      </c>
      <c r="AL9" t="n">
        <v>4</v>
      </c>
      <c r="AM9" t="n">
        <v>4</v>
      </c>
      <c r="AN9" t="n">
        <v>0</v>
      </c>
      <c r="AO9" t="n">
        <v>0</v>
      </c>
      <c r="AP9" t="inlineStr">
        <is>
          <t>No</t>
        </is>
      </c>
      <c r="AQ9" t="inlineStr">
        <is>
          <t>No</t>
        </is>
      </c>
      <c r="AS9">
        <f>HYPERLINK("https://creighton-primo.hosted.exlibrisgroup.com/primo-explore/search?tab=default_tab&amp;search_scope=EVERYTHING&amp;vid=01CRU&amp;lang=en_US&amp;offset=0&amp;query=any,contains,991000196079702656","Catalog Record")</f>
        <v/>
      </c>
      <c r="AT9">
        <f>HYPERLINK("http://www.worldcat.org/oclc/9441394","WorldCat Record")</f>
        <v/>
      </c>
      <c r="AU9" t="inlineStr">
        <is>
          <t>836721915:eng</t>
        </is>
      </c>
      <c r="AV9" t="inlineStr">
        <is>
          <t>9441394</t>
        </is>
      </c>
      <c r="AW9" t="inlineStr">
        <is>
          <t>991000196079702656</t>
        </is>
      </c>
      <c r="AX9" t="inlineStr">
        <is>
          <t>991000196079702656</t>
        </is>
      </c>
      <c r="AY9" t="inlineStr">
        <is>
          <t>2264878510002656</t>
        </is>
      </c>
      <c r="AZ9" t="inlineStr">
        <is>
          <t>BOOK</t>
        </is>
      </c>
      <c r="BB9" t="inlineStr">
        <is>
          <t>9780262030977</t>
        </is>
      </c>
      <c r="BC9" t="inlineStr">
        <is>
          <t>32285001432391</t>
        </is>
      </c>
      <c r="BD9" t="inlineStr">
        <is>
          <t>893431781</t>
        </is>
      </c>
    </row>
    <row r="10">
      <c r="A10" t="inlineStr">
        <is>
          <t>No</t>
        </is>
      </c>
      <c r="B10" t="inlineStr">
        <is>
          <t>QB136 .D38 1988</t>
        </is>
      </c>
      <c r="C10" t="inlineStr">
        <is>
          <t>0                      QB 0136000D  38          1988</t>
        </is>
      </c>
      <c r="D10" t="inlineStr">
        <is>
          <t>Satellite astronomy : the principles and practice of astronomy from space / John K. Davies.</t>
        </is>
      </c>
      <c r="F10" t="inlineStr">
        <is>
          <t>No</t>
        </is>
      </c>
      <c r="G10" t="inlineStr">
        <is>
          <t>1</t>
        </is>
      </c>
      <c r="H10" t="inlineStr">
        <is>
          <t>No</t>
        </is>
      </c>
      <c r="I10" t="inlineStr">
        <is>
          <t>No</t>
        </is>
      </c>
      <c r="J10" t="inlineStr">
        <is>
          <t>0</t>
        </is>
      </c>
      <c r="K10" t="inlineStr">
        <is>
          <t>Davies, John Keith.</t>
        </is>
      </c>
      <c r="L10" t="inlineStr">
        <is>
          <t>Chichester : E. Horwood ; New York : Halsted Press, 1988.</t>
        </is>
      </c>
      <c r="M10" t="inlineStr">
        <is>
          <t>1988</t>
        </is>
      </c>
      <c r="O10" t="inlineStr">
        <is>
          <t>eng</t>
        </is>
      </c>
      <c r="P10" t="inlineStr">
        <is>
          <t>enk</t>
        </is>
      </c>
      <c r="Q10" t="inlineStr">
        <is>
          <t>Ellis Horwood library of space science and space technology. Series in astronomy</t>
        </is>
      </c>
      <c r="R10" t="inlineStr">
        <is>
          <t xml:space="preserve">QB </t>
        </is>
      </c>
      <c r="S10" t="n">
        <v>3</v>
      </c>
      <c r="T10" t="n">
        <v>3</v>
      </c>
      <c r="U10" t="inlineStr">
        <is>
          <t>2005-11-27</t>
        </is>
      </c>
      <c r="V10" t="inlineStr">
        <is>
          <t>2005-11-27</t>
        </is>
      </c>
      <c r="W10" t="inlineStr">
        <is>
          <t>1989-12-18</t>
        </is>
      </c>
      <c r="X10" t="inlineStr">
        <is>
          <t>1989-12-18</t>
        </is>
      </c>
      <c r="Y10" t="n">
        <v>219</v>
      </c>
      <c r="Z10" t="n">
        <v>160</v>
      </c>
      <c r="AA10" t="n">
        <v>161</v>
      </c>
      <c r="AB10" t="n">
        <v>3</v>
      </c>
      <c r="AC10" t="n">
        <v>3</v>
      </c>
      <c r="AD10" t="n">
        <v>7</v>
      </c>
      <c r="AE10" t="n">
        <v>7</v>
      </c>
      <c r="AF10" t="n">
        <v>3</v>
      </c>
      <c r="AG10" t="n">
        <v>3</v>
      </c>
      <c r="AH10" t="n">
        <v>2</v>
      </c>
      <c r="AI10" t="n">
        <v>2</v>
      </c>
      <c r="AJ10" t="n">
        <v>2</v>
      </c>
      <c r="AK10" t="n">
        <v>2</v>
      </c>
      <c r="AL10" t="n">
        <v>2</v>
      </c>
      <c r="AM10" t="n">
        <v>2</v>
      </c>
      <c r="AN10" t="n">
        <v>0</v>
      </c>
      <c r="AO10" t="n">
        <v>0</v>
      </c>
      <c r="AP10" t="inlineStr">
        <is>
          <t>No</t>
        </is>
      </c>
      <c r="AQ10" t="inlineStr">
        <is>
          <t>Yes</t>
        </is>
      </c>
      <c r="AR10">
        <f>HYPERLINK("http://catalog.hathitrust.org/Record/001541795","HathiTrust Record")</f>
        <v/>
      </c>
      <c r="AS10">
        <f>HYPERLINK("https://creighton-primo.hosted.exlibrisgroup.com/primo-explore/search?tab=default_tab&amp;search_scope=EVERYTHING&amp;vid=01CRU&amp;lang=en_US&amp;offset=0&amp;query=any,contains,991001320649702656","Catalog Record")</f>
        <v/>
      </c>
      <c r="AT10">
        <f>HYPERLINK("http://www.worldcat.org/oclc/18223548","WorldCat Record")</f>
        <v/>
      </c>
      <c r="AU10" t="inlineStr">
        <is>
          <t>889448889:eng</t>
        </is>
      </c>
      <c r="AV10" t="inlineStr">
        <is>
          <t>18223548</t>
        </is>
      </c>
      <c r="AW10" t="inlineStr">
        <is>
          <t>991001320649702656</t>
        </is>
      </c>
      <c r="AX10" t="inlineStr">
        <is>
          <t>991001320649702656</t>
        </is>
      </c>
      <c r="AY10" t="inlineStr">
        <is>
          <t>2261420960002656</t>
        </is>
      </c>
      <c r="AZ10" t="inlineStr">
        <is>
          <t>BOOK</t>
        </is>
      </c>
      <c r="BB10" t="inlineStr">
        <is>
          <t>9780470211748</t>
        </is>
      </c>
      <c r="BC10" t="inlineStr">
        <is>
          <t>32285000018092</t>
        </is>
      </c>
      <c r="BD10" t="inlineStr">
        <is>
          <t>893809033</t>
        </is>
      </c>
    </row>
    <row r="11">
      <c r="A11" t="inlineStr">
        <is>
          <t>No</t>
        </is>
      </c>
      <c r="B11" t="inlineStr">
        <is>
          <t>QB14 .W413 1976</t>
        </is>
      </c>
      <c r="C11" t="inlineStr">
        <is>
          <t>0                      QB 0014000W  413         1976</t>
        </is>
      </c>
      <c r="D11" t="inlineStr">
        <is>
          <t>Concise encyclopedia of astronomy / A. Weigert and H. Zimmermann ; translated by J. Home Dickson.</t>
        </is>
      </c>
      <c r="F11" t="inlineStr">
        <is>
          <t>No</t>
        </is>
      </c>
      <c r="G11" t="inlineStr">
        <is>
          <t>1</t>
        </is>
      </c>
      <c r="H11" t="inlineStr">
        <is>
          <t>No</t>
        </is>
      </c>
      <c r="I11" t="inlineStr">
        <is>
          <t>No</t>
        </is>
      </c>
      <c r="J11" t="inlineStr">
        <is>
          <t>0</t>
        </is>
      </c>
      <c r="K11" t="inlineStr">
        <is>
          <t>Weigert, A. (Alfred), 1927-1992.</t>
        </is>
      </c>
      <c r="L11" t="inlineStr">
        <is>
          <t>London : A. Hilger, 1976.</t>
        </is>
      </c>
      <c r="M11" t="inlineStr">
        <is>
          <t>1976</t>
        </is>
      </c>
      <c r="N11" t="inlineStr">
        <is>
          <t>2d English ed. / rev. by H. Zimmermann.</t>
        </is>
      </c>
      <c r="O11" t="inlineStr">
        <is>
          <t>eng</t>
        </is>
      </c>
      <c r="P11" t="inlineStr">
        <is>
          <t>enk</t>
        </is>
      </c>
      <c r="R11" t="inlineStr">
        <is>
          <t xml:space="preserve">QB </t>
        </is>
      </c>
      <c r="S11" t="n">
        <v>6</v>
      </c>
      <c r="T11" t="n">
        <v>6</v>
      </c>
      <c r="U11" t="inlineStr">
        <is>
          <t>1996-11-11</t>
        </is>
      </c>
      <c r="V11" t="inlineStr">
        <is>
          <t>1996-11-11</t>
        </is>
      </c>
      <c r="W11" t="inlineStr">
        <is>
          <t>1992-11-16</t>
        </is>
      </c>
      <c r="X11" t="inlineStr">
        <is>
          <t>1992-11-16</t>
        </is>
      </c>
      <c r="Y11" t="n">
        <v>327</v>
      </c>
      <c r="Z11" t="n">
        <v>258</v>
      </c>
      <c r="AA11" t="n">
        <v>538</v>
      </c>
      <c r="AB11" t="n">
        <v>1</v>
      </c>
      <c r="AC11" t="n">
        <v>2</v>
      </c>
      <c r="AD11" t="n">
        <v>1</v>
      </c>
      <c r="AE11" t="n">
        <v>12</v>
      </c>
      <c r="AF11" t="n">
        <v>0</v>
      </c>
      <c r="AG11" t="n">
        <v>3</v>
      </c>
      <c r="AH11" t="n">
        <v>0</v>
      </c>
      <c r="AI11" t="n">
        <v>2</v>
      </c>
      <c r="AJ11" t="n">
        <v>1</v>
      </c>
      <c r="AK11" t="n">
        <v>7</v>
      </c>
      <c r="AL11" t="n">
        <v>0</v>
      </c>
      <c r="AM11" t="n">
        <v>1</v>
      </c>
      <c r="AN11" t="n">
        <v>0</v>
      </c>
      <c r="AO11" t="n">
        <v>0</v>
      </c>
      <c r="AP11" t="inlineStr">
        <is>
          <t>No</t>
        </is>
      </c>
      <c r="AQ11" t="inlineStr">
        <is>
          <t>Yes</t>
        </is>
      </c>
      <c r="AR11">
        <f>HYPERLINK("http://catalog.hathitrust.org/Record/000228857","HathiTrust Record")</f>
        <v/>
      </c>
      <c r="AS11">
        <f>HYPERLINK("https://creighton-primo.hosted.exlibrisgroup.com/primo-explore/search?tab=default_tab&amp;search_scope=EVERYTHING&amp;vid=01CRU&amp;lang=en_US&amp;offset=0&amp;query=any,contains,991004227219702656","Catalog Record")</f>
        <v/>
      </c>
      <c r="AT11">
        <f>HYPERLINK("http://www.worldcat.org/oclc/2735470","WorldCat Record")</f>
        <v/>
      </c>
      <c r="AU11" t="inlineStr">
        <is>
          <t>4160124214:eng</t>
        </is>
      </c>
      <c r="AV11" t="inlineStr">
        <is>
          <t>2735470</t>
        </is>
      </c>
      <c r="AW11" t="inlineStr">
        <is>
          <t>991004227219702656</t>
        </is>
      </c>
      <c r="AX11" t="inlineStr">
        <is>
          <t>991004227219702656</t>
        </is>
      </c>
      <c r="AY11" t="inlineStr">
        <is>
          <t>2259523770002656</t>
        </is>
      </c>
      <c r="AZ11" t="inlineStr">
        <is>
          <t>BOOK</t>
        </is>
      </c>
      <c r="BB11" t="inlineStr">
        <is>
          <t>9780852740996</t>
        </is>
      </c>
      <c r="BC11" t="inlineStr">
        <is>
          <t>32285001430858</t>
        </is>
      </c>
      <c r="BD11" t="inlineStr">
        <is>
          <t>893888445</t>
        </is>
      </c>
    </row>
    <row r="12">
      <c r="A12" t="inlineStr">
        <is>
          <t>No</t>
        </is>
      </c>
      <c r="B12" t="inlineStr">
        <is>
          <t>QB14.5 .T74 1988</t>
        </is>
      </c>
      <c r="C12" t="inlineStr">
        <is>
          <t>0                      QB 0014500T  74          1988</t>
        </is>
      </c>
      <c r="D12" t="inlineStr">
        <is>
          <t>The dark side of the universe : a scientist explores the mysteries of the cosmos / by James Trefil ; illustrations by Judith Peatross.</t>
        </is>
      </c>
      <c r="F12" t="inlineStr">
        <is>
          <t>No</t>
        </is>
      </c>
      <c r="G12" t="inlineStr">
        <is>
          <t>1</t>
        </is>
      </c>
      <c r="H12" t="inlineStr">
        <is>
          <t>No</t>
        </is>
      </c>
      <c r="I12" t="inlineStr">
        <is>
          <t>No</t>
        </is>
      </c>
      <c r="J12" t="inlineStr">
        <is>
          <t>0</t>
        </is>
      </c>
      <c r="K12" t="inlineStr">
        <is>
          <t>Trefil, James, 1938-</t>
        </is>
      </c>
      <c r="L12" t="inlineStr">
        <is>
          <t>New York : Scribner's, c1988.</t>
        </is>
      </c>
      <c r="M12" t="inlineStr">
        <is>
          <t>1988</t>
        </is>
      </c>
      <c r="O12" t="inlineStr">
        <is>
          <t>eng</t>
        </is>
      </c>
      <c r="P12" t="inlineStr">
        <is>
          <t>nyu</t>
        </is>
      </c>
      <c r="R12" t="inlineStr">
        <is>
          <t xml:space="preserve">QB </t>
        </is>
      </c>
      <c r="S12" t="n">
        <v>2</v>
      </c>
      <c r="T12" t="n">
        <v>2</v>
      </c>
      <c r="U12" t="inlineStr">
        <is>
          <t>1997-10-31</t>
        </is>
      </c>
      <c r="V12" t="inlineStr">
        <is>
          <t>1997-10-31</t>
        </is>
      </c>
      <c r="W12" t="inlineStr">
        <is>
          <t>1992-11-16</t>
        </is>
      </c>
      <c r="X12" t="inlineStr">
        <is>
          <t>1992-11-16</t>
        </is>
      </c>
      <c r="Y12" t="n">
        <v>990</v>
      </c>
      <c r="Z12" t="n">
        <v>926</v>
      </c>
      <c r="AA12" t="n">
        <v>1023</v>
      </c>
      <c r="AB12" t="n">
        <v>8</v>
      </c>
      <c r="AC12" t="n">
        <v>8</v>
      </c>
      <c r="AD12" t="n">
        <v>32</v>
      </c>
      <c r="AE12" t="n">
        <v>34</v>
      </c>
      <c r="AF12" t="n">
        <v>13</v>
      </c>
      <c r="AG12" t="n">
        <v>13</v>
      </c>
      <c r="AH12" t="n">
        <v>7</v>
      </c>
      <c r="AI12" t="n">
        <v>7</v>
      </c>
      <c r="AJ12" t="n">
        <v>13</v>
      </c>
      <c r="AK12" t="n">
        <v>15</v>
      </c>
      <c r="AL12" t="n">
        <v>6</v>
      </c>
      <c r="AM12" t="n">
        <v>6</v>
      </c>
      <c r="AN12" t="n">
        <v>0</v>
      </c>
      <c r="AO12" t="n">
        <v>0</v>
      </c>
      <c r="AP12" t="inlineStr">
        <is>
          <t>No</t>
        </is>
      </c>
      <c r="AQ12" t="inlineStr">
        <is>
          <t>Yes</t>
        </is>
      </c>
      <c r="AR12">
        <f>HYPERLINK("http://catalog.hathitrust.org/Record/000927691","HathiTrust Record")</f>
        <v/>
      </c>
      <c r="AS12">
        <f>HYPERLINK("https://creighton-primo.hosted.exlibrisgroup.com/primo-explore/search?tab=default_tab&amp;search_scope=EVERYTHING&amp;vid=01CRU&amp;lang=en_US&amp;offset=0&amp;query=any,contains,991005408889702656","Catalog Record")</f>
        <v/>
      </c>
      <c r="AT12">
        <f>HYPERLINK("http://www.worldcat.org/oclc/17439477","WorldCat Record")</f>
        <v/>
      </c>
      <c r="AU12" t="inlineStr">
        <is>
          <t>792576816:eng</t>
        </is>
      </c>
      <c r="AV12" t="inlineStr">
        <is>
          <t>17439477</t>
        </is>
      </c>
      <c r="AW12" t="inlineStr">
        <is>
          <t>991005408889702656</t>
        </is>
      </c>
      <c r="AX12" t="inlineStr">
        <is>
          <t>991005408889702656</t>
        </is>
      </c>
      <c r="AY12" t="inlineStr">
        <is>
          <t>2265781950002656</t>
        </is>
      </c>
      <c r="AZ12" t="inlineStr">
        <is>
          <t>BOOK</t>
        </is>
      </c>
      <c r="BB12" t="inlineStr">
        <is>
          <t>9780684187952</t>
        </is>
      </c>
      <c r="BC12" t="inlineStr">
        <is>
          <t>32285001430866</t>
        </is>
      </c>
      <c r="BD12" t="inlineStr">
        <is>
          <t>893242700</t>
        </is>
      </c>
    </row>
    <row r="13">
      <c r="A13" t="inlineStr">
        <is>
          <t>No</t>
        </is>
      </c>
      <c r="B13" t="inlineStr">
        <is>
          <t>QB145 .B75</t>
        </is>
      </c>
      <c r="C13" t="inlineStr">
        <is>
          <t>0                      QB 0145000B  75</t>
        </is>
      </c>
      <c r="D13" t="inlineStr">
        <is>
          <t>Man and the stars / Hanbury Brown.</t>
        </is>
      </c>
      <c r="F13" t="inlineStr">
        <is>
          <t>No</t>
        </is>
      </c>
      <c r="G13" t="inlineStr">
        <is>
          <t>1</t>
        </is>
      </c>
      <c r="H13" t="inlineStr">
        <is>
          <t>No</t>
        </is>
      </c>
      <c r="I13" t="inlineStr">
        <is>
          <t>No</t>
        </is>
      </c>
      <c r="J13" t="inlineStr">
        <is>
          <t>0</t>
        </is>
      </c>
      <c r="K13" t="inlineStr">
        <is>
          <t>Brown, R. Hanbury (Robert Hanbury)</t>
        </is>
      </c>
      <c r="L13" t="inlineStr">
        <is>
          <t>Oxford ; New York : Oxford University Press, 1978.</t>
        </is>
      </c>
      <c r="M13" t="inlineStr">
        <is>
          <t>1978</t>
        </is>
      </c>
      <c r="O13" t="inlineStr">
        <is>
          <t>eng</t>
        </is>
      </c>
      <c r="P13" t="inlineStr">
        <is>
          <t>enk</t>
        </is>
      </c>
      <c r="R13" t="inlineStr">
        <is>
          <t xml:space="preserve">QB </t>
        </is>
      </c>
      <c r="S13" t="n">
        <v>2</v>
      </c>
      <c r="T13" t="n">
        <v>2</v>
      </c>
      <c r="U13" t="inlineStr">
        <is>
          <t>1996-11-10</t>
        </is>
      </c>
      <c r="V13" t="inlineStr">
        <is>
          <t>1996-11-10</t>
        </is>
      </c>
      <c r="W13" t="inlineStr">
        <is>
          <t>1992-11-18</t>
        </is>
      </c>
      <c r="X13" t="inlineStr">
        <is>
          <t>1992-11-18</t>
        </is>
      </c>
      <c r="Y13" t="n">
        <v>993</v>
      </c>
      <c r="Z13" t="n">
        <v>813</v>
      </c>
      <c r="AA13" t="n">
        <v>819</v>
      </c>
      <c r="AB13" t="n">
        <v>4</v>
      </c>
      <c r="AC13" t="n">
        <v>4</v>
      </c>
      <c r="AD13" t="n">
        <v>19</v>
      </c>
      <c r="AE13" t="n">
        <v>19</v>
      </c>
      <c r="AF13" t="n">
        <v>7</v>
      </c>
      <c r="AG13" t="n">
        <v>7</v>
      </c>
      <c r="AH13" t="n">
        <v>4</v>
      </c>
      <c r="AI13" t="n">
        <v>4</v>
      </c>
      <c r="AJ13" t="n">
        <v>9</v>
      </c>
      <c r="AK13" t="n">
        <v>9</v>
      </c>
      <c r="AL13" t="n">
        <v>2</v>
      </c>
      <c r="AM13" t="n">
        <v>2</v>
      </c>
      <c r="AN13" t="n">
        <v>0</v>
      </c>
      <c r="AO13" t="n">
        <v>0</v>
      </c>
      <c r="AP13" t="inlineStr">
        <is>
          <t>No</t>
        </is>
      </c>
      <c r="AQ13" t="inlineStr">
        <is>
          <t>Yes</t>
        </is>
      </c>
      <c r="AR13">
        <f>HYPERLINK("http://catalog.hathitrust.org/Record/000176612","HathiTrust Record")</f>
        <v/>
      </c>
      <c r="AS13">
        <f>HYPERLINK("https://creighton-primo.hosted.exlibrisgroup.com/primo-explore/search?tab=default_tab&amp;search_scope=EVERYTHING&amp;vid=01CRU&amp;lang=en_US&amp;offset=0&amp;query=any,contains,991004564749702656","Catalog Record")</f>
        <v/>
      </c>
      <c r="AT13">
        <f>HYPERLINK("http://www.worldcat.org/oclc/4004209","WorldCat Record")</f>
        <v/>
      </c>
      <c r="AU13" t="inlineStr">
        <is>
          <t>3769658045:eng</t>
        </is>
      </c>
      <c r="AV13" t="inlineStr">
        <is>
          <t>4004209</t>
        </is>
      </c>
      <c r="AW13" t="inlineStr">
        <is>
          <t>991004564749702656</t>
        </is>
      </c>
      <c r="AX13" t="inlineStr">
        <is>
          <t>991004564749702656</t>
        </is>
      </c>
      <c r="AY13" t="inlineStr">
        <is>
          <t>2265241040002656</t>
        </is>
      </c>
      <c r="AZ13" t="inlineStr">
        <is>
          <t>BOOK</t>
        </is>
      </c>
      <c r="BB13" t="inlineStr">
        <is>
          <t>9780198510017</t>
        </is>
      </c>
      <c r="BC13" t="inlineStr">
        <is>
          <t>32285001432409</t>
        </is>
      </c>
      <c r="BD13" t="inlineStr">
        <is>
          <t>893343999</t>
        </is>
      </c>
    </row>
    <row r="14">
      <c r="A14" t="inlineStr">
        <is>
          <t>No</t>
        </is>
      </c>
      <c r="B14" t="inlineStr">
        <is>
          <t>QB149 .T33</t>
        </is>
      </c>
      <c r="C14" t="inlineStr">
        <is>
          <t>0                      QB 0149000T  33</t>
        </is>
      </c>
      <c r="D14" t="inlineStr">
        <is>
          <t>Computational spherical astronomy / Laurence G. Taff.</t>
        </is>
      </c>
      <c r="F14" t="inlineStr">
        <is>
          <t>No</t>
        </is>
      </c>
      <c r="G14" t="inlineStr">
        <is>
          <t>1</t>
        </is>
      </c>
      <c r="H14" t="inlineStr">
        <is>
          <t>No</t>
        </is>
      </c>
      <c r="I14" t="inlineStr">
        <is>
          <t>No</t>
        </is>
      </c>
      <c r="J14" t="inlineStr">
        <is>
          <t>0</t>
        </is>
      </c>
      <c r="K14" t="inlineStr">
        <is>
          <t>Taff, Laurence G., 1947-</t>
        </is>
      </c>
      <c r="L14" t="inlineStr">
        <is>
          <t>New York : Wiley, c1981.</t>
        </is>
      </c>
      <c r="M14" t="inlineStr">
        <is>
          <t>1981</t>
        </is>
      </c>
      <c r="O14" t="inlineStr">
        <is>
          <t>eng</t>
        </is>
      </c>
      <c r="P14" t="inlineStr">
        <is>
          <t>nyu</t>
        </is>
      </c>
      <c r="R14" t="inlineStr">
        <is>
          <t xml:space="preserve">QB </t>
        </is>
      </c>
      <c r="S14" t="n">
        <v>3</v>
      </c>
      <c r="T14" t="n">
        <v>3</v>
      </c>
      <c r="U14" t="inlineStr">
        <is>
          <t>1996-09-30</t>
        </is>
      </c>
      <c r="V14" t="inlineStr">
        <is>
          <t>1996-09-30</t>
        </is>
      </c>
      <c r="W14" t="inlineStr">
        <is>
          <t>1992-11-18</t>
        </is>
      </c>
      <c r="X14" t="inlineStr">
        <is>
          <t>1992-11-18</t>
        </is>
      </c>
      <c r="Y14" t="n">
        <v>362</v>
      </c>
      <c r="Z14" t="n">
        <v>275</v>
      </c>
      <c r="AA14" t="n">
        <v>300</v>
      </c>
      <c r="AB14" t="n">
        <v>1</v>
      </c>
      <c r="AC14" t="n">
        <v>1</v>
      </c>
      <c r="AD14" t="n">
        <v>5</v>
      </c>
      <c r="AE14" t="n">
        <v>6</v>
      </c>
      <c r="AF14" t="n">
        <v>2</v>
      </c>
      <c r="AG14" t="n">
        <v>3</v>
      </c>
      <c r="AH14" t="n">
        <v>1</v>
      </c>
      <c r="AI14" t="n">
        <v>1</v>
      </c>
      <c r="AJ14" t="n">
        <v>4</v>
      </c>
      <c r="AK14" t="n">
        <v>5</v>
      </c>
      <c r="AL14" t="n">
        <v>0</v>
      </c>
      <c r="AM14" t="n">
        <v>0</v>
      </c>
      <c r="AN14" t="n">
        <v>0</v>
      </c>
      <c r="AO14" t="n">
        <v>0</v>
      </c>
      <c r="AP14" t="inlineStr">
        <is>
          <t>No</t>
        </is>
      </c>
      <c r="AQ14" t="inlineStr">
        <is>
          <t>Yes</t>
        </is>
      </c>
      <c r="AR14">
        <f>HYPERLINK("http://catalog.hathitrust.org/Record/000084238","HathiTrust Record")</f>
        <v/>
      </c>
      <c r="AS14">
        <f>HYPERLINK("https://creighton-primo.hosted.exlibrisgroup.com/primo-explore/search?tab=default_tab&amp;search_scope=EVERYTHING&amp;vid=01CRU&amp;lang=en_US&amp;offset=0&amp;query=any,contains,991004998449702656","Catalog Record")</f>
        <v/>
      </c>
      <c r="AT14">
        <f>HYPERLINK("http://www.worldcat.org/oclc/6532537","WorldCat Record")</f>
        <v/>
      </c>
      <c r="AU14" t="inlineStr">
        <is>
          <t>22909622:eng</t>
        </is>
      </c>
      <c r="AV14" t="inlineStr">
        <is>
          <t>6532537</t>
        </is>
      </c>
      <c r="AW14" t="inlineStr">
        <is>
          <t>991004998449702656</t>
        </is>
      </c>
      <c r="AX14" t="inlineStr">
        <is>
          <t>991004998449702656</t>
        </is>
      </c>
      <c r="AY14" t="inlineStr">
        <is>
          <t>2261976520002656</t>
        </is>
      </c>
      <c r="AZ14" t="inlineStr">
        <is>
          <t>BOOK</t>
        </is>
      </c>
      <c r="BB14" t="inlineStr">
        <is>
          <t>9780471062578</t>
        </is>
      </c>
      <c r="BC14" t="inlineStr">
        <is>
          <t>32285001432417</t>
        </is>
      </c>
      <c r="BD14" t="inlineStr">
        <is>
          <t>893332260</t>
        </is>
      </c>
    </row>
    <row r="15">
      <c r="A15" t="inlineStr">
        <is>
          <t>No</t>
        </is>
      </c>
      <c r="B15" t="inlineStr">
        <is>
          <t>QB15 .C36 1997</t>
        </is>
      </c>
      <c r="C15" t="inlineStr">
        <is>
          <t>0                      QB 0015000C  36          1997</t>
        </is>
      </c>
      <c r="D15" t="inlineStr">
        <is>
          <t>The Cambridge illustrated history of astronomy / edited by Michael Hoskin.</t>
        </is>
      </c>
      <c r="F15" t="inlineStr">
        <is>
          <t>No</t>
        </is>
      </c>
      <c r="G15" t="inlineStr">
        <is>
          <t>1</t>
        </is>
      </c>
      <c r="H15" t="inlineStr">
        <is>
          <t>No</t>
        </is>
      </c>
      <c r="I15" t="inlineStr">
        <is>
          <t>No</t>
        </is>
      </c>
      <c r="J15" t="inlineStr">
        <is>
          <t>0</t>
        </is>
      </c>
      <c r="L15" t="inlineStr">
        <is>
          <t>Cambridge ; New York : Cambridge University Press, 1997.</t>
        </is>
      </c>
      <c r="M15" t="inlineStr">
        <is>
          <t>1997</t>
        </is>
      </c>
      <c r="O15" t="inlineStr">
        <is>
          <t>eng</t>
        </is>
      </c>
      <c r="P15" t="inlineStr">
        <is>
          <t>enk</t>
        </is>
      </c>
      <c r="Q15" t="inlineStr">
        <is>
          <t>Cambridge illustrated history</t>
        </is>
      </c>
      <c r="R15" t="inlineStr">
        <is>
          <t xml:space="preserve">QB </t>
        </is>
      </c>
      <c r="S15" t="n">
        <v>3</v>
      </c>
      <c r="T15" t="n">
        <v>3</v>
      </c>
      <c r="U15" t="inlineStr">
        <is>
          <t>2007-10-02</t>
        </is>
      </c>
      <c r="V15" t="inlineStr">
        <is>
          <t>2007-10-02</t>
        </is>
      </c>
      <c r="W15" t="inlineStr">
        <is>
          <t>1997-03-04</t>
        </is>
      </c>
      <c r="X15" t="inlineStr">
        <is>
          <t>1997-03-04</t>
        </is>
      </c>
      <c r="Y15" t="n">
        <v>1483</v>
      </c>
      <c r="Z15" t="n">
        <v>1284</v>
      </c>
      <c r="AA15" t="n">
        <v>1293</v>
      </c>
      <c r="AB15" t="n">
        <v>8</v>
      </c>
      <c r="AC15" t="n">
        <v>8</v>
      </c>
      <c r="AD15" t="n">
        <v>38</v>
      </c>
      <c r="AE15" t="n">
        <v>38</v>
      </c>
      <c r="AF15" t="n">
        <v>16</v>
      </c>
      <c r="AG15" t="n">
        <v>16</v>
      </c>
      <c r="AH15" t="n">
        <v>8</v>
      </c>
      <c r="AI15" t="n">
        <v>8</v>
      </c>
      <c r="AJ15" t="n">
        <v>20</v>
      </c>
      <c r="AK15" t="n">
        <v>20</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HYPERLINK("https://creighton-primo.hosted.exlibrisgroup.com/primo-explore/search?tab=default_tab&amp;search_scope=EVERYTHING&amp;vid=01CRU&amp;lang=en_US&amp;offset=0&amp;query=any,contains,991002547839702656","Catalog Record")</f>
        <v/>
      </c>
      <c r="AT15">
        <f>HYPERLINK("http://www.worldcat.org/oclc/33102402","WorldCat Record")</f>
        <v/>
      </c>
      <c r="AU15" t="inlineStr">
        <is>
          <t>10342523:eng</t>
        </is>
      </c>
      <c r="AV15" t="inlineStr">
        <is>
          <t>33102402</t>
        </is>
      </c>
      <c r="AW15" t="inlineStr">
        <is>
          <t>991002547839702656</t>
        </is>
      </c>
      <c r="AX15" t="inlineStr">
        <is>
          <t>991002547839702656</t>
        </is>
      </c>
      <c r="AY15" t="inlineStr">
        <is>
          <t>2272145910002656</t>
        </is>
      </c>
      <c r="AZ15" t="inlineStr">
        <is>
          <t>BOOK</t>
        </is>
      </c>
      <c r="BB15" t="inlineStr">
        <is>
          <t>9780521411585</t>
        </is>
      </c>
      <c r="BC15" t="inlineStr">
        <is>
          <t>32285002434446</t>
        </is>
      </c>
      <c r="BD15" t="inlineStr">
        <is>
          <t>893530145</t>
        </is>
      </c>
    </row>
    <row r="16">
      <c r="A16" t="inlineStr">
        <is>
          <t>No</t>
        </is>
      </c>
      <c r="B16" t="inlineStr">
        <is>
          <t>QB15 .C44</t>
        </is>
      </c>
      <c r="C16" t="inlineStr">
        <is>
          <t>0                      QB 0015000C  44</t>
        </is>
      </c>
      <c r="D16" t="inlineStr">
        <is>
          <t>This wild abyss : the story of the men who made modern astronomy / Gale E. Christianson. --</t>
        </is>
      </c>
      <c r="F16" t="inlineStr">
        <is>
          <t>No</t>
        </is>
      </c>
      <c r="G16" t="inlineStr">
        <is>
          <t>1</t>
        </is>
      </c>
      <c r="H16" t="inlineStr">
        <is>
          <t>No</t>
        </is>
      </c>
      <c r="I16" t="inlineStr">
        <is>
          <t>No</t>
        </is>
      </c>
      <c r="J16" t="inlineStr">
        <is>
          <t>0</t>
        </is>
      </c>
      <c r="K16" t="inlineStr">
        <is>
          <t>Christianson, Gale E.</t>
        </is>
      </c>
      <c r="L16" t="inlineStr">
        <is>
          <t>New York : Free Press, c1978.</t>
        </is>
      </c>
      <c r="M16" t="inlineStr">
        <is>
          <t>1978</t>
        </is>
      </c>
      <c r="O16" t="inlineStr">
        <is>
          <t>eng</t>
        </is>
      </c>
      <c r="P16" t="inlineStr">
        <is>
          <t>nyu</t>
        </is>
      </c>
      <c r="R16" t="inlineStr">
        <is>
          <t xml:space="preserve">QB </t>
        </is>
      </c>
      <c r="S16" t="n">
        <v>2</v>
      </c>
      <c r="T16" t="n">
        <v>2</v>
      </c>
      <c r="U16" t="inlineStr">
        <is>
          <t>1995-10-14</t>
        </is>
      </c>
      <c r="V16" t="inlineStr">
        <is>
          <t>1995-10-14</t>
        </is>
      </c>
      <c r="W16" t="inlineStr">
        <is>
          <t>1992-11-16</t>
        </is>
      </c>
      <c r="X16" t="inlineStr">
        <is>
          <t>1992-11-16</t>
        </is>
      </c>
      <c r="Y16" t="n">
        <v>775</v>
      </c>
      <c r="Z16" t="n">
        <v>709</v>
      </c>
      <c r="AA16" t="n">
        <v>731</v>
      </c>
      <c r="AB16" t="n">
        <v>5</v>
      </c>
      <c r="AC16" t="n">
        <v>5</v>
      </c>
      <c r="AD16" t="n">
        <v>19</v>
      </c>
      <c r="AE16" t="n">
        <v>20</v>
      </c>
      <c r="AF16" t="n">
        <v>5</v>
      </c>
      <c r="AG16" t="n">
        <v>6</v>
      </c>
      <c r="AH16" t="n">
        <v>4</v>
      </c>
      <c r="AI16" t="n">
        <v>4</v>
      </c>
      <c r="AJ16" t="n">
        <v>9</v>
      </c>
      <c r="AK16" t="n">
        <v>9</v>
      </c>
      <c r="AL16" t="n">
        <v>4</v>
      </c>
      <c r="AM16" t="n">
        <v>4</v>
      </c>
      <c r="AN16" t="n">
        <v>0</v>
      </c>
      <c r="AO16" t="n">
        <v>0</v>
      </c>
      <c r="AP16" t="inlineStr">
        <is>
          <t>No</t>
        </is>
      </c>
      <c r="AQ16" t="inlineStr">
        <is>
          <t>No</t>
        </is>
      </c>
      <c r="AS16">
        <f>HYPERLINK("https://creighton-primo.hosted.exlibrisgroup.com/primo-explore/search?tab=default_tab&amp;search_scope=EVERYTHING&amp;vid=01CRU&amp;lang=en_US&amp;offset=0&amp;query=any,contains,991004406959702656","Catalog Record")</f>
        <v/>
      </c>
      <c r="AT16">
        <f>HYPERLINK("http://www.worldcat.org/oclc/3326749","WorldCat Record")</f>
        <v/>
      </c>
      <c r="AU16" t="inlineStr">
        <is>
          <t>400424:eng</t>
        </is>
      </c>
      <c r="AV16" t="inlineStr">
        <is>
          <t>3326749</t>
        </is>
      </c>
      <c r="AW16" t="inlineStr">
        <is>
          <t>991004406959702656</t>
        </is>
      </c>
      <c r="AX16" t="inlineStr">
        <is>
          <t>991004406959702656</t>
        </is>
      </c>
      <c r="AY16" t="inlineStr">
        <is>
          <t>2270334270002656</t>
        </is>
      </c>
      <c r="AZ16" t="inlineStr">
        <is>
          <t>BOOK</t>
        </is>
      </c>
      <c r="BB16" t="inlineStr">
        <is>
          <t>9780029053805</t>
        </is>
      </c>
      <c r="BC16" t="inlineStr">
        <is>
          <t>32285001430874</t>
        </is>
      </c>
      <c r="BD16" t="inlineStr">
        <is>
          <t>893693914</t>
        </is>
      </c>
    </row>
    <row r="17">
      <c r="A17" t="inlineStr">
        <is>
          <t>No</t>
        </is>
      </c>
      <c r="B17" t="inlineStr">
        <is>
          <t>QB15 .G563 1993</t>
        </is>
      </c>
      <c r="C17" t="inlineStr">
        <is>
          <t>0                      QB 0015000G  563         1993</t>
        </is>
      </c>
      <c r="D17" t="inlineStr">
        <is>
          <t>The eye of heaven : Ptolemy, Copernicus, Kepler / Owen Gingerich.</t>
        </is>
      </c>
      <c r="F17" t="inlineStr">
        <is>
          <t>No</t>
        </is>
      </c>
      <c r="G17" t="inlineStr">
        <is>
          <t>1</t>
        </is>
      </c>
      <c r="H17" t="inlineStr">
        <is>
          <t>No</t>
        </is>
      </c>
      <c r="I17" t="inlineStr">
        <is>
          <t>No</t>
        </is>
      </c>
      <c r="J17" t="inlineStr">
        <is>
          <t>0</t>
        </is>
      </c>
      <c r="K17" t="inlineStr">
        <is>
          <t>Gingerich, Owen.</t>
        </is>
      </c>
      <c r="L17" t="inlineStr">
        <is>
          <t>New York, NY : American Institute of Physics, c1993.</t>
        </is>
      </c>
      <c r="M17" t="inlineStr">
        <is>
          <t>1993</t>
        </is>
      </c>
      <c r="O17" t="inlineStr">
        <is>
          <t>eng</t>
        </is>
      </c>
      <c r="P17" t="inlineStr">
        <is>
          <t>nyu</t>
        </is>
      </c>
      <c r="Q17" t="inlineStr">
        <is>
          <t>Masters of modern physics ; v. 7</t>
        </is>
      </c>
      <c r="R17" t="inlineStr">
        <is>
          <t xml:space="preserve">QB </t>
        </is>
      </c>
      <c r="S17" t="n">
        <v>15</v>
      </c>
      <c r="T17" t="n">
        <v>15</v>
      </c>
      <c r="U17" t="inlineStr">
        <is>
          <t>2003-03-17</t>
        </is>
      </c>
      <c r="V17" t="inlineStr">
        <is>
          <t>2003-03-17</t>
        </is>
      </c>
      <c r="W17" t="inlineStr">
        <is>
          <t>1994-05-11</t>
        </is>
      </c>
      <c r="X17" t="inlineStr">
        <is>
          <t>1994-05-11</t>
        </is>
      </c>
      <c r="Y17" t="n">
        <v>887</v>
      </c>
      <c r="Z17" t="n">
        <v>761</v>
      </c>
      <c r="AA17" t="n">
        <v>769</v>
      </c>
      <c r="AB17" t="n">
        <v>8</v>
      </c>
      <c r="AC17" t="n">
        <v>8</v>
      </c>
      <c r="AD17" t="n">
        <v>41</v>
      </c>
      <c r="AE17" t="n">
        <v>41</v>
      </c>
      <c r="AF17" t="n">
        <v>15</v>
      </c>
      <c r="AG17" t="n">
        <v>15</v>
      </c>
      <c r="AH17" t="n">
        <v>9</v>
      </c>
      <c r="AI17" t="n">
        <v>9</v>
      </c>
      <c r="AJ17" t="n">
        <v>21</v>
      </c>
      <c r="AK17" t="n">
        <v>21</v>
      </c>
      <c r="AL17" t="n">
        <v>7</v>
      </c>
      <c r="AM17" t="n">
        <v>7</v>
      </c>
      <c r="AN17" t="n">
        <v>0</v>
      </c>
      <c r="AO17" t="n">
        <v>0</v>
      </c>
      <c r="AP17" t="inlineStr">
        <is>
          <t>No</t>
        </is>
      </c>
      <c r="AQ17" t="inlineStr">
        <is>
          <t>Yes</t>
        </is>
      </c>
      <c r="AR17">
        <f>HYPERLINK("http://catalog.hathitrust.org/Record/002645030","HathiTrust Record")</f>
        <v/>
      </c>
      <c r="AS17">
        <f>HYPERLINK("https://creighton-primo.hosted.exlibrisgroup.com/primo-explore/search?tab=default_tab&amp;search_scope=EVERYTHING&amp;vid=01CRU&amp;lang=en_US&amp;offset=0&amp;query=any,contains,991005413839702656","Catalog Record")</f>
        <v/>
      </c>
      <c r="AT17">
        <f>HYPERLINK("http://www.worldcat.org/oclc/24247242","WorldCat Record")</f>
        <v/>
      </c>
      <c r="AU17" t="inlineStr">
        <is>
          <t>890088635:eng</t>
        </is>
      </c>
      <c r="AV17" t="inlineStr">
        <is>
          <t>24247242</t>
        </is>
      </c>
      <c r="AW17" t="inlineStr">
        <is>
          <t>991005413839702656</t>
        </is>
      </c>
      <c r="AX17" t="inlineStr">
        <is>
          <t>991005413839702656</t>
        </is>
      </c>
      <c r="AY17" t="inlineStr">
        <is>
          <t>2261910750002656</t>
        </is>
      </c>
      <c r="AZ17" t="inlineStr">
        <is>
          <t>BOOK</t>
        </is>
      </c>
      <c r="BB17" t="inlineStr">
        <is>
          <t>9780883188637</t>
        </is>
      </c>
      <c r="BC17" t="inlineStr">
        <is>
          <t>32285001895076</t>
        </is>
      </c>
      <c r="BD17" t="inlineStr">
        <is>
          <t>893443988</t>
        </is>
      </c>
    </row>
    <row r="18">
      <c r="A18" t="inlineStr">
        <is>
          <t>No</t>
        </is>
      </c>
      <c r="B18" t="inlineStr">
        <is>
          <t>QB15 .L54 1992</t>
        </is>
      </c>
      <c r="C18" t="inlineStr">
        <is>
          <t>0                      QB 0015000L  54          1992</t>
        </is>
      </c>
      <c r="D18" t="inlineStr">
        <is>
          <t>Time for the stars : astronomy in the 1990s / Alan Lightman ; with a foreword by John Bahcall.</t>
        </is>
      </c>
      <c r="F18" t="inlineStr">
        <is>
          <t>No</t>
        </is>
      </c>
      <c r="G18" t="inlineStr">
        <is>
          <t>1</t>
        </is>
      </c>
      <c r="H18" t="inlineStr">
        <is>
          <t>No</t>
        </is>
      </c>
      <c r="I18" t="inlineStr">
        <is>
          <t>No</t>
        </is>
      </c>
      <c r="J18" t="inlineStr">
        <is>
          <t>0</t>
        </is>
      </c>
      <c r="K18" t="inlineStr">
        <is>
          <t>Lightman, Alan P., 1948-</t>
        </is>
      </c>
      <c r="L18" t="inlineStr">
        <is>
          <t>New York, N.Y., U.S.A. : Viking, 1992.</t>
        </is>
      </c>
      <c r="M18" t="inlineStr">
        <is>
          <t>1992</t>
        </is>
      </c>
      <c r="O18" t="inlineStr">
        <is>
          <t>eng</t>
        </is>
      </c>
      <c r="P18" t="inlineStr">
        <is>
          <t>nyu</t>
        </is>
      </c>
      <c r="R18" t="inlineStr">
        <is>
          <t xml:space="preserve">QB </t>
        </is>
      </c>
      <c r="S18" t="n">
        <v>2</v>
      </c>
      <c r="T18" t="n">
        <v>2</v>
      </c>
      <c r="U18" t="inlineStr">
        <is>
          <t>1994-05-02</t>
        </is>
      </c>
      <c r="V18" t="inlineStr">
        <is>
          <t>1994-05-02</t>
        </is>
      </c>
      <c r="W18" t="inlineStr">
        <is>
          <t>1994-04-05</t>
        </is>
      </c>
      <c r="X18" t="inlineStr">
        <is>
          <t>1994-04-05</t>
        </is>
      </c>
      <c r="Y18" t="n">
        <v>600</v>
      </c>
      <c r="Z18" t="n">
        <v>564</v>
      </c>
      <c r="AA18" t="n">
        <v>606</v>
      </c>
      <c r="AB18" t="n">
        <v>4</v>
      </c>
      <c r="AC18" t="n">
        <v>5</v>
      </c>
      <c r="AD18" t="n">
        <v>19</v>
      </c>
      <c r="AE18" t="n">
        <v>22</v>
      </c>
      <c r="AF18" t="n">
        <v>6</v>
      </c>
      <c r="AG18" t="n">
        <v>7</v>
      </c>
      <c r="AH18" t="n">
        <v>4</v>
      </c>
      <c r="AI18" t="n">
        <v>5</v>
      </c>
      <c r="AJ18" t="n">
        <v>12</v>
      </c>
      <c r="AK18" t="n">
        <v>12</v>
      </c>
      <c r="AL18" t="n">
        <v>3</v>
      </c>
      <c r="AM18" t="n">
        <v>4</v>
      </c>
      <c r="AN18" t="n">
        <v>0</v>
      </c>
      <c r="AO18" t="n">
        <v>0</v>
      </c>
      <c r="AP18" t="inlineStr">
        <is>
          <t>No</t>
        </is>
      </c>
      <c r="AQ18" t="inlineStr">
        <is>
          <t>Yes</t>
        </is>
      </c>
      <c r="AR18">
        <f>HYPERLINK("http://catalog.hathitrust.org/Record/002533579","HathiTrust Record")</f>
        <v/>
      </c>
      <c r="AS18">
        <f>HYPERLINK("https://creighton-primo.hosted.exlibrisgroup.com/primo-explore/search?tab=default_tab&amp;search_scope=EVERYTHING&amp;vid=01CRU&amp;lang=en_US&amp;offset=0&amp;query=any,contains,991001893349702656","Catalog Record")</f>
        <v/>
      </c>
      <c r="AT18">
        <f>HYPERLINK("http://www.worldcat.org/oclc/23902128","WorldCat Record")</f>
        <v/>
      </c>
      <c r="AU18" t="inlineStr">
        <is>
          <t>24837330:eng</t>
        </is>
      </c>
      <c r="AV18" t="inlineStr">
        <is>
          <t>23902128</t>
        </is>
      </c>
      <c r="AW18" t="inlineStr">
        <is>
          <t>991001893349702656</t>
        </is>
      </c>
      <c r="AX18" t="inlineStr">
        <is>
          <t>991001893349702656</t>
        </is>
      </c>
      <c r="AY18" t="inlineStr">
        <is>
          <t>2263966630002656</t>
        </is>
      </c>
      <c r="AZ18" t="inlineStr">
        <is>
          <t>BOOK</t>
        </is>
      </c>
      <c r="BB18" t="inlineStr">
        <is>
          <t>9780670839766</t>
        </is>
      </c>
      <c r="BC18" t="inlineStr">
        <is>
          <t>32285001858884</t>
        </is>
      </c>
      <c r="BD18" t="inlineStr">
        <is>
          <t>893420709</t>
        </is>
      </c>
    </row>
    <row r="19">
      <c r="A19" t="inlineStr">
        <is>
          <t>No</t>
        </is>
      </c>
      <c r="B19" t="inlineStr">
        <is>
          <t>QB15 .M63 1983</t>
        </is>
      </c>
      <c r="C19" t="inlineStr">
        <is>
          <t>0                      QB 0015000M  63          1983</t>
        </is>
      </c>
      <c r="D19" t="inlineStr">
        <is>
          <t>Patrick Moore's History of astronomy.</t>
        </is>
      </c>
      <c r="F19" t="inlineStr">
        <is>
          <t>No</t>
        </is>
      </c>
      <c r="G19" t="inlineStr">
        <is>
          <t>1</t>
        </is>
      </c>
      <c r="H19" t="inlineStr">
        <is>
          <t>No</t>
        </is>
      </c>
      <c r="I19" t="inlineStr">
        <is>
          <t>No</t>
        </is>
      </c>
      <c r="J19" t="inlineStr">
        <is>
          <t>0</t>
        </is>
      </c>
      <c r="K19" t="inlineStr">
        <is>
          <t>Moore, Patrick.</t>
        </is>
      </c>
      <c r="L19" t="inlineStr">
        <is>
          <t>London : Macdonald, 1983.</t>
        </is>
      </c>
      <c r="M19" t="inlineStr">
        <is>
          <t>1983</t>
        </is>
      </c>
      <c r="N19" t="inlineStr">
        <is>
          <t>6th rev. ed.</t>
        </is>
      </c>
      <c r="O19" t="inlineStr">
        <is>
          <t>eng</t>
        </is>
      </c>
      <c r="P19" t="inlineStr">
        <is>
          <t>enk</t>
        </is>
      </c>
      <c r="R19" t="inlineStr">
        <is>
          <t xml:space="preserve">QB </t>
        </is>
      </c>
      <c r="S19" t="n">
        <v>1</v>
      </c>
      <c r="T19" t="n">
        <v>1</v>
      </c>
      <c r="U19" t="inlineStr">
        <is>
          <t>1994-01-12</t>
        </is>
      </c>
      <c r="V19" t="inlineStr">
        <is>
          <t>1994-01-12</t>
        </is>
      </c>
      <c r="W19" t="inlineStr">
        <is>
          <t>1992-11-16</t>
        </is>
      </c>
      <c r="X19" t="inlineStr">
        <is>
          <t>1992-11-16</t>
        </is>
      </c>
      <c r="Y19" t="n">
        <v>252</v>
      </c>
      <c r="Z19" t="n">
        <v>176</v>
      </c>
      <c r="AA19" t="n">
        <v>177</v>
      </c>
      <c r="AB19" t="n">
        <v>2</v>
      </c>
      <c r="AC19" t="n">
        <v>2</v>
      </c>
      <c r="AD19" t="n">
        <v>3</v>
      </c>
      <c r="AE19" t="n">
        <v>3</v>
      </c>
      <c r="AF19" t="n">
        <v>0</v>
      </c>
      <c r="AG19" t="n">
        <v>0</v>
      </c>
      <c r="AH19" t="n">
        <v>2</v>
      </c>
      <c r="AI19" t="n">
        <v>2</v>
      </c>
      <c r="AJ19" t="n">
        <v>1</v>
      </c>
      <c r="AK19" t="n">
        <v>1</v>
      </c>
      <c r="AL19" t="n">
        <v>1</v>
      </c>
      <c r="AM19" t="n">
        <v>1</v>
      </c>
      <c r="AN19" t="n">
        <v>0</v>
      </c>
      <c r="AO19" t="n">
        <v>0</v>
      </c>
      <c r="AP19" t="inlineStr">
        <is>
          <t>No</t>
        </is>
      </c>
      <c r="AQ19" t="inlineStr">
        <is>
          <t>Yes</t>
        </is>
      </c>
      <c r="AR19">
        <f>HYPERLINK("http://catalog.hathitrust.org/Record/000330325","HathiTrust Record")</f>
        <v/>
      </c>
      <c r="AS19">
        <f>HYPERLINK("https://creighton-primo.hosted.exlibrisgroup.com/primo-explore/search?tab=default_tab&amp;search_scope=EVERYTHING&amp;vid=01CRU&amp;lang=en_US&amp;offset=0&amp;query=any,contains,991000438529702656","Catalog Record")</f>
        <v/>
      </c>
      <c r="AT19">
        <f>HYPERLINK("http://www.worldcat.org/oclc/10800852","WorldCat Record")</f>
        <v/>
      </c>
      <c r="AU19" t="inlineStr">
        <is>
          <t>3855331638:eng</t>
        </is>
      </c>
      <c r="AV19" t="inlineStr">
        <is>
          <t>10800852</t>
        </is>
      </c>
      <c r="AW19" t="inlineStr">
        <is>
          <t>991000438529702656</t>
        </is>
      </c>
      <c r="AX19" t="inlineStr">
        <is>
          <t>991000438529702656</t>
        </is>
      </c>
      <c r="AY19" t="inlineStr">
        <is>
          <t>2268921900002656</t>
        </is>
      </c>
      <c r="AZ19" t="inlineStr">
        <is>
          <t>BOOK</t>
        </is>
      </c>
      <c r="BB19" t="inlineStr">
        <is>
          <t>9780356086071</t>
        </is>
      </c>
      <c r="BC19" t="inlineStr">
        <is>
          <t>32285001430916</t>
        </is>
      </c>
      <c r="BD19" t="inlineStr">
        <is>
          <t>893607905</t>
        </is>
      </c>
    </row>
    <row r="20">
      <c r="A20" t="inlineStr">
        <is>
          <t>No</t>
        </is>
      </c>
      <c r="B20" t="inlineStr">
        <is>
          <t>QB15 .N48 1983</t>
        </is>
      </c>
      <c r="C20" t="inlineStr">
        <is>
          <t>0                      QB 0015000N  48          1983</t>
        </is>
      </c>
      <c r="D20" t="inlineStr">
        <is>
          <t>Astronomy and history : selected essays / O. Neugebauer.</t>
        </is>
      </c>
      <c r="F20" t="inlineStr">
        <is>
          <t>No</t>
        </is>
      </c>
      <c r="G20" t="inlineStr">
        <is>
          <t>1</t>
        </is>
      </c>
      <c r="H20" t="inlineStr">
        <is>
          <t>No</t>
        </is>
      </c>
      <c r="I20" t="inlineStr">
        <is>
          <t>No</t>
        </is>
      </c>
      <c r="J20" t="inlineStr">
        <is>
          <t>0</t>
        </is>
      </c>
      <c r="K20" t="inlineStr">
        <is>
          <t>Neugebauer, O. (Otto), 1899-1990.</t>
        </is>
      </c>
      <c r="L20" t="inlineStr">
        <is>
          <t>New York : Springer-Verlag, c1983.</t>
        </is>
      </c>
      <c r="M20" t="inlineStr">
        <is>
          <t>1983</t>
        </is>
      </c>
      <c r="O20" t="inlineStr">
        <is>
          <t>eng</t>
        </is>
      </c>
      <c r="P20" t="inlineStr">
        <is>
          <t>nyu</t>
        </is>
      </c>
      <c r="R20" t="inlineStr">
        <is>
          <t xml:space="preserve">QB </t>
        </is>
      </c>
      <c r="S20" t="n">
        <v>7</v>
      </c>
      <c r="T20" t="n">
        <v>7</v>
      </c>
      <c r="U20" t="inlineStr">
        <is>
          <t>1996-01-22</t>
        </is>
      </c>
      <c r="V20" t="inlineStr">
        <is>
          <t>1996-01-22</t>
        </is>
      </c>
      <c r="W20" t="inlineStr">
        <is>
          <t>1992-01-10</t>
        </is>
      </c>
      <c r="X20" t="inlineStr">
        <is>
          <t>1992-01-10</t>
        </is>
      </c>
      <c r="Y20" t="n">
        <v>476</v>
      </c>
      <c r="Z20" t="n">
        <v>363</v>
      </c>
      <c r="AA20" t="n">
        <v>377</v>
      </c>
      <c r="AB20" t="n">
        <v>2</v>
      </c>
      <c r="AC20" t="n">
        <v>2</v>
      </c>
      <c r="AD20" t="n">
        <v>24</v>
      </c>
      <c r="AE20" t="n">
        <v>24</v>
      </c>
      <c r="AF20" t="n">
        <v>8</v>
      </c>
      <c r="AG20" t="n">
        <v>8</v>
      </c>
      <c r="AH20" t="n">
        <v>8</v>
      </c>
      <c r="AI20" t="n">
        <v>8</v>
      </c>
      <c r="AJ20" t="n">
        <v>16</v>
      </c>
      <c r="AK20" t="n">
        <v>16</v>
      </c>
      <c r="AL20" t="n">
        <v>1</v>
      </c>
      <c r="AM20" t="n">
        <v>1</v>
      </c>
      <c r="AN20" t="n">
        <v>0</v>
      </c>
      <c r="AO20" t="n">
        <v>0</v>
      </c>
      <c r="AP20" t="inlineStr">
        <is>
          <t>No</t>
        </is>
      </c>
      <c r="AQ20" t="inlineStr">
        <is>
          <t>Yes</t>
        </is>
      </c>
      <c r="AR20">
        <f>HYPERLINK("http://catalog.hathitrust.org/Record/000113970","HathiTrust Record")</f>
        <v/>
      </c>
      <c r="AS20">
        <f>HYPERLINK("https://creighton-primo.hosted.exlibrisgroup.com/primo-explore/search?tab=default_tab&amp;search_scope=EVERYTHING&amp;vid=01CRU&amp;lang=en_US&amp;offset=0&amp;query=any,contains,991000196709702656","Catalog Record")</f>
        <v/>
      </c>
      <c r="AT20">
        <f>HYPERLINK("http://www.worldcat.org/oclc/9441899","WorldCat Record")</f>
        <v/>
      </c>
      <c r="AU20" t="inlineStr">
        <is>
          <t>196511313:eng</t>
        </is>
      </c>
      <c r="AV20" t="inlineStr">
        <is>
          <t>9441899</t>
        </is>
      </c>
      <c r="AW20" t="inlineStr">
        <is>
          <t>991000196709702656</t>
        </is>
      </c>
      <c r="AX20" t="inlineStr">
        <is>
          <t>991000196709702656</t>
        </is>
      </c>
      <c r="AY20" t="inlineStr">
        <is>
          <t>2265119040002656</t>
        </is>
      </c>
      <c r="AZ20" t="inlineStr">
        <is>
          <t>BOOK</t>
        </is>
      </c>
      <c r="BB20" t="inlineStr">
        <is>
          <t>9780387908441</t>
        </is>
      </c>
      <c r="BC20" t="inlineStr">
        <is>
          <t>32285000911254</t>
        </is>
      </c>
      <c r="BD20" t="inlineStr">
        <is>
          <t>893431782</t>
        </is>
      </c>
    </row>
    <row r="21">
      <c r="A21" t="inlineStr">
        <is>
          <t>No</t>
        </is>
      </c>
      <c r="B21" t="inlineStr">
        <is>
          <t>QB15 .N67 1995</t>
        </is>
      </c>
      <c r="C21" t="inlineStr">
        <is>
          <t>0                      QB 0015000N  67          1995</t>
        </is>
      </c>
      <c r="D21" t="inlineStr">
        <is>
          <t>The Norton history of astronomy and cosmology / [John North]</t>
        </is>
      </c>
      <c r="F21" t="inlineStr">
        <is>
          <t>No</t>
        </is>
      </c>
      <c r="G21" t="inlineStr">
        <is>
          <t>1</t>
        </is>
      </c>
      <c r="H21" t="inlineStr">
        <is>
          <t>No</t>
        </is>
      </c>
      <c r="I21" t="inlineStr">
        <is>
          <t>No</t>
        </is>
      </c>
      <c r="J21" t="inlineStr">
        <is>
          <t>0</t>
        </is>
      </c>
      <c r="K21" t="inlineStr">
        <is>
          <t>North, John David.</t>
        </is>
      </c>
      <c r="L21" t="inlineStr">
        <is>
          <t>New York : Norton, 1994, c1995.</t>
        </is>
      </c>
      <c r="M21" t="inlineStr">
        <is>
          <t>1994</t>
        </is>
      </c>
      <c r="N21" t="inlineStr">
        <is>
          <t>1st American ed.</t>
        </is>
      </c>
      <c r="O21" t="inlineStr">
        <is>
          <t>eng</t>
        </is>
      </c>
      <c r="P21" t="inlineStr">
        <is>
          <t>nyu</t>
        </is>
      </c>
      <c r="Q21" t="inlineStr">
        <is>
          <t>Norton history of science</t>
        </is>
      </c>
      <c r="R21" t="inlineStr">
        <is>
          <t xml:space="preserve">QB </t>
        </is>
      </c>
      <c r="S21" t="n">
        <v>8</v>
      </c>
      <c r="T21" t="n">
        <v>8</v>
      </c>
      <c r="U21" t="inlineStr">
        <is>
          <t>2007-10-02</t>
        </is>
      </c>
      <c r="V21" t="inlineStr">
        <is>
          <t>2007-10-02</t>
        </is>
      </c>
      <c r="W21" t="inlineStr">
        <is>
          <t>1995-08-30</t>
        </is>
      </c>
      <c r="X21" t="inlineStr">
        <is>
          <t>1995-08-30</t>
        </is>
      </c>
      <c r="Y21" t="n">
        <v>1147</v>
      </c>
      <c r="Z21" t="n">
        <v>1091</v>
      </c>
      <c r="AA21" t="n">
        <v>1109</v>
      </c>
      <c r="AB21" t="n">
        <v>8</v>
      </c>
      <c r="AC21" t="n">
        <v>8</v>
      </c>
      <c r="AD21" t="n">
        <v>30</v>
      </c>
      <c r="AE21" t="n">
        <v>30</v>
      </c>
      <c r="AF21" t="n">
        <v>10</v>
      </c>
      <c r="AG21" t="n">
        <v>10</v>
      </c>
      <c r="AH21" t="n">
        <v>7</v>
      </c>
      <c r="AI21" t="n">
        <v>7</v>
      </c>
      <c r="AJ21" t="n">
        <v>15</v>
      </c>
      <c r="AK21" t="n">
        <v>15</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HYPERLINK("https://creighton-primo.hosted.exlibrisgroup.com/primo-explore/search?tab=default_tab&amp;search_scope=EVERYTHING&amp;vid=01CRU&amp;lang=en_US&amp;offset=0&amp;query=any,contains,991002441999702656","Catalog Record")</f>
        <v/>
      </c>
      <c r="AT21">
        <f>HYPERLINK("http://www.worldcat.org/oclc/31854784","WorldCat Record")</f>
        <v/>
      </c>
      <c r="AU21" t="inlineStr">
        <is>
          <t>196789968:eng</t>
        </is>
      </c>
      <c r="AV21" t="inlineStr">
        <is>
          <t>31854784</t>
        </is>
      </c>
      <c r="AW21" t="inlineStr">
        <is>
          <t>991002441999702656</t>
        </is>
      </c>
      <c r="AX21" t="inlineStr">
        <is>
          <t>991002441999702656</t>
        </is>
      </c>
      <c r="AY21" t="inlineStr">
        <is>
          <t>2259767340002656</t>
        </is>
      </c>
      <c r="AZ21" t="inlineStr">
        <is>
          <t>BOOK</t>
        </is>
      </c>
      <c r="BB21" t="inlineStr">
        <is>
          <t>9780393036565</t>
        </is>
      </c>
      <c r="BC21" t="inlineStr">
        <is>
          <t>32285002091196</t>
        </is>
      </c>
      <c r="BD21" t="inlineStr">
        <is>
          <t>893316813</t>
        </is>
      </c>
    </row>
    <row r="22">
      <c r="A22" t="inlineStr">
        <is>
          <t>No</t>
        </is>
      </c>
      <c r="B22" t="inlineStr">
        <is>
          <t>QB15 .R59 1982</t>
        </is>
      </c>
      <c r="C22" t="inlineStr">
        <is>
          <t>0                      QB 0015000R  59          1982</t>
        </is>
      </c>
      <c r="D22" t="inlineStr">
        <is>
          <t>Astronomy for the inquiring mind : the growth and use of theory in science / by Eric M. Rogers.</t>
        </is>
      </c>
      <c r="F22" t="inlineStr">
        <is>
          <t>No</t>
        </is>
      </c>
      <c r="G22" t="inlineStr">
        <is>
          <t>1</t>
        </is>
      </c>
      <c r="H22" t="inlineStr">
        <is>
          <t>No</t>
        </is>
      </c>
      <c r="I22" t="inlineStr">
        <is>
          <t>No</t>
        </is>
      </c>
      <c r="J22" t="inlineStr">
        <is>
          <t>0</t>
        </is>
      </c>
      <c r="K22" t="inlineStr">
        <is>
          <t>Rogers, Eric M.</t>
        </is>
      </c>
      <c r="L22" t="inlineStr">
        <is>
          <t>Princeton, N.J. : Princeton University Press, c1982.</t>
        </is>
      </c>
      <c r="M22" t="inlineStr">
        <is>
          <t>1982</t>
        </is>
      </c>
      <c r="O22" t="inlineStr">
        <is>
          <t>eng</t>
        </is>
      </c>
      <c r="P22" t="inlineStr">
        <is>
          <t>nju</t>
        </is>
      </c>
      <c r="R22" t="inlineStr">
        <is>
          <t xml:space="preserve">QB </t>
        </is>
      </c>
      <c r="S22" t="n">
        <v>1</v>
      </c>
      <c r="T22" t="n">
        <v>1</v>
      </c>
      <c r="U22" t="inlineStr">
        <is>
          <t>2010-04-27</t>
        </is>
      </c>
      <c r="V22" t="inlineStr">
        <is>
          <t>2010-04-27</t>
        </is>
      </c>
      <c r="W22" t="inlineStr">
        <is>
          <t>1992-11-16</t>
        </is>
      </c>
      <c r="X22" t="inlineStr">
        <is>
          <t>1992-11-16</t>
        </is>
      </c>
      <c r="Y22" t="n">
        <v>250</v>
      </c>
      <c r="Z22" t="n">
        <v>215</v>
      </c>
      <c r="AA22" t="n">
        <v>424</v>
      </c>
      <c r="AB22" t="n">
        <v>2</v>
      </c>
      <c r="AC22" t="n">
        <v>3</v>
      </c>
      <c r="AD22" t="n">
        <v>9</v>
      </c>
      <c r="AE22" t="n">
        <v>21</v>
      </c>
      <c r="AF22" t="n">
        <v>3</v>
      </c>
      <c r="AG22" t="n">
        <v>10</v>
      </c>
      <c r="AH22" t="n">
        <v>5</v>
      </c>
      <c r="AI22" t="n">
        <v>6</v>
      </c>
      <c r="AJ22" t="n">
        <v>3</v>
      </c>
      <c r="AK22" t="n">
        <v>8</v>
      </c>
      <c r="AL22" t="n">
        <v>1</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HYPERLINK("https://creighton-primo.hosted.exlibrisgroup.com/primo-explore/search?tab=default_tab&amp;search_scope=EVERYTHING&amp;vid=01CRU&amp;lang=en_US&amp;offset=0&amp;query=any,contains,991000050519702656","Catalog Record")</f>
        <v/>
      </c>
      <c r="AT22">
        <f>HYPERLINK("http://www.worldcat.org/oclc/8686819","WorldCat Record")</f>
        <v/>
      </c>
      <c r="AU22" t="inlineStr">
        <is>
          <t>836700062:eng</t>
        </is>
      </c>
      <c r="AV22" t="inlineStr">
        <is>
          <t>8686819</t>
        </is>
      </c>
      <c r="AW22" t="inlineStr">
        <is>
          <t>991000050519702656</t>
        </is>
      </c>
      <c r="AX22" t="inlineStr">
        <is>
          <t>991000050519702656</t>
        </is>
      </c>
      <c r="AY22" t="inlineStr">
        <is>
          <t>2267286550002656</t>
        </is>
      </c>
      <c r="AZ22" t="inlineStr">
        <is>
          <t>BOOK</t>
        </is>
      </c>
      <c r="BB22" t="inlineStr">
        <is>
          <t>9780691023700</t>
        </is>
      </c>
      <c r="BC22" t="inlineStr">
        <is>
          <t>32285001430924</t>
        </is>
      </c>
      <c r="BD22" t="inlineStr">
        <is>
          <t>893339215</t>
        </is>
      </c>
    </row>
    <row r="23">
      <c r="A23" t="inlineStr">
        <is>
          <t>No</t>
        </is>
      </c>
      <c r="B23" t="inlineStr">
        <is>
          <t>QB16 .A88 1997</t>
        </is>
      </c>
      <c r="C23" t="inlineStr">
        <is>
          <t>0                      QB 0016000A  88          1997</t>
        </is>
      </c>
      <c r="D23" t="inlineStr">
        <is>
          <t>Stairways to the stars : skywatching in three great ancient cultures / Anthony Aveni.</t>
        </is>
      </c>
      <c r="F23" t="inlineStr">
        <is>
          <t>No</t>
        </is>
      </c>
      <c r="G23" t="inlineStr">
        <is>
          <t>1</t>
        </is>
      </c>
      <c r="H23" t="inlineStr">
        <is>
          <t>No</t>
        </is>
      </c>
      <c r="I23" t="inlineStr">
        <is>
          <t>No</t>
        </is>
      </c>
      <c r="J23" t="inlineStr">
        <is>
          <t>0</t>
        </is>
      </c>
      <c r="K23" t="inlineStr">
        <is>
          <t>Aveni, Anthony F.</t>
        </is>
      </c>
      <c r="L23" t="inlineStr">
        <is>
          <t>New York : J. Wiley, 1997.</t>
        </is>
      </c>
      <c r="M23" t="inlineStr">
        <is>
          <t>1997</t>
        </is>
      </c>
      <c r="O23" t="inlineStr">
        <is>
          <t>eng</t>
        </is>
      </c>
      <c r="P23" t="inlineStr">
        <is>
          <t>nyu</t>
        </is>
      </c>
      <c r="R23" t="inlineStr">
        <is>
          <t xml:space="preserve">QB </t>
        </is>
      </c>
      <c r="S23" t="n">
        <v>1</v>
      </c>
      <c r="T23" t="n">
        <v>1</v>
      </c>
      <c r="U23" t="inlineStr">
        <is>
          <t>2007-11-05</t>
        </is>
      </c>
      <c r="V23" t="inlineStr">
        <is>
          <t>2007-11-05</t>
        </is>
      </c>
      <c r="W23" t="inlineStr">
        <is>
          <t>1997-12-15</t>
        </is>
      </c>
      <c r="X23" t="inlineStr">
        <is>
          <t>1997-12-15</t>
        </is>
      </c>
      <c r="Y23" t="n">
        <v>948</v>
      </c>
      <c r="Z23" t="n">
        <v>840</v>
      </c>
      <c r="AA23" t="n">
        <v>847</v>
      </c>
      <c r="AB23" t="n">
        <v>5</v>
      </c>
      <c r="AC23" t="n">
        <v>5</v>
      </c>
      <c r="AD23" t="n">
        <v>25</v>
      </c>
      <c r="AE23" t="n">
        <v>25</v>
      </c>
      <c r="AF23" t="n">
        <v>6</v>
      </c>
      <c r="AG23" t="n">
        <v>6</v>
      </c>
      <c r="AH23" t="n">
        <v>8</v>
      </c>
      <c r="AI23" t="n">
        <v>8</v>
      </c>
      <c r="AJ23" t="n">
        <v>13</v>
      </c>
      <c r="AK23" t="n">
        <v>13</v>
      </c>
      <c r="AL23" t="n">
        <v>4</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HYPERLINK("https://creighton-primo.hosted.exlibrisgroup.com/primo-explore/search?tab=default_tab&amp;search_scope=EVERYTHING&amp;vid=01CRU&amp;lang=en_US&amp;offset=0&amp;query=any,contains,991002711649702656","Catalog Record")</f>
        <v/>
      </c>
      <c r="AT23">
        <f>HYPERLINK("http://www.worldcat.org/oclc/35559005","WorldCat Record")</f>
        <v/>
      </c>
      <c r="AU23" t="inlineStr">
        <is>
          <t>39975430:eng</t>
        </is>
      </c>
      <c r="AV23" t="inlineStr">
        <is>
          <t>35559005</t>
        </is>
      </c>
      <c r="AW23" t="inlineStr">
        <is>
          <t>991002711649702656</t>
        </is>
      </c>
      <c r="AX23" t="inlineStr">
        <is>
          <t>991002711649702656</t>
        </is>
      </c>
      <c r="AY23" t="inlineStr">
        <is>
          <t>2271483830002656</t>
        </is>
      </c>
      <c r="AZ23" t="inlineStr">
        <is>
          <t>BOOK</t>
        </is>
      </c>
      <c r="BB23" t="inlineStr">
        <is>
          <t>9780471159421</t>
        </is>
      </c>
      <c r="BC23" t="inlineStr">
        <is>
          <t>32285003283321</t>
        </is>
      </c>
      <c r="BD23" t="inlineStr">
        <is>
          <t>893317160</t>
        </is>
      </c>
    </row>
    <row r="24">
      <c r="A24" t="inlineStr">
        <is>
          <t>No</t>
        </is>
      </c>
      <c r="B24" t="inlineStr">
        <is>
          <t>QB16 .H33 1983</t>
        </is>
      </c>
      <c r="C24" t="inlineStr">
        <is>
          <t>0                      QB 0016000H  33          1983</t>
        </is>
      </c>
      <c r="D24" t="inlineStr">
        <is>
          <t>Early man and the cosmos / Evan Hadingham.</t>
        </is>
      </c>
      <c r="F24" t="inlineStr">
        <is>
          <t>No</t>
        </is>
      </c>
      <c r="G24" t="inlineStr">
        <is>
          <t>1</t>
        </is>
      </c>
      <c r="H24" t="inlineStr">
        <is>
          <t>No</t>
        </is>
      </c>
      <c r="I24" t="inlineStr">
        <is>
          <t>No</t>
        </is>
      </c>
      <c r="J24" t="inlineStr">
        <is>
          <t>0</t>
        </is>
      </c>
      <c r="K24" t="inlineStr">
        <is>
          <t>Hadingham, Evan.</t>
        </is>
      </c>
      <c r="L24" t="inlineStr">
        <is>
          <t>London : Heinemann, 1983.</t>
        </is>
      </c>
      <c r="M24" t="inlineStr">
        <is>
          <t>1983</t>
        </is>
      </c>
      <c r="O24" t="inlineStr">
        <is>
          <t>eng</t>
        </is>
      </c>
      <c r="P24" t="inlineStr">
        <is>
          <t>enk</t>
        </is>
      </c>
      <c r="R24" t="inlineStr">
        <is>
          <t xml:space="preserve">QB </t>
        </is>
      </c>
      <c r="S24" t="n">
        <v>2</v>
      </c>
      <c r="T24" t="n">
        <v>2</v>
      </c>
      <c r="U24" t="inlineStr">
        <is>
          <t>2007-10-02</t>
        </is>
      </c>
      <c r="V24" t="inlineStr">
        <is>
          <t>2007-10-02</t>
        </is>
      </c>
      <c r="W24" t="inlineStr">
        <is>
          <t>1990-07-09</t>
        </is>
      </c>
      <c r="X24" t="inlineStr">
        <is>
          <t>1990-07-09</t>
        </is>
      </c>
      <c r="Y24" t="n">
        <v>74</v>
      </c>
      <c r="Z24" t="n">
        <v>7</v>
      </c>
      <c r="AA24" t="n">
        <v>1022</v>
      </c>
      <c r="AB24" t="n">
        <v>1</v>
      </c>
      <c r="AC24" t="n">
        <v>6</v>
      </c>
      <c r="AD24" t="n">
        <v>0</v>
      </c>
      <c r="AE24" t="n">
        <v>20</v>
      </c>
      <c r="AF24" t="n">
        <v>0</v>
      </c>
      <c r="AG24" t="n">
        <v>10</v>
      </c>
      <c r="AH24" t="n">
        <v>0</v>
      </c>
      <c r="AI24" t="n">
        <v>3</v>
      </c>
      <c r="AJ24" t="n">
        <v>0</v>
      </c>
      <c r="AK24" t="n">
        <v>10</v>
      </c>
      <c r="AL24" t="n">
        <v>0</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HYPERLINK("https://creighton-primo.hosted.exlibrisgroup.com/primo-explore/search?tab=default_tab&amp;search_scope=EVERYTHING&amp;vid=01CRU&amp;lang=en_US&amp;offset=0&amp;query=any,contains,991000518209702656","Catalog Record")</f>
        <v/>
      </c>
      <c r="AT24">
        <f>HYPERLINK("http://www.worldcat.org/oclc/11306590","WorldCat Record")</f>
        <v/>
      </c>
      <c r="AU24" t="inlineStr">
        <is>
          <t>3749540:eng</t>
        </is>
      </c>
      <c r="AV24" t="inlineStr">
        <is>
          <t>11306590</t>
        </is>
      </c>
      <c r="AW24" t="inlineStr">
        <is>
          <t>991000518209702656</t>
        </is>
      </c>
      <c r="AX24" t="inlineStr">
        <is>
          <t>991000518209702656</t>
        </is>
      </c>
      <c r="AY24" t="inlineStr">
        <is>
          <t>2257639770002656</t>
        </is>
      </c>
      <c r="AZ24" t="inlineStr">
        <is>
          <t>BOOK</t>
        </is>
      </c>
      <c r="BB24" t="inlineStr">
        <is>
          <t>9780434311088</t>
        </is>
      </c>
      <c r="BC24" t="inlineStr">
        <is>
          <t>32285000222132</t>
        </is>
      </c>
      <c r="BD24" t="inlineStr">
        <is>
          <t>893896953</t>
        </is>
      </c>
    </row>
    <row r="25">
      <c r="A25" t="inlineStr">
        <is>
          <t>No</t>
        </is>
      </c>
      <c r="B25" t="inlineStr">
        <is>
          <t>QB16 .N47 1972</t>
        </is>
      </c>
      <c r="C25" t="inlineStr">
        <is>
          <t>0                      QB 0016000N  47          1972</t>
        </is>
      </c>
      <c r="D25" t="inlineStr">
        <is>
          <t>The astronomical significance of Stonehenge / by C. A. Newham.</t>
        </is>
      </c>
      <c r="F25" t="inlineStr">
        <is>
          <t>No</t>
        </is>
      </c>
      <c r="G25" t="inlineStr">
        <is>
          <t>1</t>
        </is>
      </c>
      <c r="H25" t="inlineStr">
        <is>
          <t>No</t>
        </is>
      </c>
      <c r="I25" t="inlineStr">
        <is>
          <t>No</t>
        </is>
      </c>
      <c r="J25" t="inlineStr">
        <is>
          <t>0</t>
        </is>
      </c>
      <c r="K25" t="inlineStr">
        <is>
          <t>Newham, C. A. (Cecil Augustus)</t>
        </is>
      </c>
      <c r="L25" t="inlineStr">
        <is>
          <t>Leeds : John Blackburn, c1972.</t>
        </is>
      </c>
      <c r="M25" t="inlineStr">
        <is>
          <t>1972</t>
        </is>
      </c>
      <c r="O25" t="inlineStr">
        <is>
          <t>eng</t>
        </is>
      </c>
      <c r="P25" t="inlineStr">
        <is>
          <t>enk</t>
        </is>
      </c>
      <c r="R25" t="inlineStr">
        <is>
          <t xml:space="preserve">QB </t>
        </is>
      </c>
      <c r="S25" t="n">
        <v>4</v>
      </c>
      <c r="T25" t="n">
        <v>4</v>
      </c>
      <c r="U25" t="inlineStr">
        <is>
          <t>1996-11-24</t>
        </is>
      </c>
      <c r="V25" t="inlineStr">
        <is>
          <t>1996-11-24</t>
        </is>
      </c>
      <c r="W25" t="inlineStr">
        <is>
          <t>1993-08-17</t>
        </is>
      </c>
      <c r="X25" t="inlineStr">
        <is>
          <t>1993-08-17</t>
        </is>
      </c>
      <c r="Y25" t="n">
        <v>93</v>
      </c>
      <c r="Z25" t="n">
        <v>58</v>
      </c>
      <c r="AA25" t="n">
        <v>81</v>
      </c>
      <c r="AB25" t="n">
        <v>2</v>
      </c>
      <c r="AC25" t="n">
        <v>2</v>
      </c>
      <c r="AD25" t="n">
        <v>1</v>
      </c>
      <c r="AE25" t="n">
        <v>2</v>
      </c>
      <c r="AF25" t="n">
        <v>0</v>
      </c>
      <c r="AG25" t="n">
        <v>0</v>
      </c>
      <c r="AH25" t="n">
        <v>0</v>
      </c>
      <c r="AI25" t="n">
        <v>0</v>
      </c>
      <c r="AJ25" t="n">
        <v>0</v>
      </c>
      <c r="AK25" t="n">
        <v>1</v>
      </c>
      <c r="AL25" t="n">
        <v>1</v>
      </c>
      <c r="AM25" t="n">
        <v>1</v>
      </c>
      <c r="AN25" t="n">
        <v>0</v>
      </c>
      <c r="AO25" t="n">
        <v>0</v>
      </c>
      <c r="AP25" t="inlineStr">
        <is>
          <t>No</t>
        </is>
      </c>
      <c r="AQ25" t="inlineStr">
        <is>
          <t>Yes</t>
        </is>
      </c>
      <c r="AR25">
        <f>HYPERLINK("http://catalog.hathitrust.org/Record/007476773","HathiTrust Record")</f>
        <v/>
      </c>
      <c r="AS25">
        <f>HYPERLINK("https://creighton-primo.hosted.exlibrisgroup.com/primo-explore/search?tab=default_tab&amp;search_scope=EVERYTHING&amp;vid=01CRU&amp;lang=en_US&amp;offset=0&amp;query=any,contains,991003019739702656","Catalog Record")</f>
        <v/>
      </c>
      <c r="AT25">
        <f>HYPERLINK("http://www.worldcat.org/oclc/584326","WorldCat Record")</f>
        <v/>
      </c>
      <c r="AU25" t="inlineStr">
        <is>
          <t>1742530:eng</t>
        </is>
      </c>
      <c r="AV25" t="inlineStr">
        <is>
          <t>584326</t>
        </is>
      </c>
      <c r="AW25" t="inlineStr">
        <is>
          <t>991003019739702656</t>
        </is>
      </c>
      <c r="AX25" t="inlineStr">
        <is>
          <t>991003019739702656</t>
        </is>
      </c>
      <c r="AY25" t="inlineStr">
        <is>
          <t>2268989600002656</t>
        </is>
      </c>
      <c r="AZ25" t="inlineStr">
        <is>
          <t>BOOK</t>
        </is>
      </c>
      <c r="BB25" t="inlineStr">
        <is>
          <t>9780950143514</t>
        </is>
      </c>
      <c r="BC25" t="inlineStr">
        <is>
          <t>32285001754877</t>
        </is>
      </c>
      <c r="BD25" t="inlineStr">
        <is>
          <t>893610621</t>
        </is>
      </c>
    </row>
    <row r="26">
      <c r="A26" t="inlineStr">
        <is>
          <t>No</t>
        </is>
      </c>
      <c r="B26" t="inlineStr">
        <is>
          <t>QB16 .N48</t>
        </is>
      </c>
      <c r="C26" t="inlineStr">
        <is>
          <t>0                      QB 0016000N  48</t>
        </is>
      </c>
      <c r="D26" t="inlineStr">
        <is>
          <t>Ancient astronomical observations and the accelerations of the earth and moon, by Robert R. Newton.</t>
        </is>
      </c>
      <c r="F26" t="inlineStr">
        <is>
          <t>No</t>
        </is>
      </c>
      <c r="G26" t="inlineStr">
        <is>
          <t>1</t>
        </is>
      </c>
      <c r="H26" t="inlineStr">
        <is>
          <t>No</t>
        </is>
      </c>
      <c r="I26" t="inlineStr">
        <is>
          <t>No</t>
        </is>
      </c>
      <c r="J26" t="inlineStr">
        <is>
          <t>0</t>
        </is>
      </c>
      <c r="K26" t="inlineStr">
        <is>
          <t>Newton, Robert R.</t>
        </is>
      </c>
      <c r="L26" t="inlineStr">
        <is>
          <t>Baltimore, Johns Hopkins Press [1970]</t>
        </is>
      </c>
      <c r="M26" t="inlineStr">
        <is>
          <t>1970</t>
        </is>
      </c>
      <c r="O26" t="inlineStr">
        <is>
          <t>eng</t>
        </is>
      </c>
      <c r="P26" t="inlineStr">
        <is>
          <t>mdu</t>
        </is>
      </c>
      <c r="R26" t="inlineStr">
        <is>
          <t xml:space="preserve">QB </t>
        </is>
      </c>
      <c r="S26" t="n">
        <v>2</v>
      </c>
      <c r="T26" t="n">
        <v>2</v>
      </c>
      <c r="U26" t="inlineStr">
        <is>
          <t>2009-04-08</t>
        </is>
      </c>
      <c r="V26" t="inlineStr">
        <is>
          <t>2009-04-08</t>
        </is>
      </c>
      <c r="W26" t="inlineStr">
        <is>
          <t>1997-04-22</t>
        </is>
      </c>
      <c r="X26" t="inlineStr">
        <is>
          <t>1997-04-22</t>
        </is>
      </c>
      <c r="Y26" t="n">
        <v>399</v>
      </c>
      <c r="Z26" t="n">
        <v>320</v>
      </c>
      <c r="AA26" t="n">
        <v>325</v>
      </c>
      <c r="AB26" t="n">
        <v>3</v>
      </c>
      <c r="AC26" t="n">
        <v>3</v>
      </c>
      <c r="AD26" t="n">
        <v>7</v>
      </c>
      <c r="AE26" t="n">
        <v>7</v>
      </c>
      <c r="AF26" t="n">
        <v>1</v>
      </c>
      <c r="AG26" t="n">
        <v>1</v>
      </c>
      <c r="AH26" t="n">
        <v>5</v>
      </c>
      <c r="AI26" t="n">
        <v>5</v>
      </c>
      <c r="AJ26" t="n">
        <v>1</v>
      </c>
      <c r="AK26" t="n">
        <v>1</v>
      </c>
      <c r="AL26" t="n">
        <v>2</v>
      </c>
      <c r="AM26" t="n">
        <v>2</v>
      </c>
      <c r="AN26" t="n">
        <v>0</v>
      </c>
      <c r="AO26" t="n">
        <v>0</v>
      </c>
      <c r="AP26" t="inlineStr">
        <is>
          <t>No</t>
        </is>
      </c>
      <c r="AQ26" t="inlineStr">
        <is>
          <t>Yes</t>
        </is>
      </c>
      <c r="AR26">
        <f>HYPERLINK("http://catalog.hathitrust.org/Record/001475440","HathiTrust Record")</f>
        <v/>
      </c>
      <c r="AS26">
        <f>HYPERLINK("https://creighton-primo.hosted.exlibrisgroup.com/primo-explore/search?tab=default_tab&amp;search_scope=EVERYTHING&amp;vid=01CRU&amp;lang=en_US&amp;offset=0&amp;query=any,contains,991000546839702656","Catalog Record")</f>
        <v/>
      </c>
      <c r="AT26">
        <f>HYPERLINK("http://www.worldcat.org/oclc/91579","WorldCat Record")</f>
        <v/>
      </c>
      <c r="AU26" t="inlineStr">
        <is>
          <t>1302525:eng</t>
        </is>
      </c>
      <c r="AV26" t="inlineStr">
        <is>
          <t>91579</t>
        </is>
      </c>
      <c r="AW26" t="inlineStr">
        <is>
          <t>991000546839702656</t>
        </is>
      </c>
      <c r="AX26" t="inlineStr">
        <is>
          <t>991000546839702656</t>
        </is>
      </c>
      <c r="AY26" t="inlineStr">
        <is>
          <t>2264753560002656</t>
        </is>
      </c>
      <c r="AZ26" t="inlineStr">
        <is>
          <t>BOOK</t>
        </is>
      </c>
      <c r="BB26" t="inlineStr">
        <is>
          <t>9780801811807</t>
        </is>
      </c>
      <c r="BC26" t="inlineStr">
        <is>
          <t>32285002582939</t>
        </is>
      </c>
      <c r="BD26" t="inlineStr">
        <is>
          <t>893802872</t>
        </is>
      </c>
    </row>
    <row r="27">
      <c r="A27" t="inlineStr">
        <is>
          <t>No</t>
        </is>
      </c>
      <c r="B27" t="inlineStr">
        <is>
          <t>QB16 .P55</t>
        </is>
      </c>
      <c r="C27" t="inlineStr">
        <is>
          <t>0                      QB 0016000P  55</t>
        </is>
      </c>
      <c r="D27" t="inlineStr">
        <is>
          <t>The Place of astronomy in the ancient world : a joint symposium of the Royal Society and the British Academy / organized by D. G. Kendall ... [et al.] ; edited by F. R. Hodson.</t>
        </is>
      </c>
      <c r="F27" t="inlineStr">
        <is>
          <t>No</t>
        </is>
      </c>
      <c r="G27" t="inlineStr">
        <is>
          <t>1</t>
        </is>
      </c>
      <c r="H27" t="inlineStr">
        <is>
          <t>No</t>
        </is>
      </c>
      <c r="I27" t="inlineStr">
        <is>
          <t>No</t>
        </is>
      </c>
      <c r="J27" t="inlineStr">
        <is>
          <t>0</t>
        </is>
      </c>
      <c r="L27" t="inlineStr">
        <is>
          <t>London : Oxford University Press for the British Academy, 1974.</t>
        </is>
      </c>
      <c r="M27" t="inlineStr">
        <is>
          <t>1974</t>
        </is>
      </c>
      <c r="O27" t="inlineStr">
        <is>
          <t>eng</t>
        </is>
      </c>
      <c r="P27" t="inlineStr">
        <is>
          <t>enk</t>
        </is>
      </c>
      <c r="R27" t="inlineStr">
        <is>
          <t xml:space="preserve">QB </t>
        </is>
      </c>
      <c r="S27" t="n">
        <v>2</v>
      </c>
      <c r="T27" t="n">
        <v>2</v>
      </c>
      <c r="U27" t="inlineStr">
        <is>
          <t>2009-04-08</t>
        </is>
      </c>
      <c r="V27" t="inlineStr">
        <is>
          <t>2009-04-08</t>
        </is>
      </c>
      <c r="W27" t="inlineStr">
        <is>
          <t>1997-04-22</t>
        </is>
      </c>
      <c r="X27" t="inlineStr">
        <is>
          <t>1997-04-22</t>
        </is>
      </c>
      <c r="Y27" t="n">
        <v>431</v>
      </c>
      <c r="Z27" t="n">
        <v>296</v>
      </c>
      <c r="AA27" t="n">
        <v>297</v>
      </c>
      <c r="AB27" t="n">
        <v>2</v>
      </c>
      <c r="AC27" t="n">
        <v>2</v>
      </c>
      <c r="AD27" t="n">
        <v>10</v>
      </c>
      <c r="AE27" t="n">
        <v>10</v>
      </c>
      <c r="AF27" t="n">
        <v>2</v>
      </c>
      <c r="AG27" t="n">
        <v>2</v>
      </c>
      <c r="AH27" t="n">
        <v>3</v>
      </c>
      <c r="AI27" t="n">
        <v>3</v>
      </c>
      <c r="AJ27" t="n">
        <v>5</v>
      </c>
      <c r="AK27" t="n">
        <v>5</v>
      </c>
      <c r="AL27" t="n">
        <v>1</v>
      </c>
      <c r="AM27" t="n">
        <v>1</v>
      </c>
      <c r="AN27" t="n">
        <v>0</v>
      </c>
      <c r="AO27" t="n">
        <v>0</v>
      </c>
      <c r="AP27" t="inlineStr">
        <is>
          <t>No</t>
        </is>
      </c>
      <c r="AQ27" t="inlineStr">
        <is>
          <t>Yes</t>
        </is>
      </c>
      <c r="AR27">
        <f>HYPERLINK("http://catalog.hathitrust.org/Record/001475441","HathiTrust Record")</f>
        <v/>
      </c>
      <c r="AS27">
        <f>HYPERLINK("https://creighton-primo.hosted.exlibrisgroup.com/primo-explore/search?tab=default_tab&amp;search_scope=EVERYTHING&amp;vid=01CRU&amp;lang=en_US&amp;offset=0&amp;query=any,contains,991003533219702656","Catalog Record")</f>
        <v/>
      </c>
      <c r="AT27">
        <f>HYPERLINK("http://www.worldcat.org/oclc/1095484","WorldCat Record")</f>
        <v/>
      </c>
      <c r="AU27" t="inlineStr">
        <is>
          <t>2452893668:eng</t>
        </is>
      </c>
      <c r="AV27" t="inlineStr">
        <is>
          <t>1095484</t>
        </is>
      </c>
      <c r="AW27" t="inlineStr">
        <is>
          <t>991003533219702656</t>
        </is>
      </c>
      <c r="AX27" t="inlineStr">
        <is>
          <t>991003533219702656</t>
        </is>
      </c>
      <c r="AY27" t="inlineStr">
        <is>
          <t>2267959050002656</t>
        </is>
      </c>
      <c r="AZ27" t="inlineStr">
        <is>
          <t>BOOK</t>
        </is>
      </c>
      <c r="BB27" t="inlineStr">
        <is>
          <t>9780197259443</t>
        </is>
      </c>
      <c r="BC27" t="inlineStr">
        <is>
          <t>32285002582947</t>
        </is>
      </c>
      <c r="BD27" t="inlineStr">
        <is>
          <t>893604890</t>
        </is>
      </c>
    </row>
    <row r="28">
      <c r="A28" t="inlineStr">
        <is>
          <t>No</t>
        </is>
      </c>
      <c r="B28" t="inlineStr">
        <is>
          <t>QB175 .H69</t>
        </is>
      </c>
      <c r="C28" t="inlineStr">
        <is>
          <t>0                      QB 0175000H  69</t>
        </is>
      </c>
      <c r="D28" t="inlineStr">
        <is>
          <t>On Stonehenge / Fred Hoyle.</t>
        </is>
      </c>
      <c r="F28" t="inlineStr">
        <is>
          <t>No</t>
        </is>
      </c>
      <c r="G28" t="inlineStr">
        <is>
          <t>1</t>
        </is>
      </c>
      <c r="H28" t="inlineStr">
        <is>
          <t>No</t>
        </is>
      </c>
      <c r="I28" t="inlineStr">
        <is>
          <t>No</t>
        </is>
      </c>
      <c r="J28" t="inlineStr">
        <is>
          <t>0</t>
        </is>
      </c>
      <c r="K28" t="inlineStr">
        <is>
          <t>Hoyle, Fred, 1915-2001.</t>
        </is>
      </c>
      <c r="L28" t="inlineStr">
        <is>
          <t>San Francisco : W. H. Freeman, c1977.</t>
        </is>
      </c>
      <c r="M28" t="inlineStr">
        <is>
          <t>1977</t>
        </is>
      </c>
      <c r="O28" t="inlineStr">
        <is>
          <t>eng</t>
        </is>
      </c>
      <c r="P28" t="inlineStr">
        <is>
          <t>cau</t>
        </is>
      </c>
      <c r="R28" t="inlineStr">
        <is>
          <t xml:space="preserve">QB </t>
        </is>
      </c>
      <c r="S28" t="n">
        <v>4</v>
      </c>
      <c r="T28" t="n">
        <v>4</v>
      </c>
      <c r="U28" t="inlineStr">
        <is>
          <t>1996-03-20</t>
        </is>
      </c>
      <c r="V28" t="inlineStr">
        <is>
          <t>1996-03-20</t>
        </is>
      </c>
      <c r="W28" t="inlineStr">
        <is>
          <t>1992-05-19</t>
        </is>
      </c>
      <c r="X28" t="inlineStr">
        <is>
          <t>1992-05-19</t>
        </is>
      </c>
      <c r="Y28" t="n">
        <v>1057</v>
      </c>
      <c r="Z28" t="n">
        <v>964</v>
      </c>
      <c r="AA28" t="n">
        <v>980</v>
      </c>
      <c r="AB28" t="n">
        <v>11</v>
      </c>
      <c r="AC28" t="n">
        <v>11</v>
      </c>
      <c r="AD28" t="n">
        <v>27</v>
      </c>
      <c r="AE28" t="n">
        <v>28</v>
      </c>
      <c r="AF28" t="n">
        <v>9</v>
      </c>
      <c r="AG28" t="n">
        <v>9</v>
      </c>
      <c r="AH28" t="n">
        <v>5</v>
      </c>
      <c r="AI28" t="n">
        <v>5</v>
      </c>
      <c r="AJ28" t="n">
        <v>9</v>
      </c>
      <c r="AK28" t="n">
        <v>10</v>
      </c>
      <c r="AL28" t="n">
        <v>8</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HYPERLINK("https://creighton-primo.hosted.exlibrisgroup.com/primo-explore/search?tab=default_tab&amp;search_scope=EVERYTHING&amp;vid=01CRU&amp;lang=en_US&amp;offset=0&amp;query=any,contains,991004178319702656","Catalog Record")</f>
        <v/>
      </c>
      <c r="AT28">
        <f>HYPERLINK("http://www.worldcat.org/oclc/2598214","WorldCat Record")</f>
        <v/>
      </c>
      <c r="AU28" t="inlineStr">
        <is>
          <t>352559598:eng</t>
        </is>
      </c>
      <c r="AV28" t="inlineStr">
        <is>
          <t>2598214</t>
        </is>
      </c>
      <c r="AW28" t="inlineStr">
        <is>
          <t>991004178319702656</t>
        </is>
      </c>
      <c r="AX28" t="inlineStr">
        <is>
          <t>991004178319702656</t>
        </is>
      </c>
      <c r="AY28" t="inlineStr">
        <is>
          <t>2265978160002656</t>
        </is>
      </c>
      <c r="AZ28" t="inlineStr">
        <is>
          <t>BOOK</t>
        </is>
      </c>
      <c r="BB28" t="inlineStr">
        <is>
          <t>9780716703648</t>
        </is>
      </c>
      <c r="BC28" t="inlineStr">
        <is>
          <t>32285001111466</t>
        </is>
      </c>
      <c r="BD28" t="inlineStr">
        <is>
          <t>893775726</t>
        </is>
      </c>
    </row>
    <row r="29">
      <c r="A29" t="inlineStr">
        <is>
          <t>No</t>
        </is>
      </c>
      <c r="B29" t="inlineStr">
        <is>
          <t>QB19 .H86 1999</t>
        </is>
      </c>
      <c r="C29" t="inlineStr">
        <is>
          <t>0                      QB 0019000H  86          1999</t>
        </is>
      </c>
      <c r="D29" t="inlineStr">
        <is>
          <t>Astral sciences in Mesopotamia / by Hermann Hunger and David Pingree.</t>
        </is>
      </c>
      <c r="F29" t="inlineStr">
        <is>
          <t>No</t>
        </is>
      </c>
      <c r="G29" t="inlineStr">
        <is>
          <t>1</t>
        </is>
      </c>
      <c r="H29" t="inlineStr">
        <is>
          <t>No</t>
        </is>
      </c>
      <c r="I29" t="inlineStr">
        <is>
          <t>No</t>
        </is>
      </c>
      <c r="J29" t="inlineStr">
        <is>
          <t>0</t>
        </is>
      </c>
      <c r="K29" t="inlineStr">
        <is>
          <t>Hunger, Hermann, 1942-</t>
        </is>
      </c>
      <c r="L29" t="inlineStr">
        <is>
          <t>Leiden ; Boston : Brill, 1999.</t>
        </is>
      </c>
      <c r="M29" t="inlineStr">
        <is>
          <t>1999</t>
        </is>
      </c>
      <c r="O29" t="inlineStr">
        <is>
          <t>eng</t>
        </is>
      </c>
      <c r="P29" t="inlineStr">
        <is>
          <t xml:space="preserve">ne </t>
        </is>
      </c>
      <c r="Q29" t="inlineStr">
        <is>
          <t>Handbuch der Orientalistik. Erste Abteilung, Der Nahe und Mittlere Osten, 0169-9423 ; 44. Bd. = Handbook of oriental studies. The Near and Middle East</t>
        </is>
      </c>
      <c r="R29" t="inlineStr">
        <is>
          <t xml:space="preserve">QB </t>
        </is>
      </c>
      <c r="S29" t="n">
        <v>1</v>
      </c>
      <c r="T29" t="n">
        <v>1</v>
      </c>
      <c r="U29" t="inlineStr">
        <is>
          <t>2002-02-25</t>
        </is>
      </c>
      <c r="V29" t="inlineStr">
        <is>
          <t>2002-02-25</t>
        </is>
      </c>
      <c r="W29" t="inlineStr">
        <is>
          <t>2002-02-25</t>
        </is>
      </c>
      <c r="X29" t="inlineStr">
        <is>
          <t>2002-02-25</t>
        </is>
      </c>
      <c r="Y29" t="n">
        <v>179</v>
      </c>
      <c r="Z29" t="n">
        <v>109</v>
      </c>
      <c r="AA29" t="n">
        <v>124</v>
      </c>
      <c r="AB29" t="n">
        <v>2</v>
      </c>
      <c r="AC29" t="n">
        <v>2</v>
      </c>
      <c r="AD29" t="n">
        <v>4</v>
      </c>
      <c r="AE29" t="n">
        <v>4</v>
      </c>
      <c r="AF29" t="n">
        <v>0</v>
      </c>
      <c r="AG29" t="n">
        <v>0</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HYPERLINK("https://creighton-primo.hosted.exlibrisgroup.com/primo-explore/search?tab=default_tab&amp;search_scope=EVERYTHING&amp;vid=01CRU&amp;lang=en_US&amp;offset=0&amp;query=any,contains,991003655169702656","Catalog Record")</f>
        <v/>
      </c>
      <c r="AT29">
        <f>HYPERLINK("http://www.worldcat.org/oclc/41712083","WorldCat Record")</f>
        <v/>
      </c>
      <c r="AU29" t="inlineStr">
        <is>
          <t>5612768795:eng</t>
        </is>
      </c>
      <c r="AV29" t="inlineStr">
        <is>
          <t>41712083</t>
        </is>
      </c>
      <c r="AW29" t="inlineStr">
        <is>
          <t>991003655169702656</t>
        </is>
      </c>
      <c r="AX29" t="inlineStr">
        <is>
          <t>991003655169702656</t>
        </is>
      </c>
      <c r="AY29" t="inlineStr">
        <is>
          <t>2262980740002656</t>
        </is>
      </c>
      <c r="AZ29" t="inlineStr">
        <is>
          <t>BOOK</t>
        </is>
      </c>
      <c r="BB29" t="inlineStr">
        <is>
          <t>9789004101272</t>
        </is>
      </c>
      <c r="BC29" t="inlineStr">
        <is>
          <t>32285004456868</t>
        </is>
      </c>
      <c r="BD29" t="inlineStr">
        <is>
          <t>893893961</t>
        </is>
      </c>
    </row>
    <row r="30">
      <c r="A30" t="inlineStr">
        <is>
          <t>No</t>
        </is>
      </c>
      <c r="B30" t="inlineStr">
        <is>
          <t>QB20 .L8</t>
        </is>
      </c>
      <c r="C30" t="inlineStr">
        <is>
          <t>0                      QB 0020000L  8</t>
        </is>
      </c>
      <c r="D30" t="inlineStr">
        <is>
          <t>The dawn of astronomy; a study of the temple worship and mythology of the ancient Egyptians. With a pref. by Giorgio de Santillana.</t>
        </is>
      </c>
      <c r="F30" t="inlineStr">
        <is>
          <t>No</t>
        </is>
      </c>
      <c r="G30" t="inlineStr">
        <is>
          <t>1</t>
        </is>
      </c>
      <c r="H30" t="inlineStr">
        <is>
          <t>No</t>
        </is>
      </c>
      <c r="I30" t="inlineStr">
        <is>
          <t>No</t>
        </is>
      </c>
      <c r="J30" t="inlineStr">
        <is>
          <t>0</t>
        </is>
      </c>
      <c r="K30" t="inlineStr">
        <is>
          <t>Lockyer, Norman, Sir, 1836-1920.</t>
        </is>
      </c>
      <c r="L30" t="inlineStr">
        <is>
          <t>Cambridge, Mass., M.I.T. Press [1964]</t>
        </is>
      </c>
      <c r="M30" t="inlineStr">
        <is>
          <t>1964</t>
        </is>
      </c>
      <c r="O30" t="inlineStr">
        <is>
          <t>eng</t>
        </is>
      </c>
      <c r="P30" t="inlineStr">
        <is>
          <t>mau</t>
        </is>
      </c>
      <c r="Q30" t="inlineStr">
        <is>
          <t>The MIT paperback series, MIT15</t>
        </is>
      </c>
      <c r="R30" t="inlineStr">
        <is>
          <t xml:space="preserve">QB </t>
        </is>
      </c>
      <c r="S30" t="n">
        <v>1</v>
      </c>
      <c r="T30" t="n">
        <v>1</v>
      </c>
      <c r="U30" t="inlineStr">
        <is>
          <t>2004-06-28</t>
        </is>
      </c>
      <c r="V30" t="inlineStr">
        <is>
          <t>2004-06-28</t>
        </is>
      </c>
      <c r="W30" t="inlineStr">
        <is>
          <t>1997-04-24</t>
        </is>
      </c>
      <c r="X30" t="inlineStr">
        <is>
          <t>1997-04-24</t>
        </is>
      </c>
      <c r="Y30" t="n">
        <v>466</v>
      </c>
      <c r="Z30" t="n">
        <v>415</v>
      </c>
      <c r="AA30" t="n">
        <v>603</v>
      </c>
      <c r="AB30" t="n">
        <v>3</v>
      </c>
      <c r="AC30" t="n">
        <v>5</v>
      </c>
      <c r="AD30" t="n">
        <v>18</v>
      </c>
      <c r="AE30" t="n">
        <v>25</v>
      </c>
      <c r="AF30" t="n">
        <v>7</v>
      </c>
      <c r="AG30" t="n">
        <v>9</v>
      </c>
      <c r="AH30" t="n">
        <v>4</v>
      </c>
      <c r="AI30" t="n">
        <v>6</v>
      </c>
      <c r="AJ30" t="n">
        <v>9</v>
      </c>
      <c r="AK30" t="n">
        <v>11</v>
      </c>
      <c r="AL30" t="n">
        <v>2</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HYPERLINK("https://creighton-primo.hosted.exlibrisgroup.com/primo-explore/search?tab=default_tab&amp;search_scope=EVERYTHING&amp;vid=01CRU&amp;lang=en_US&amp;offset=0&amp;query=any,contains,991003316159702656","Catalog Record")</f>
        <v/>
      </c>
      <c r="AT30">
        <f>HYPERLINK("http://www.worldcat.org/oclc/841114","WorldCat Record")</f>
        <v/>
      </c>
      <c r="AU30" t="inlineStr">
        <is>
          <t>1578834:eng</t>
        </is>
      </c>
      <c r="AV30" t="inlineStr">
        <is>
          <t>841114</t>
        </is>
      </c>
      <c r="AW30" t="inlineStr">
        <is>
          <t>991003316159702656</t>
        </is>
      </c>
      <c r="AX30" t="inlineStr">
        <is>
          <t>991003316159702656</t>
        </is>
      </c>
      <c r="AY30" t="inlineStr">
        <is>
          <t>2265049690002656</t>
        </is>
      </c>
      <c r="AZ30" t="inlineStr">
        <is>
          <t>BOOK</t>
        </is>
      </c>
      <c r="BC30" t="inlineStr">
        <is>
          <t>32285002582954</t>
        </is>
      </c>
      <c r="BD30" t="inlineStr">
        <is>
          <t>893623369</t>
        </is>
      </c>
    </row>
    <row r="31">
      <c r="A31" t="inlineStr">
        <is>
          <t>No</t>
        </is>
      </c>
      <c r="B31" t="inlineStr">
        <is>
          <t>QB209 .A94 1989</t>
        </is>
      </c>
      <c r="C31" t="inlineStr">
        <is>
          <t>0                      QB 0209000A  94          1989</t>
        </is>
      </c>
      <c r="D31" t="inlineStr">
        <is>
          <t>Empires of time : calendars, clocks, and cultures / Anthony F. Aveni.</t>
        </is>
      </c>
      <c r="F31" t="inlineStr">
        <is>
          <t>No</t>
        </is>
      </c>
      <c r="G31" t="inlineStr">
        <is>
          <t>1</t>
        </is>
      </c>
      <c r="H31" t="inlineStr">
        <is>
          <t>No</t>
        </is>
      </c>
      <c r="I31" t="inlineStr">
        <is>
          <t>No</t>
        </is>
      </c>
      <c r="J31" t="inlineStr">
        <is>
          <t>0</t>
        </is>
      </c>
      <c r="K31" t="inlineStr">
        <is>
          <t>Aveni, Anthony F.</t>
        </is>
      </c>
      <c r="L31" t="inlineStr">
        <is>
          <t>New York : Basic Books, c1989.</t>
        </is>
      </c>
      <c r="M31" t="inlineStr">
        <is>
          <t>1989</t>
        </is>
      </c>
      <c r="O31" t="inlineStr">
        <is>
          <t>eng</t>
        </is>
      </c>
      <c r="P31" t="inlineStr">
        <is>
          <t>nyu</t>
        </is>
      </c>
      <c r="R31" t="inlineStr">
        <is>
          <t xml:space="preserve">QB </t>
        </is>
      </c>
      <c r="S31" t="n">
        <v>3</v>
      </c>
      <c r="T31" t="n">
        <v>3</v>
      </c>
      <c r="U31" t="inlineStr">
        <is>
          <t>2007-11-05</t>
        </is>
      </c>
      <c r="V31" t="inlineStr">
        <is>
          <t>2007-11-05</t>
        </is>
      </c>
      <c r="W31" t="inlineStr">
        <is>
          <t>1990-06-18</t>
        </is>
      </c>
      <c r="X31" t="inlineStr">
        <is>
          <t>1990-06-18</t>
        </is>
      </c>
      <c r="Y31" t="n">
        <v>1089</v>
      </c>
      <c r="Z31" t="n">
        <v>997</v>
      </c>
      <c r="AA31" t="n">
        <v>1236</v>
      </c>
      <c r="AB31" t="n">
        <v>9</v>
      </c>
      <c r="AC31" t="n">
        <v>13</v>
      </c>
      <c r="AD31" t="n">
        <v>23</v>
      </c>
      <c r="AE31" t="n">
        <v>34</v>
      </c>
      <c r="AF31" t="n">
        <v>9</v>
      </c>
      <c r="AG31" t="n">
        <v>12</v>
      </c>
      <c r="AH31" t="n">
        <v>5</v>
      </c>
      <c r="AI31" t="n">
        <v>6</v>
      </c>
      <c r="AJ31" t="n">
        <v>10</v>
      </c>
      <c r="AK31" t="n">
        <v>14</v>
      </c>
      <c r="AL31" t="n">
        <v>5</v>
      </c>
      <c r="AM31" t="n">
        <v>9</v>
      </c>
      <c r="AN31" t="n">
        <v>0</v>
      </c>
      <c r="AO31" t="n">
        <v>0</v>
      </c>
      <c r="AP31" t="inlineStr">
        <is>
          <t>No</t>
        </is>
      </c>
      <c r="AQ31" t="inlineStr">
        <is>
          <t>Yes</t>
        </is>
      </c>
      <c r="AR31">
        <f>HYPERLINK("http://catalog.hathitrust.org/Record/001551015","HathiTrust Record")</f>
        <v/>
      </c>
      <c r="AS31">
        <f>HYPERLINK("https://creighton-primo.hosted.exlibrisgroup.com/primo-explore/search?tab=default_tab&amp;search_scope=EVERYTHING&amp;vid=01CRU&amp;lang=en_US&amp;offset=0&amp;query=any,contains,991001491519702656","Catalog Record")</f>
        <v/>
      </c>
      <c r="AT31">
        <f>HYPERLINK("http://www.worldcat.org/oclc/19723698","WorldCat Record")</f>
        <v/>
      </c>
      <c r="AU31" t="inlineStr">
        <is>
          <t>792217114:eng</t>
        </is>
      </c>
      <c r="AV31" t="inlineStr">
        <is>
          <t>19723698</t>
        </is>
      </c>
      <c r="AW31" t="inlineStr">
        <is>
          <t>991001491519702656</t>
        </is>
      </c>
      <c r="AX31" t="inlineStr">
        <is>
          <t>991001491519702656</t>
        </is>
      </c>
      <c r="AY31" t="inlineStr">
        <is>
          <t>2260569990002656</t>
        </is>
      </c>
      <c r="AZ31" t="inlineStr">
        <is>
          <t>BOOK</t>
        </is>
      </c>
      <c r="BB31" t="inlineStr">
        <is>
          <t>9780465019502</t>
        </is>
      </c>
      <c r="BC31" t="inlineStr">
        <is>
          <t>32285000178425</t>
        </is>
      </c>
      <c r="BD31" t="inlineStr">
        <is>
          <t>893684361</t>
        </is>
      </c>
    </row>
    <row r="32">
      <c r="A32" t="inlineStr">
        <is>
          <t>No</t>
        </is>
      </c>
      <c r="B32" t="inlineStr">
        <is>
          <t>QB209 .G35 2003</t>
        </is>
      </c>
      <c r="C32" t="inlineStr">
        <is>
          <t>0                      QB 0209000G  35          2003</t>
        </is>
      </c>
      <c r="D32" t="inlineStr">
        <is>
          <t>Einstein's clocks, Poincaré's maps : empires of time / Peter Galison.</t>
        </is>
      </c>
      <c r="F32" t="inlineStr">
        <is>
          <t>No</t>
        </is>
      </c>
      <c r="G32" t="inlineStr">
        <is>
          <t>1</t>
        </is>
      </c>
      <c r="H32" t="inlineStr">
        <is>
          <t>No</t>
        </is>
      </c>
      <c r="I32" t="inlineStr">
        <is>
          <t>No</t>
        </is>
      </c>
      <c r="J32" t="inlineStr">
        <is>
          <t>0</t>
        </is>
      </c>
      <c r="K32" t="inlineStr">
        <is>
          <t>Galison, Peter, 1955-</t>
        </is>
      </c>
      <c r="L32" t="inlineStr">
        <is>
          <t>New York : W.W. Norton, c2003.</t>
        </is>
      </c>
      <c r="M32" t="inlineStr">
        <is>
          <t>2003</t>
        </is>
      </c>
      <c r="N32" t="inlineStr">
        <is>
          <t>1st ed.</t>
        </is>
      </c>
      <c r="O32" t="inlineStr">
        <is>
          <t>eng</t>
        </is>
      </c>
      <c r="P32" t="inlineStr">
        <is>
          <t>nyu</t>
        </is>
      </c>
      <c r="R32" t="inlineStr">
        <is>
          <t xml:space="preserve">QB </t>
        </is>
      </c>
      <c r="S32" t="n">
        <v>1</v>
      </c>
      <c r="T32" t="n">
        <v>1</v>
      </c>
      <c r="U32" t="inlineStr">
        <is>
          <t>2003-10-15</t>
        </is>
      </c>
      <c r="V32" t="inlineStr">
        <is>
          <t>2003-10-15</t>
        </is>
      </c>
      <c r="W32" t="inlineStr">
        <is>
          <t>2003-09-11</t>
        </is>
      </c>
      <c r="X32" t="inlineStr">
        <is>
          <t>2003-09-11</t>
        </is>
      </c>
      <c r="Y32" t="n">
        <v>1496</v>
      </c>
      <c r="Z32" t="n">
        <v>1362</v>
      </c>
      <c r="AA32" t="n">
        <v>1369</v>
      </c>
      <c r="AB32" t="n">
        <v>9</v>
      </c>
      <c r="AC32" t="n">
        <v>9</v>
      </c>
      <c r="AD32" t="n">
        <v>35</v>
      </c>
      <c r="AE32" t="n">
        <v>35</v>
      </c>
      <c r="AF32" t="n">
        <v>13</v>
      </c>
      <c r="AG32" t="n">
        <v>13</v>
      </c>
      <c r="AH32" t="n">
        <v>7</v>
      </c>
      <c r="AI32" t="n">
        <v>7</v>
      </c>
      <c r="AJ32" t="n">
        <v>17</v>
      </c>
      <c r="AK32" t="n">
        <v>17</v>
      </c>
      <c r="AL32" t="n">
        <v>7</v>
      </c>
      <c r="AM32" t="n">
        <v>7</v>
      </c>
      <c r="AN32" t="n">
        <v>0</v>
      </c>
      <c r="AO32" t="n">
        <v>0</v>
      </c>
      <c r="AP32" t="inlineStr">
        <is>
          <t>No</t>
        </is>
      </c>
      <c r="AQ32" t="inlineStr">
        <is>
          <t>No</t>
        </is>
      </c>
      <c r="AS32">
        <f>HYPERLINK("https://creighton-primo.hosted.exlibrisgroup.com/primo-explore/search?tab=default_tab&amp;search_scope=EVERYTHING&amp;vid=01CRU&amp;lang=en_US&amp;offset=0&amp;query=any,contains,991004122289702656","Catalog Record")</f>
        <v/>
      </c>
      <c r="AT32">
        <f>HYPERLINK("http://www.worldcat.org/oclc/51177432","WorldCat Record")</f>
        <v/>
      </c>
      <c r="AU32" t="inlineStr">
        <is>
          <t>69335888:eng</t>
        </is>
      </c>
      <c r="AV32" t="inlineStr">
        <is>
          <t>51177432</t>
        </is>
      </c>
      <c r="AW32" t="inlineStr">
        <is>
          <t>991004122289702656</t>
        </is>
      </c>
      <c r="AX32" t="inlineStr">
        <is>
          <t>991004122289702656</t>
        </is>
      </c>
      <c r="AY32" t="inlineStr">
        <is>
          <t>2266940110002656</t>
        </is>
      </c>
      <c r="AZ32" t="inlineStr">
        <is>
          <t>BOOK</t>
        </is>
      </c>
      <c r="BB32" t="inlineStr">
        <is>
          <t>9780393020014</t>
        </is>
      </c>
      <c r="BC32" t="inlineStr">
        <is>
          <t>32285004788872</t>
        </is>
      </c>
      <c r="BD32" t="inlineStr">
        <is>
          <t>893611947</t>
        </is>
      </c>
    </row>
    <row r="33">
      <c r="A33" t="inlineStr">
        <is>
          <t>No</t>
        </is>
      </c>
      <c r="B33" t="inlineStr">
        <is>
          <t>QB209 .I55</t>
        </is>
      </c>
      <c r="C33" t="inlineStr">
        <is>
          <t>0                      QB 0209000I  55</t>
        </is>
      </c>
      <c r="D33" t="inlineStr">
        <is>
          <t>The study of time; proceedings of the first conference of the International Society for the Study of Time, Oberwolfach (Black Forest), West Germany. Edited by J. T. Fraser, F. C. Haber [and] G. H. Müller.</t>
        </is>
      </c>
      <c r="E33" t="inlineStr">
        <is>
          <t>V.2</t>
        </is>
      </c>
      <c r="F33" t="inlineStr">
        <is>
          <t>Yes</t>
        </is>
      </c>
      <c r="G33" t="inlineStr">
        <is>
          <t>1</t>
        </is>
      </c>
      <c r="H33" t="inlineStr">
        <is>
          <t>No</t>
        </is>
      </c>
      <c r="I33" t="inlineStr">
        <is>
          <t>No</t>
        </is>
      </c>
      <c r="J33" t="inlineStr">
        <is>
          <t>0</t>
        </is>
      </c>
      <c r="K33" t="inlineStr">
        <is>
          <t>International Society for the Study of Time.</t>
        </is>
      </c>
      <c r="L33" t="inlineStr">
        <is>
          <t>Berlin, New York, Springer-Verlag, 1972.</t>
        </is>
      </c>
      <c r="M33" t="inlineStr">
        <is>
          <t>1972</t>
        </is>
      </c>
      <c r="O33" t="inlineStr">
        <is>
          <t>eng</t>
        </is>
      </c>
      <c r="P33" t="inlineStr">
        <is>
          <t xml:space="preserve">gw </t>
        </is>
      </c>
      <c r="R33" t="inlineStr">
        <is>
          <t xml:space="preserve">QB </t>
        </is>
      </c>
      <c r="S33" t="n">
        <v>0</v>
      </c>
      <c r="T33" t="n">
        <v>0</v>
      </c>
      <c r="U33" t="inlineStr">
        <is>
          <t>2003-07-09</t>
        </is>
      </c>
      <c r="V33" t="inlineStr">
        <is>
          <t>2003-07-09</t>
        </is>
      </c>
      <c r="W33" t="inlineStr">
        <is>
          <t>1997-05-02</t>
        </is>
      </c>
      <c r="X33" t="inlineStr">
        <is>
          <t>1997-05-02</t>
        </is>
      </c>
      <c r="Y33" t="n">
        <v>234</v>
      </c>
      <c r="Z33" t="n">
        <v>166</v>
      </c>
      <c r="AA33" t="n">
        <v>190</v>
      </c>
      <c r="AB33" t="n">
        <v>2</v>
      </c>
      <c r="AC33" t="n">
        <v>2</v>
      </c>
      <c r="AD33" t="n">
        <v>11</v>
      </c>
      <c r="AE33" t="n">
        <v>11</v>
      </c>
      <c r="AF33" t="n">
        <v>4</v>
      </c>
      <c r="AG33" t="n">
        <v>4</v>
      </c>
      <c r="AH33" t="n">
        <v>3</v>
      </c>
      <c r="AI33" t="n">
        <v>3</v>
      </c>
      <c r="AJ33" t="n">
        <v>6</v>
      </c>
      <c r="AK33" t="n">
        <v>6</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HYPERLINK("https://creighton-primo.hosted.exlibrisgroup.com/primo-explore/search?tab=default_tab&amp;search_scope=EVERYTHING&amp;vid=01CRU&amp;lang=en_US&amp;offset=0&amp;query=any,contains,991005008989702656","Catalog Record")</f>
        <v/>
      </c>
      <c r="AT33">
        <f>HYPERLINK("http://www.worldcat.org/oclc/6585074","WorldCat Record")</f>
        <v/>
      </c>
      <c r="AU33" t="inlineStr">
        <is>
          <t>4928973286:eng</t>
        </is>
      </c>
      <c r="AV33" t="inlineStr">
        <is>
          <t>6585074</t>
        </is>
      </c>
      <c r="AW33" t="inlineStr">
        <is>
          <t>991005008989702656</t>
        </is>
      </c>
      <c r="AX33" t="inlineStr">
        <is>
          <t>991005008989702656</t>
        </is>
      </c>
      <c r="AY33" t="inlineStr">
        <is>
          <t>2258497870002656</t>
        </is>
      </c>
      <c r="AZ33" t="inlineStr">
        <is>
          <t>BOOK</t>
        </is>
      </c>
      <c r="BB33" t="inlineStr">
        <is>
          <t>9780387058245</t>
        </is>
      </c>
      <c r="BC33" t="inlineStr">
        <is>
          <t>32285002640315</t>
        </is>
      </c>
      <c r="BD33" t="inlineStr">
        <is>
          <t>893628456</t>
        </is>
      </c>
    </row>
    <row r="34">
      <c r="A34" t="inlineStr">
        <is>
          <t>No</t>
        </is>
      </c>
      <c r="B34" t="inlineStr">
        <is>
          <t>QB209 .I55</t>
        </is>
      </c>
      <c r="C34" t="inlineStr">
        <is>
          <t>0                      QB 0209000I  55</t>
        </is>
      </c>
      <c r="D34" t="inlineStr">
        <is>
          <t>The study of time; proceedings of the first conference of the International Society for the Study of Time, Oberwolfach (Black Forest), West Germany. Edited by J. T. Fraser, F. C. Haber [and] G. H. Müller.</t>
        </is>
      </c>
      <c r="E34" t="inlineStr">
        <is>
          <t>V.1</t>
        </is>
      </c>
      <c r="F34" t="inlineStr">
        <is>
          <t>Yes</t>
        </is>
      </c>
      <c r="G34" t="inlineStr">
        <is>
          <t>1</t>
        </is>
      </c>
      <c r="H34" t="inlineStr">
        <is>
          <t>No</t>
        </is>
      </c>
      <c r="I34" t="inlineStr">
        <is>
          <t>No</t>
        </is>
      </c>
      <c r="J34" t="inlineStr">
        <is>
          <t>0</t>
        </is>
      </c>
      <c r="K34" t="inlineStr">
        <is>
          <t>International Society for the Study of Time.</t>
        </is>
      </c>
      <c r="L34" t="inlineStr">
        <is>
          <t>Berlin, New York, Springer-Verlag, 1972.</t>
        </is>
      </c>
      <c r="M34" t="inlineStr">
        <is>
          <t>1972</t>
        </is>
      </c>
      <c r="O34" t="inlineStr">
        <is>
          <t>eng</t>
        </is>
      </c>
      <c r="P34" t="inlineStr">
        <is>
          <t xml:space="preserve">gw </t>
        </is>
      </c>
      <c r="R34" t="inlineStr">
        <is>
          <t xml:space="preserve">QB </t>
        </is>
      </c>
      <c r="S34" t="n">
        <v>0</v>
      </c>
      <c r="T34" t="n">
        <v>0</v>
      </c>
      <c r="U34" t="inlineStr">
        <is>
          <t>2003-07-09</t>
        </is>
      </c>
      <c r="V34" t="inlineStr">
        <is>
          <t>2003-07-09</t>
        </is>
      </c>
      <c r="W34" t="inlineStr">
        <is>
          <t>1997-05-02</t>
        </is>
      </c>
      <c r="X34" t="inlineStr">
        <is>
          <t>1997-05-02</t>
        </is>
      </c>
      <c r="Y34" t="n">
        <v>234</v>
      </c>
      <c r="Z34" t="n">
        <v>166</v>
      </c>
      <c r="AA34" t="n">
        <v>190</v>
      </c>
      <c r="AB34" t="n">
        <v>2</v>
      </c>
      <c r="AC34" t="n">
        <v>2</v>
      </c>
      <c r="AD34" t="n">
        <v>11</v>
      </c>
      <c r="AE34" t="n">
        <v>11</v>
      </c>
      <c r="AF34" t="n">
        <v>4</v>
      </c>
      <c r="AG34" t="n">
        <v>4</v>
      </c>
      <c r="AH34" t="n">
        <v>3</v>
      </c>
      <c r="AI34" t="n">
        <v>3</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HYPERLINK("https://creighton-primo.hosted.exlibrisgroup.com/primo-explore/search?tab=default_tab&amp;search_scope=EVERYTHING&amp;vid=01CRU&amp;lang=en_US&amp;offset=0&amp;query=any,contains,991005008989702656","Catalog Record")</f>
        <v/>
      </c>
      <c r="AT34">
        <f>HYPERLINK("http://www.worldcat.org/oclc/6585074","WorldCat Record")</f>
        <v/>
      </c>
      <c r="AU34" t="inlineStr">
        <is>
          <t>4928973286:eng</t>
        </is>
      </c>
      <c r="AV34" t="inlineStr">
        <is>
          <t>6585074</t>
        </is>
      </c>
      <c r="AW34" t="inlineStr">
        <is>
          <t>991005008989702656</t>
        </is>
      </c>
      <c r="AX34" t="inlineStr">
        <is>
          <t>991005008989702656</t>
        </is>
      </c>
      <c r="AY34" t="inlineStr">
        <is>
          <t>2258497870002656</t>
        </is>
      </c>
      <c r="AZ34" t="inlineStr">
        <is>
          <t>BOOK</t>
        </is>
      </c>
      <c r="BB34" t="inlineStr">
        <is>
          <t>9780387058245</t>
        </is>
      </c>
      <c r="BC34" t="inlineStr">
        <is>
          <t>32285002640307</t>
        </is>
      </c>
      <c r="BD34" t="inlineStr">
        <is>
          <t>893628457</t>
        </is>
      </c>
    </row>
    <row r="35">
      <c r="A35" t="inlineStr">
        <is>
          <t>No</t>
        </is>
      </c>
      <c r="B35" t="inlineStr">
        <is>
          <t>QB209 .I55</t>
        </is>
      </c>
      <c r="C35" t="inlineStr">
        <is>
          <t>0                      QB 0209000I  55</t>
        </is>
      </c>
      <c r="D35" t="inlineStr">
        <is>
          <t>The study of time; proceedings of the first conference of the International Society for the Study of Time, Oberwolfach (Black Forest), West Germany. Edited by J. T. Fraser, F. C. Haber [and] G. H. Müller.</t>
        </is>
      </c>
      <c r="E35" t="inlineStr">
        <is>
          <t>V.3</t>
        </is>
      </c>
      <c r="F35" t="inlineStr">
        <is>
          <t>Yes</t>
        </is>
      </c>
      <c r="G35" t="inlineStr">
        <is>
          <t>1</t>
        </is>
      </c>
      <c r="H35" t="inlineStr">
        <is>
          <t>No</t>
        </is>
      </c>
      <c r="I35" t="inlineStr">
        <is>
          <t>No</t>
        </is>
      </c>
      <c r="J35" t="inlineStr">
        <is>
          <t>0</t>
        </is>
      </c>
      <c r="K35" t="inlineStr">
        <is>
          <t>International Society for the Study of Time.</t>
        </is>
      </c>
      <c r="L35" t="inlineStr">
        <is>
          <t>Berlin, New York, Springer-Verlag, 1972.</t>
        </is>
      </c>
      <c r="M35" t="inlineStr">
        <is>
          <t>1972</t>
        </is>
      </c>
      <c r="O35" t="inlineStr">
        <is>
          <t>eng</t>
        </is>
      </c>
      <c r="P35" t="inlineStr">
        <is>
          <t xml:space="preserve">gw </t>
        </is>
      </c>
      <c r="R35" t="inlineStr">
        <is>
          <t xml:space="preserve">QB </t>
        </is>
      </c>
      <c r="S35" t="n">
        <v>0</v>
      </c>
      <c r="T35" t="n">
        <v>0</v>
      </c>
      <c r="U35" t="inlineStr">
        <is>
          <t>2003-07-09</t>
        </is>
      </c>
      <c r="V35" t="inlineStr">
        <is>
          <t>2003-07-09</t>
        </is>
      </c>
      <c r="W35" t="inlineStr">
        <is>
          <t>1997-05-02</t>
        </is>
      </c>
      <c r="X35" t="inlineStr">
        <is>
          <t>1997-05-02</t>
        </is>
      </c>
      <c r="Y35" t="n">
        <v>234</v>
      </c>
      <c r="Z35" t="n">
        <v>166</v>
      </c>
      <c r="AA35" t="n">
        <v>190</v>
      </c>
      <c r="AB35" t="n">
        <v>2</v>
      </c>
      <c r="AC35" t="n">
        <v>2</v>
      </c>
      <c r="AD35" t="n">
        <v>11</v>
      </c>
      <c r="AE35" t="n">
        <v>11</v>
      </c>
      <c r="AF35" t="n">
        <v>4</v>
      </c>
      <c r="AG35" t="n">
        <v>4</v>
      </c>
      <c r="AH35" t="n">
        <v>3</v>
      </c>
      <c r="AI35" t="n">
        <v>3</v>
      </c>
      <c r="AJ35" t="n">
        <v>6</v>
      </c>
      <c r="AK35" t="n">
        <v>6</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HYPERLINK("https://creighton-primo.hosted.exlibrisgroup.com/primo-explore/search?tab=default_tab&amp;search_scope=EVERYTHING&amp;vid=01CRU&amp;lang=en_US&amp;offset=0&amp;query=any,contains,991005008989702656","Catalog Record")</f>
        <v/>
      </c>
      <c r="AT35">
        <f>HYPERLINK("http://www.worldcat.org/oclc/6585074","WorldCat Record")</f>
        <v/>
      </c>
      <c r="AU35" t="inlineStr">
        <is>
          <t>4928973286:eng</t>
        </is>
      </c>
      <c r="AV35" t="inlineStr">
        <is>
          <t>6585074</t>
        </is>
      </c>
      <c r="AW35" t="inlineStr">
        <is>
          <t>991005008989702656</t>
        </is>
      </c>
      <c r="AX35" t="inlineStr">
        <is>
          <t>991005008989702656</t>
        </is>
      </c>
      <c r="AY35" t="inlineStr">
        <is>
          <t>2258497870002656</t>
        </is>
      </c>
      <c r="AZ35" t="inlineStr">
        <is>
          <t>BOOK</t>
        </is>
      </c>
      <c r="BB35" t="inlineStr">
        <is>
          <t>9780387058245</t>
        </is>
      </c>
      <c r="BC35" t="inlineStr">
        <is>
          <t>32285002640323</t>
        </is>
      </c>
      <c r="BD35" t="inlineStr">
        <is>
          <t>893606704</t>
        </is>
      </c>
    </row>
    <row r="36">
      <c r="A36" t="inlineStr">
        <is>
          <t>No</t>
        </is>
      </c>
      <c r="B36" t="inlineStr">
        <is>
          <t>QB209 .P35 1991</t>
        </is>
      </c>
      <c r="C36" t="inlineStr">
        <is>
          <t>0                      QB 0209000P  35          1991</t>
        </is>
      </c>
      <c r="D36" t="inlineStr">
        <is>
          <t>Cosmic time travel : a scientific odyssey / Barry Parker ; drawings by Lori Scoffield.</t>
        </is>
      </c>
      <c r="F36" t="inlineStr">
        <is>
          <t>No</t>
        </is>
      </c>
      <c r="G36" t="inlineStr">
        <is>
          <t>1</t>
        </is>
      </c>
      <c r="H36" t="inlineStr">
        <is>
          <t>No</t>
        </is>
      </c>
      <c r="I36" t="inlineStr">
        <is>
          <t>No</t>
        </is>
      </c>
      <c r="J36" t="inlineStr">
        <is>
          <t>0</t>
        </is>
      </c>
      <c r="K36" t="inlineStr">
        <is>
          <t>Parker, Barry R.</t>
        </is>
      </c>
      <c r="L36" t="inlineStr">
        <is>
          <t>New York : Plenum Press, c1991.</t>
        </is>
      </c>
      <c r="M36" t="inlineStr">
        <is>
          <t>1991</t>
        </is>
      </c>
      <c r="O36" t="inlineStr">
        <is>
          <t>eng</t>
        </is>
      </c>
      <c r="P36" t="inlineStr">
        <is>
          <t>nyu</t>
        </is>
      </c>
      <c r="R36" t="inlineStr">
        <is>
          <t xml:space="preserve">QB </t>
        </is>
      </c>
      <c r="S36" t="n">
        <v>10</v>
      </c>
      <c r="T36" t="n">
        <v>10</v>
      </c>
      <c r="U36" t="inlineStr">
        <is>
          <t>2001-02-04</t>
        </is>
      </c>
      <c r="V36" t="inlineStr">
        <is>
          <t>2001-02-04</t>
        </is>
      </c>
      <c r="W36" t="inlineStr">
        <is>
          <t>1992-09-05</t>
        </is>
      </c>
      <c r="X36" t="inlineStr">
        <is>
          <t>1992-09-05</t>
        </is>
      </c>
      <c r="Y36" t="n">
        <v>694</v>
      </c>
      <c r="Z36" t="n">
        <v>625</v>
      </c>
      <c r="AA36" t="n">
        <v>751</v>
      </c>
      <c r="AB36" t="n">
        <v>5</v>
      </c>
      <c r="AC36" t="n">
        <v>5</v>
      </c>
      <c r="AD36" t="n">
        <v>22</v>
      </c>
      <c r="AE36" t="n">
        <v>26</v>
      </c>
      <c r="AF36" t="n">
        <v>10</v>
      </c>
      <c r="AG36" t="n">
        <v>13</v>
      </c>
      <c r="AH36" t="n">
        <v>5</v>
      </c>
      <c r="AI36" t="n">
        <v>6</v>
      </c>
      <c r="AJ36" t="n">
        <v>11</v>
      </c>
      <c r="AK36" t="n">
        <v>12</v>
      </c>
      <c r="AL36" t="n">
        <v>3</v>
      </c>
      <c r="AM36" t="n">
        <v>3</v>
      </c>
      <c r="AN36" t="n">
        <v>0</v>
      </c>
      <c r="AO36" t="n">
        <v>0</v>
      </c>
      <c r="AP36" t="inlineStr">
        <is>
          <t>No</t>
        </is>
      </c>
      <c r="AQ36" t="inlineStr">
        <is>
          <t>Yes</t>
        </is>
      </c>
      <c r="AR36">
        <f>HYPERLINK("http://catalog.hathitrust.org/Record/002482227","HathiTrust Record")</f>
        <v/>
      </c>
      <c r="AS36">
        <f>HYPERLINK("https://creighton-primo.hosted.exlibrisgroup.com/primo-explore/search?tab=default_tab&amp;search_scope=EVERYTHING&amp;vid=01CRU&amp;lang=en_US&amp;offset=0&amp;query=any,contains,991001893379702656","Catalog Record")</f>
        <v/>
      </c>
      <c r="AT36">
        <f>HYPERLINK("http://www.worldcat.org/oclc/23902133","WorldCat Record")</f>
        <v/>
      </c>
      <c r="AU36" t="inlineStr">
        <is>
          <t>801240685:eng</t>
        </is>
      </c>
      <c r="AV36" t="inlineStr">
        <is>
          <t>23902133</t>
        </is>
      </c>
      <c r="AW36" t="inlineStr">
        <is>
          <t>991001893379702656</t>
        </is>
      </c>
      <c r="AX36" t="inlineStr">
        <is>
          <t>991001893379702656</t>
        </is>
      </c>
      <c r="AY36" t="inlineStr">
        <is>
          <t>2263965840002656</t>
        </is>
      </c>
      <c r="AZ36" t="inlineStr">
        <is>
          <t>BOOK</t>
        </is>
      </c>
      <c r="BB36" t="inlineStr">
        <is>
          <t>9780306439667</t>
        </is>
      </c>
      <c r="BC36" t="inlineStr">
        <is>
          <t>32285001285708</t>
        </is>
      </c>
      <c r="BD36" t="inlineStr">
        <is>
          <t>893497515</t>
        </is>
      </c>
    </row>
    <row r="37">
      <c r="A37" t="inlineStr">
        <is>
          <t>No</t>
        </is>
      </c>
      <c r="B37" t="inlineStr">
        <is>
          <t>QB209 .S48 1983</t>
        </is>
      </c>
      <c r="C37" t="inlineStr">
        <is>
          <t>0                      QB 0209000S  48          1983</t>
        </is>
      </c>
      <c r="D37" t="inlineStr">
        <is>
          <t>On time : an investigation into scientific knowledge and human experience / Michael Shallis.</t>
        </is>
      </c>
      <c r="F37" t="inlineStr">
        <is>
          <t>No</t>
        </is>
      </c>
      <c r="G37" t="inlineStr">
        <is>
          <t>1</t>
        </is>
      </c>
      <c r="H37" t="inlineStr">
        <is>
          <t>No</t>
        </is>
      </c>
      <c r="I37" t="inlineStr">
        <is>
          <t>No</t>
        </is>
      </c>
      <c r="J37" t="inlineStr">
        <is>
          <t>0</t>
        </is>
      </c>
      <c r="K37" t="inlineStr">
        <is>
          <t>Shallis, Michael.</t>
        </is>
      </c>
      <c r="L37" t="inlineStr">
        <is>
          <t>New York : Schocken Books, 1983, c1982.</t>
        </is>
      </c>
      <c r="M37" t="inlineStr">
        <is>
          <t>1983</t>
        </is>
      </c>
      <c r="N37" t="inlineStr">
        <is>
          <t>1st American ed.</t>
        </is>
      </c>
      <c r="O37" t="inlineStr">
        <is>
          <t>eng</t>
        </is>
      </c>
      <c r="P37" t="inlineStr">
        <is>
          <t>nyu</t>
        </is>
      </c>
      <c r="R37" t="inlineStr">
        <is>
          <t xml:space="preserve">QB </t>
        </is>
      </c>
      <c r="S37" t="n">
        <v>4</v>
      </c>
      <c r="T37" t="n">
        <v>4</v>
      </c>
      <c r="U37" t="inlineStr">
        <is>
          <t>1996-10-31</t>
        </is>
      </c>
      <c r="V37" t="inlineStr">
        <is>
          <t>1996-10-31</t>
        </is>
      </c>
      <c r="W37" t="inlineStr">
        <is>
          <t>1992-11-18</t>
        </is>
      </c>
      <c r="X37" t="inlineStr">
        <is>
          <t>1992-11-18</t>
        </is>
      </c>
      <c r="Y37" t="n">
        <v>565</v>
      </c>
      <c r="Z37" t="n">
        <v>524</v>
      </c>
      <c r="AA37" t="n">
        <v>552</v>
      </c>
      <c r="AB37" t="n">
        <v>2</v>
      </c>
      <c r="AC37" t="n">
        <v>3</v>
      </c>
      <c r="AD37" t="n">
        <v>15</v>
      </c>
      <c r="AE37" t="n">
        <v>19</v>
      </c>
      <c r="AF37" t="n">
        <v>6</v>
      </c>
      <c r="AG37" t="n">
        <v>7</v>
      </c>
      <c r="AH37" t="n">
        <v>5</v>
      </c>
      <c r="AI37" t="n">
        <v>6</v>
      </c>
      <c r="AJ37" t="n">
        <v>9</v>
      </c>
      <c r="AK37" t="n">
        <v>10</v>
      </c>
      <c r="AL37" t="n">
        <v>0</v>
      </c>
      <c r="AM37" t="n">
        <v>1</v>
      </c>
      <c r="AN37" t="n">
        <v>0</v>
      </c>
      <c r="AO37" t="n">
        <v>0</v>
      </c>
      <c r="AP37" t="inlineStr">
        <is>
          <t>No</t>
        </is>
      </c>
      <c r="AQ37" t="inlineStr">
        <is>
          <t>Yes</t>
        </is>
      </c>
      <c r="AR37">
        <f>HYPERLINK("http://catalog.hathitrust.org/Record/004393209","HathiTrust Record")</f>
        <v/>
      </c>
      <c r="AS37">
        <f>HYPERLINK("https://creighton-primo.hosted.exlibrisgroup.com/primo-explore/search?tab=default_tab&amp;search_scope=EVERYTHING&amp;vid=01CRU&amp;lang=en_US&amp;offset=0&amp;query=any,contains,991000034769702656","Catalog Record")</f>
        <v/>
      </c>
      <c r="AT37">
        <f>HYPERLINK("http://www.worldcat.org/oclc/8627215","WorldCat Record")</f>
        <v/>
      </c>
      <c r="AU37" t="inlineStr">
        <is>
          <t>5553325:eng</t>
        </is>
      </c>
      <c r="AV37" t="inlineStr">
        <is>
          <t>8627215</t>
        </is>
      </c>
      <c r="AW37" t="inlineStr">
        <is>
          <t>991000034769702656</t>
        </is>
      </c>
      <c r="AX37" t="inlineStr">
        <is>
          <t>991000034769702656</t>
        </is>
      </c>
      <c r="AY37" t="inlineStr">
        <is>
          <t>2261717410002656</t>
        </is>
      </c>
      <c r="AZ37" t="inlineStr">
        <is>
          <t>BOOK</t>
        </is>
      </c>
      <c r="BB37" t="inlineStr">
        <is>
          <t>9780805238532</t>
        </is>
      </c>
      <c r="BC37" t="inlineStr">
        <is>
          <t>32285001432441</t>
        </is>
      </c>
      <c r="BD37" t="inlineStr">
        <is>
          <t>893607558</t>
        </is>
      </c>
    </row>
    <row r="38">
      <c r="A38" t="inlineStr">
        <is>
          <t>No</t>
        </is>
      </c>
      <c r="B38" t="inlineStr">
        <is>
          <t>QB209 .W45 1980</t>
        </is>
      </c>
      <c r="C38" t="inlineStr">
        <is>
          <t>0                      QB 0209000W  45          1980</t>
        </is>
      </c>
      <c r="D38" t="inlineStr">
        <is>
          <t>The natural philosophy of time / by G. J. Whitrow.</t>
        </is>
      </c>
      <c r="F38" t="inlineStr">
        <is>
          <t>No</t>
        </is>
      </c>
      <c r="G38" t="inlineStr">
        <is>
          <t>1</t>
        </is>
      </c>
      <c r="H38" t="inlineStr">
        <is>
          <t>No</t>
        </is>
      </c>
      <c r="I38" t="inlineStr">
        <is>
          <t>No</t>
        </is>
      </c>
      <c r="J38" t="inlineStr">
        <is>
          <t>0</t>
        </is>
      </c>
      <c r="K38" t="inlineStr">
        <is>
          <t>Whitrow, G. J.</t>
        </is>
      </c>
      <c r="L38" t="inlineStr">
        <is>
          <t>Oxford : Clarendon Press ; New York : Oxford University Press, 1980.</t>
        </is>
      </c>
      <c r="M38" t="inlineStr">
        <is>
          <t>1980</t>
        </is>
      </c>
      <c r="N38" t="inlineStr">
        <is>
          <t>2d ed.</t>
        </is>
      </c>
      <c r="O38" t="inlineStr">
        <is>
          <t>eng</t>
        </is>
      </c>
      <c r="P38" t="inlineStr">
        <is>
          <t>enk</t>
        </is>
      </c>
      <c r="R38" t="inlineStr">
        <is>
          <t xml:space="preserve">QB </t>
        </is>
      </c>
      <c r="S38" t="n">
        <v>1</v>
      </c>
      <c r="T38" t="n">
        <v>1</v>
      </c>
      <c r="U38" t="inlineStr">
        <is>
          <t>2007-10-27</t>
        </is>
      </c>
      <c r="V38" t="inlineStr">
        <is>
          <t>2007-10-27</t>
        </is>
      </c>
      <c r="W38" t="inlineStr">
        <is>
          <t>1992-11-18</t>
        </is>
      </c>
      <c r="X38" t="inlineStr">
        <is>
          <t>1992-11-18</t>
        </is>
      </c>
      <c r="Y38" t="n">
        <v>690</v>
      </c>
      <c r="Z38" t="n">
        <v>518</v>
      </c>
      <c r="AA38" t="n">
        <v>702</v>
      </c>
      <c r="AB38" t="n">
        <v>7</v>
      </c>
      <c r="AC38" t="n">
        <v>7</v>
      </c>
      <c r="AD38" t="n">
        <v>31</v>
      </c>
      <c r="AE38" t="n">
        <v>40</v>
      </c>
      <c r="AF38" t="n">
        <v>8</v>
      </c>
      <c r="AG38" t="n">
        <v>14</v>
      </c>
      <c r="AH38" t="n">
        <v>8</v>
      </c>
      <c r="AI38" t="n">
        <v>8</v>
      </c>
      <c r="AJ38" t="n">
        <v>15</v>
      </c>
      <c r="AK38" t="n">
        <v>22</v>
      </c>
      <c r="AL38" t="n">
        <v>6</v>
      </c>
      <c r="AM38" t="n">
        <v>6</v>
      </c>
      <c r="AN38" t="n">
        <v>0</v>
      </c>
      <c r="AO38" t="n">
        <v>0</v>
      </c>
      <c r="AP38" t="inlineStr">
        <is>
          <t>No</t>
        </is>
      </c>
      <c r="AQ38" t="inlineStr">
        <is>
          <t>Yes</t>
        </is>
      </c>
      <c r="AR38">
        <f>HYPERLINK("http://catalog.hathitrust.org/Record/000718229","HathiTrust Record")</f>
        <v/>
      </c>
      <c r="AS38">
        <f>HYPERLINK("https://creighton-primo.hosted.exlibrisgroup.com/primo-explore/search?tab=default_tab&amp;search_scope=EVERYTHING&amp;vid=01CRU&amp;lang=en_US&amp;offset=0&amp;query=any,contains,991004885869702656","Catalog Record")</f>
        <v/>
      </c>
      <c r="AT38">
        <f>HYPERLINK("http://www.worldcat.org/oclc/5831897","WorldCat Record")</f>
        <v/>
      </c>
      <c r="AU38" t="inlineStr">
        <is>
          <t>2352559:eng</t>
        </is>
      </c>
      <c r="AV38" t="inlineStr">
        <is>
          <t>5831897</t>
        </is>
      </c>
      <c r="AW38" t="inlineStr">
        <is>
          <t>991004885869702656</t>
        </is>
      </c>
      <c r="AX38" t="inlineStr">
        <is>
          <t>991004885869702656</t>
        </is>
      </c>
      <c r="AY38" t="inlineStr">
        <is>
          <t>2255993680002656</t>
        </is>
      </c>
      <c r="AZ38" t="inlineStr">
        <is>
          <t>BOOK</t>
        </is>
      </c>
      <c r="BB38" t="inlineStr">
        <is>
          <t>9780198582120</t>
        </is>
      </c>
      <c r="BC38" t="inlineStr">
        <is>
          <t>32285001432458</t>
        </is>
      </c>
      <c r="BD38" t="inlineStr">
        <is>
          <t>893625204</t>
        </is>
      </c>
    </row>
    <row r="39">
      <c r="A39" t="inlineStr">
        <is>
          <t>No</t>
        </is>
      </c>
      <c r="B39" t="inlineStr">
        <is>
          <t>QB215 .G5</t>
        </is>
      </c>
      <c r="C39" t="inlineStr">
        <is>
          <t>0                      QB 0215000G  5</t>
        </is>
      </c>
      <c r="D39" t="inlineStr">
        <is>
          <t>Greek and Roman sundials / Sharon L. Gibbs.</t>
        </is>
      </c>
      <c r="F39" t="inlineStr">
        <is>
          <t>No</t>
        </is>
      </c>
      <c r="G39" t="inlineStr">
        <is>
          <t>1</t>
        </is>
      </c>
      <c r="H39" t="inlineStr">
        <is>
          <t>No</t>
        </is>
      </c>
      <c r="I39" t="inlineStr">
        <is>
          <t>No</t>
        </is>
      </c>
      <c r="J39" t="inlineStr">
        <is>
          <t>0</t>
        </is>
      </c>
      <c r="K39" t="inlineStr">
        <is>
          <t>Gibbs, Sharon L.</t>
        </is>
      </c>
      <c r="L39" t="inlineStr">
        <is>
          <t>New Haven, [Conn.] : Yale University Press, 1976.</t>
        </is>
      </c>
      <c r="M39" t="inlineStr">
        <is>
          <t>1976</t>
        </is>
      </c>
      <c r="O39" t="inlineStr">
        <is>
          <t>eng</t>
        </is>
      </c>
      <c r="P39" t="inlineStr">
        <is>
          <t>ctu</t>
        </is>
      </c>
      <c r="Q39" t="inlineStr">
        <is>
          <t>Yale studies in the history of science and medicine ; 11</t>
        </is>
      </c>
      <c r="R39" t="inlineStr">
        <is>
          <t xml:space="preserve">QB </t>
        </is>
      </c>
      <c r="S39" t="n">
        <v>1</v>
      </c>
      <c r="T39" t="n">
        <v>1</v>
      </c>
      <c r="U39" t="inlineStr">
        <is>
          <t>2007-10-27</t>
        </is>
      </c>
      <c r="V39" t="inlineStr">
        <is>
          <t>2007-10-27</t>
        </is>
      </c>
      <c r="W39" t="inlineStr">
        <is>
          <t>1992-11-18</t>
        </is>
      </c>
      <c r="X39" t="inlineStr">
        <is>
          <t>1992-11-18</t>
        </is>
      </c>
      <c r="Y39" t="n">
        <v>324</v>
      </c>
      <c r="Z39" t="n">
        <v>231</v>
      </c>
      <c r="AA39" t="n">
        <v>232</v>
      </c>
      <c r="AB39" t="n">
        <v>2</v>
      </c>
      <c r="AC39" t="n">
        <v>2</v>
      </c>
      <c r="AD39" t="n">
        <v>9</v>
      </c>
      <c r="AE39" t="n">
        <v>9</v>
      </c>
      <c r="AF39" t="n">
        <v>1</v>
      </c>
      <c r="AG39" t="n">
        <v>1</v>
      </c>
      <c r="AH39" t="n">
        <v>2</v>
      </c>
      <c r="AI39" t="n">
        <v>2</v>
      </c>
      <c r="AJ39" t="n">
        <v>7</v>
      </c>
      <c r="AK39" t="n">
        <v>7</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HYPERLINK("https://creighton-primo.hosted.exlibrisgroup.com/primo-explore/search?tab=default_tab&amp;search_scope=EVERYTHING&amp;vid=01CRU&amp;lang=en_US&amp;offset=0&amp;query=any,contains,991004072209702656","Catalog Record")</f>
        <v/>
      </c>
      <c r="AT39">
        <f>HYPERLINK("http://www.worldcat.org/oclc/2306590","WorldCat Record")</f>
        <v/>
      </c>
      <c r="AU39" t="inlineStr">
        <is>
          <t>4490648:eng</t>
        </is>
      </c>
      <c r="AV39" t="inlineStr">
        <is>
          <t>2306590</t>
        </is>
      </c>
      <c r="AW39" t="inlineStr">
        <is>
          <t>991004072209702656</t>
        </is>
      </c>
      <c r="AX39" t="inlineStr">
        <is>
          <t>991004072209702656</t>
        </is>
      </c>
      <c r="AY39" t="inlineStr">
        <is>
          <t>2266205060002656</t>
        </is>
      </c>
      <c r="AZ39" t="inlineStr">
        <is>
          <t>BOOK</t>
        </is>
      </c>
      <c r="BB39" t="inlineStr">
        <is>
          <t>9780300018028</t>
        </is>
      </c>
      <c r="BC39" t="inlineStr">
        <is>
          <t>32285001432466</t>
        </is>
      </c>
      <c r="BD39" t="inlineStr">
        <is>
          <t>893429617</t>
        </is>
      </c>
    </row>
    <row r="40">
      <c r="A40" t="inlineStr">
        <is>
          <t>No</t>
        </is>
      </c>
      <c r="B40" t="inlineStr">
        <is>
          <t>QB215 .R613</t>
        </is>
      </c>
      <c r="C40" t="inlineStr">
        <is>
          <t>0                      QB 0215000R  613</t>
        </is>
      </c>
      <c r="D40" t="inlineStr">
        <is>
          <t>Sundials: history, theory and practice [by] René R. J. Rohr. [Translated by Gabriel Godin.</t>
        </is>
      </c>
      <c r="F40" t="inlineStr">
        <is>
          <t>No</t>
        </is>
      </c>
      <c r="G40" t="inlineStr">
        <is>
          <t>1</t>
        </is>
      </c>
      <c r="H40" t="inlineStr">
        <is>
          <t>No</t>
        </is>
      </c>
      <c r="I40" t="inlineStr">
        <is>
          <t>No</t>
        </is>
      </c>
      <c r="J40" t="inlineStr">
        <is>
          <t>0</t>
        </is>
      </c>
      <c r="K40" t="inlineStr">
        <is>
          <t>Rohr, René R. J.</t>
        </is>
      </c>
      <c r="L40" t="inlineStr">
        <is>
          <t>Toronto] University of Toronto Press [1970]</t>
        </is>
      </c>
      <c r="M40" t="inlineStr">
        <is>
          <t>1970</t>
        </is>
      </c>
      <c r="O40" t="inlineStr">
        <is>
          <t>eng</t>
        </is>
      </c>
      <c r="P40" t="inlineStr">
        <is>
          <t>onc</t>
        </is>
      </c>
      <c r="R40" t="inlineStr">
        <is>
          <t xml:space="preserve">QB </t>
        </is>
      </c>
      <c r="S40" t="n">
        <v>1</v>
      </c>
      <c r="T40" t="n">
        <v>1</v>
      </c>
      <c r="U40" t="inlineStr">
        <is>
          <t>2008-01-07</t>
        </is>
      </c>
      <c r="V40" t="inlineStr">
        <is>
          <t>2008-01-07</t>
        </is>
      </c>
      <c r="W40" t="inlineStr">
        <is>
          <t>1997-05-02</t>
        </is>
      </c>
      <c r="X40" t="inlineStr">
        <is>
          <t>1997-05-02</t>
        </is>
      </c>
      <c r="Y40" t="n">
        <v>436</v>
      </c>
      <c r="Z40" t="n">
        <v>347</v>
      </c>
      <c r="AA40" t="n">
        <v>564</v>
      </c>
      <c r="AB40" t="n">
        <v>2</v>
      </c>
      <c r="AC40" t="n">
        <v>4</v>
      </c>
      <c r="AD40" t="n">
        <v>12</v>
      </c>
      <c r="AE40" t="n">
        <v>16</v>
      </c>
      <c r="AF40" t="n">
        <v>3</v>
      </c>
      <c r="AG40" t="n">
        <v>6</v>
      </c>
      <c r="AH40" t="n">
        <v>3</v>
      </c>
      <c r="AI40" t="n">
        <v>4</v>
      </c>
      <c r="AJ40" t="n">
        <v>7</v>
      </c>
      <c r="AK40" t="n">
        <v>8</v>
      </c>
      <c r="AL40" t="n">
        <v>1</v>
      </c>
      <c r="AM40" t="n">
        <v>2</v>
      </c>
      <c r="AN40" t="n">
        <v>0</v>
      </c>
      <c r="AO40" t="n">
        <v>0</v>
      </c>
      <c r="AP40" t="inlineStr">
        <is>
          <t>No</t>
        </is>
      </c>
      <c r="AQ40" t="inlineStr">
        <is>
          <t>Yes</t>
        </is>
      </c>
      <c r="AR40">
        <f>HYPERLINK("http://catalog.hathitrust.org/Record/008442067","HathiTrust Record")</f>
        <v/>
      </c>
      <c r="AS40">
        <f>HYPERLINK("https://creighton-primo.hosted.exlibrisgroup.com/primo-explore/search?tab=default_tab&amp;search_scope=EVERYTHING&amp;vid=01CRU&amp;lang=en_US&amp;offset=0&amp;query=any,contains,991000549919702656","Catalog Record")</f>
        <v/>
      </c>
      <c r="AT40">
        <f>HYPERLINK("http://www.worldcat.org/oclc/92367","WorldCat Record")</f>
        <v/>
      </c>
      <c r="AU40" t="inlineStr">
        <is>
          <t>1305634:eng</t>
        </is>
      </c>
      <c r="AV40" t="inlineStr">
        <is>
          <t>92367</t>
        </is>
      </c>
      <c r="AW40" t="inlineStr">
        <is>
          <t>991000549919702656</t>
        </is>
      </c>
      <c r="AX40" t="inlineStr">
        <is>
          <t>991000549919702656</t>
        </is>
      </c>
      <c r="AY40" t="inlineStr">
        <is>
          <t>2262622650002656</t>
        </is>
      </c>
      <c r="AZ40" t="inlineStr">
        <is>
          <t>BOOK</t>
        </is>
      </c>
      <c r="BB40" t="inlineStr">
        <is>
          <t>9780802015679</t>
        </is>
      </c>
      <c r="BC40" t="inlineStr">
        <is>
          <t>32285002640364</t>
        </is>
      </c>
      <c r="BD40" t="inlineStr">
        <is>
          <t>893521783</t>
        </is>
      </c>
    </row>
    <row r="41">
      <c r="A41" t="inlineStr">
        <is>
          <t>No</t>
        </is>
      </c>
      <c r="B41" t="inlineStr">
        <is>
          <t>QB215 .W38 1973</t>
        </is>
      </c>
      <c r="C41" t="inlineStr">
        <is>
          <t>0                      QB 0215000W  38          1973</t>
        </is>
      </c>
      <c r="D41" t="inlineStr">
        <is>
          <t>Sundials: their theory and construction [by] Albert E. Waugh.</t>
        </is>
      </c>
      <c r="F41" t="inlineStr">
        <is>
          <t>No</t>
        </is>
      </c>
      <c r="G41" t="inlineStr">
        <is>
          <t>1</t>
        </is>
      </c>
      <c r="H41" t="inlineStr">
        <is>
          <t>No</t>
        </is>
      </c>
      <c r="I41" t="inlineStr">
        <is>
          <t>No</t>
        </is>
      </c>
      <c r="J41" t="inlineStr">
        <is>
          <t>0</t>
        </is>
      </c>
      <c r="K41" t="inlineStr">
        <is>
          <t>Waugh, Albert E. (Albert Edmund), 1902-1985.</t>
        </is>
      </c>
      <c r="L41" t="inlineStr">
        <is>
          <t>New York, Dover Publications [1973]</t>
        </is>
      </c>
      <c r="M41" t="inlineStr">
        <is>
          <t>1973</t>
        </is>
      </c>
      <c r="O41" t="inlineStr">
        <is>
          <t>eng</t>
        </is>
      </c>
      <c r="P41" t="inlineStr">
        <is>
          <t>nyu</t>
        </is>
      </c>
      <c r="R41" t="inlineStr">
        <is>
          <t xml:space="preserve">QB </t>
        </is>
      </c>
      <c r="S41" t="n">
        <v>1</v>
      </c>
      <c r="T41" t="n">
        <v>1</v>
      </c>
      <c r="U41" t="inlineStr">
        <is>
          <t>2007-10-27</t>
        </is>
      </c>
      <c r="V41" t="inlineStr">
        <is>
          <t>2007-10-27</t>
        </is>
      </c>
      <c r="W41" t="inlineStr">
        <is>
          <t>1997-05-02</t>
        </is>
      </c>
      <c r="X41" t="inlineStr">
        <is>
          <t>1997-05-02</t>
        </is>
      </c>
      <c r="Y41" t="n">
        <v>1022</v>
      </c>
      <c r="Z41" t="n">
        <v>837</v>
      </c>
      <c r="AA41" t="n">
        <v>852</v>
      </c>
      <c r="AB41" t="n">
        <v>4</v>
      </c>
      <c r="AC41" t="n">
        <v>4</v>
      </c>
      <c r="AD41" t="n">
        <v>19</v>
      </c>
      <c r="AE41" t="n">
        <v>20</v>
      </c>
      <c r="AF41" t="n">
        <v>8</v>
      </c>
      <c r="AG41" t="n">
        <v>9</v>
      </c>
      <c r="AH41" t="n">
        <v>5</v>
      </c>
      <c r="AI41" t="n">
        <v>6</v>
      </c>
      <c r="AJ41" t="n">
        <v>10</v>
      </c>
      <c r="AK41" t="n">
        <v>10</v>
      </c>
      <c r="AL41" t="n">
        <v>3</v>
      </c>
      <c r="AM41" t="n">
        <v>3</v>
      </c>
      <c r="AN41" t="n">
        <v>0</v>
      </c>
      <c r="AO41" t="n">
        <v>0</v>
      </c>
      <c r="AP41" t="inlineStr">
        <is>
          <t>No</t>
        </is>
      </c>
      <c r="AQ41" t="inlineStr">
        <is>
          <t>No</t>
        </is>
      </c>
      <c r="AS41">
        <f>HYPERLINK("https://creighton-primo.hosted.exlibrisgroup.com/primo-explore/search?tab=default_tab&amp;search_scope=EVERYTHING&amp;vid=01CRU&amp;lang=en_US&amp;offset=0&amp;query=any,contains,991003166049702656","Catalog Record")</f>
        <v/>
      </c>
      <c r="AT41">
        <f>HYPERLINK("http://www.worldcat.org/oclc/703330","WorldCat Record")</f>
        <v/>
      </c>
      <c r="AU41" t="inlineStr">
        <is>
          <t>493053:eng</t>
        </is>
      </c>
      <c r="AV41" t="inlineStr">
        <is>
          <t>703330</t>
        </is>
      </c>
      <c r="AW41" t="inlineStr">
        <is>
          <t>991003166049702656</t>
        </is>
      </c>
      <c r="AX41" t="inlineStr">
        <is>
          <t>991003166049702656</t>
        </is>
      </c>
      <c r="AY41" t="inlineStr">
        <is>
          <t>2257464970002656</t>
        </is>
      </c>
      <c r="AZ41" t="inlineStr">
        <is>
          <t>BOOK</t>
        </is>
      </c>
      <c r="BB41" t="inlineStr">
        <is>
          <t>9780486229478</t>
        </is>
      </c>
      <c r="BC41" t="inlineStr">
        <is>
          <t>32285002640372</t>
        </is>
      </c>
      <c r="BD41" t="inlineStr">
        <is>
          <t>893793381</t>
        </is>
      </c>
    </row>
    <row r="42">
      <c r="A42" t="inlineStr">
        <is>
          <t>No</t>
        </is>
      </c>
      <c r="B42" t="inlineStr">
        <is>
          <t>QB223 .H75</t>
        </is>
      </c>
      <c r="C42" t="inlineStr">
        <is>
          <t>0                      QB 0223000H  75</t>
        </is>
      </c>
      <c r="D42" t="inlineStr">
        <is>
          <t>Greenwich time and the discovery of the longitude / Derek Howse.</t>
        </is>
      </c>
      <c r="F42" t="inlineStr">
        <is>
          <t>No</t>
        </is>
      </c>
      <c r="G42" t="inlineStr">
        <is>
          <t>1</t>
        </is>
      </c>
      <c r="H42" t="inlineStr">
        <is>
          <t>No</t>
        </is>
      </c>
      <c r="I42" t="inlineStr">
        <is>
          <t>No</t>
        </is>
      </c>
      <c r="J42" t="inlineStr">
        <is>
          <t>0</t>
        </is>
      </c>
      <c r="K42" t="inlineStr">
        <is>
          <t>Howse, Derek.</t>
        </is>
      </c>
      <c r="L42" t="inlineStr">
        <is>
          <t>Oxford ; New York : Oxford University Press, 1980.</t>
        </is>
      </c>
      <c r="M42" t="inlineStr">
        <is>
          <t>1980</t>
        </is>
      </c>
      <c r="O42" t="inlineStr">
        <is>
          <t>eng</t>
        </is>
      </c>
      <c r="P42" t="inlineStr">
        <is>
          <t>enk</t>
        </is>
      </c>
      <c r="R42" t="inlineStr">
        <is>
          <t xml:space="preserve">QB </t>
        </is>
      </c>
      <c r="S42" t="n">
        <v>1</v>
      </c>
      <c r="T42" t="n">
        <v>1</v>
      </c>
      <c r="U42" t="inlineStr">
        <is>
          <t>2003-10-30</t>
        </is>
      </c>
      <c r="V42" t="inlineStr">
        <is>
          <t>2003-10-30</t>
        </is>
      </c>
      <c r="W42" t="inlineStr">
        <is>
          <t>1992-11-18</t>
        </is>
      </c>
      <c r="X42" t="inlineStr">
        <is>
          <t>1992-11-18</t>
        </is>
      </c>
      <c r="Y42" t="n">
        <v>897</v>
      </c>
      <c r="Z42" t="n">
        <v>674</v>
      </c>
      <c r="AA42" t="n">
        <v>732</v>
      </c>
      <c r="AB42" t="n">
        <v>4</v>
      </c>
      <c r="AC42" t="n">
        <v>4</v>
      </c>
      <c r="AD42" t="n">
        <v>18</v>
      </c>
      <c r="AE42" t="n">
        <v>20</v>
      </c>
      <c r="AF42" t="n">
        <v>8</v>
      </c>
      <c r="AG42" t="n">
        <v>9</v>
      </c>
      <c r="AH42" t="n">
        <v>5</v>
      </c>
      <c r="AI42" t="n">
        <v>5</v>
      </c>
      <c r="AJ42" t="n">
        <v>7</v>
      </c>
      <c r="AK42" t="n">
        <v>8</v>
      </c>
      <c r="AL42" t="n">
        <v>3</v>
      </c>
      <c r="AM42" t="n">
        <v>3</v>
      </c>
      <c r="AN42" t="n">
        <v>0</v>
      </c>
      <c r="AO42" t="n">
        <v>0</v>
      </c>
      <c r="AP42" t="inlineStr">
        <is>
          <t>No</t>
        </is>
      </c>
      <c r="AQ42" t="inlineStr">
        <is>
          <t>Yes</t>
        </is>
      </c>
      <c r="AR42">
        <f>HYPERLINK("http://catalog.hathitrust.org/Record/000041555","HathiTrust Record")</f>
        <v/>
      </c>
      <c r="AS42">
        <f>HYPERLINK("https://creighton-primo.hosted.exlibrisgroup.com/primo-explore/search?tab=default_tab&amp;search_scope=EVERYTHING&amp;vid=01CRU&amp;lang=en_US&amp;offset=0&amp;query=any,contains,991004824799702656","Catalog Record")</f>
        <v/>
      </c>
      <c r="AT42">
        <f>HYPERLINK("http://www.worldcat.org/oclc/5352913","WorldCat Record")</f>
        <v/>
      </c>
      <c r="AU42" t="inlineStr">
        <is>
          <t>42590615:eng</t>
        </is>
      </c>
      <c r="AV42" t="inlineStr">
        <is>
          <t>5352913</t>
        </is>
      </c>
      <c r="AW42" t="inlineStr">
        <is>
          <t>991004824799702656</t>
        </is>
      </c>
      <c r="AX42" t="inlineStr">
        <is>
          <t>991004824799702656</t>
        </is>
      </c>
      <c r="AY42" t="inlineStr">
        <is>
          <t>2258032550002656</t>
        </is>
      </c>
      <c r="AZ42" t="inlineStr">
        <is>
          <t>BOOK</t>
        </is>
      </c>
      <c r="BB42" t="inlineStr">
        <is>
          <t>9780192159489</t>
        </is>
      </c>
      <c r="BC42" t="inlineStr">
        <is>
          <t>32285001432474</t>
        </is>
      </c>
      <c r="BD42" t="inlineStr">
        <is>
          <t>893706872</t>
        </is>
      </c>
    </row>
    <row r="43">
      <c r="A43" t="inlineStr">
        <is>
          <t>No</t>
        </is>
      </c>
      <c r="B43" t="inlineStr">
        <is>
          <t>QB225 .S64 1995</t>
        </is>
      </c>
      <c r="C43" t="inlineStr">
        <is>
          <t>0                      QB 0225000S  64          1995</t>
        </is>
      </c>
      <c r="D43" t="inlineStr">
        <is>
          <t>Longitude : the true story of a lone genius who solved the greatest scientific problem of his time / Dava Sobel.</t>
        </is>
      </c>
      <c r="F43" t="inlineStr">
        <is>
          <t>No</t>
        </is>
      </c>
      <c r="G43" t="inlineStr">
        <is>
          <t>1</t>
        </is>
      </c>
      <c r="H43" t="inlineStr">
        <is>
          <t>No</t>
        </is>
      </c>
      <c r="I43" t="inlineStr">
        <is>
          <t>No</t>
        </is>
      </c>
      <c r="J43" t="inlineStr">
        <is>
          <t>0</t>
        </is>
      </c>
      <c r="K43" t="inlineStr">
        <is>
          <t>Sobel, Dava.</t>
        </is>
      </c>
      <c r="L43" t="inlineStr">
        <is>
          <t>New York : Walker, 1995.</t>
        </is>
      </c>
      <c r="M43" t="inlineStr">
        <is>
          <t>1995</t>
        </is>
      </c>
      <c r="O43" t="inlineStr">
        <is>
          <t>eng</t>
        </is>
      </c>
      <c r="P43" t="inlineStr">
        <is>
          <t>nyu</t>
        </is>
      </c>
      <c r="R43" t="inlineStr">
        <is>
          <t xml:space="preserve">QB </t>
        </is>
      </c>
      <c r="S43" t="n">
        <v>7</v>
      </c>
      <c r="T43" t="n">
        <v>7</v>
      </c>
      <c r="U43" t="inlineStr">
        <is>
          <t>2004-02-25</t>
        </is>
      </c>
      <c r="V43" t="inlineStr">
        <is>
          <t>2004-02-25</t>
        </is>
      </c>
      <c r="W43" t="inlineStr">
        <is>
          <t>1996-01-10</t>
        </is>
      </c>
      <c r="X43" t="inlineStr">
        <is>
          <t>1996-01-10</t>
        </is>
      </c>
      <c r="Y43" t="n">
        <v>2442</v>
      </c>
      <c r="Z43" t="n">
        <v>2301</v>
      </c>
      <c r="AA43" t="n">
        <v>3056</v>
      </c>
      <c r="AB43" t="n">
        <v>19</v>
      </c>
      <c r="AC43" t="n">
        <v>25</v>
      </c>
      <c r="AD43" t="n">
        <v>47</v>
      </c>
      <c r="AE43" t="n">
        <v>54</v>
      </c>
      <c r="AF43" t="n">
        <v>23</v>
      </c>
      <c r="AG43" t="n">
        <v>26</v>
      </c>
      <c r="AH43" t="n">
        <v>8</v>
      </c>
      <c r="AI43" t="n">
        <v>9</v>
      </c>
      <c r="AJ43" t="n">
        <v>21</v>
      </c>
      <c r="AK43" t="n">
        <v>22</v>
      </c>
      <c r="AL43" t="n">
        <v>5</v>
      </c>
      <c r="AM43" t="n">
        <v>8</v>
      </c>
      <c r="AN43" t="n">
        <v>0</v>
      </c>
      <c r="AO43" t="n">
        <v>0</v>
      </c>
      <c r="AP43" t="inlineStr">
        <is>
          <t>No</t>
        </is>
      </c>
      <c r="AQ43" t="inlineStr">
        <is>
          <t>No</t>
        </is>
      </c>
      <c r="AS43">
        <f>HYPERLINK("https://creighton-primo.hosted.exlibrisgroup.com/primo-explore/search?tab=default_tab&amp;search_scope=EVERYTHING&amp;vid=01CRU&amp;lang=en_US&amp;offset=0&amp;query=any,contains,991002496799702656","Catalog Record")</f>
        <v/>
      </c>
      <c r="AT43">
        <f>HYPERLINK("http://www.worldcat.org/oclc/32469232","WorldCat Record")</f>
        <v/>
      </c>
      <c r="AU43" t="inlineStr">
        <is>
          <t>16158085:eng</t>
        </is>
      </c>
      <c r="AV43" t="inlineStr">
        <is>
          <t>32469232</t>
        </is>
      </c>
      <c r="AW43" t="inlineStr">
        <is>
          <t>991002496799702656</t>
        </is>
      </c>
      <c r="AX43" t="inlineStr">
        <is>
          <t>991002496799702656</t>
        </is>
      </c>
      <c r="AY43" t="inlineStr">
        <is>
          <t>2264399460002656</t>
        </is>
      </c>
      <c r="AZ43" t="inlineStr">
        <is>
          <t>BOOK</t>
        </is>
      </c>
      <c r="BB43" t="inlineStr">
        <is>
          <t>9780802713124</t>
        </is>
      </c>
      <c r="BC43" t="inlineStr">
        <is>
          <t>32285002116043</t>
        </is>
      </c>
      <c r="BD43" t="inlineStr">
        <is>
          <t>893867284</t>
        </is>
      </c>
    </row>
    <row r="44">
      <c r="A44" t="inlineStr">
        <is>
          <t>No</t>
        </is>
      </c>
      <c r="B44" t="inlineStr">
        <is>
          <t>QB28 .S8 1972</t>
        </is>
      </c>
      <c r="C44" t="inlineStr">
        <is>
          <t>0                      QB 0028000S  8           1972</t>
        </is>
      </c>
      <c r="D44" t="inlineStr">
        <is>
          <t>The gradual acceptance of the Copernican theory of the universe.</t>
        </is>
      </c>
      <c r="F44" t="inlineStr">
        <is>
          <t>No</t>
        </is>
      </c>
      <c r="G44" t="inlineStr">
        <is>
          <t>1</t>
        </is>
      </c>
      <c r="H44" t="inlineStr">
        <is>
          <t>No</t>
        </is>
      </c>
      <c r="I44" t="inlineStr">
        <is>
          <t>No</t>
        </is>
      </c>
      <c r="J44" t="inlineStr">
        <is>
          <t>0</t>
        </is>
      </c>
      <c r="K44" t="inlineStr">
        <is>
          <t>Stimson, Dorothy, 1890-1988.</t>
        </is>
      </c>
      <c r="L44" t="inlineStr">
        <is>
          <t>Gloucester, Mass. : P. Smith, 1972 [c1917]</t>
        </is>
      </c>
      <c r="M44" t="inlineStr">
        <is>
          <t>1972</t>
        </is>
      </c>
      <c r="O44" t="inlineStr">
        <is>
          <t>eng</t>
        </is>
      </c>
      <c r="P44" t="inlineStr">
        <is>
          <t>mau</t>
        </is>
      </c>
      <c r="R44" t="inlineStr">
        <is>
          <t xml:space="preserve">QB </t>
        </is>
      </c>
      <c r="S44" t="n">
        <v>18</v>
      </c>
      <c r="T44" t="n">
        <v>18</v>
      </c>
      <c r="U44" t="inlineStr">
        <is>
          <t>1996-11-24</t>
        </is>
      </c>
      <c r="V44" t="inlineStr">
        <is>
          <t>1996-11-24</t>
        </is>
      </c>
      <c r="W44" t="inlineStr">
        <is>
          <t>1992-03-23</t>
        </is>
      </c>
      <c r="X44" t="inlineStr">
        <is>
          <t>1992-03-23</t>
        </is>
      </c>
      <c r="Y44" t="n">
        <v>267</v>
      </c>
      <c r="Z44" t="n">
        <v>237</v>
      </c>
      <c r="AA44" t="n">
        <v>349</v>
      </c>
      <c r="AB44" t="n">
        <v>2</v>
      </c>
      <c r="AC44" t="n">
        <v>3</v>
      </c>
      <c r="AD44" t="n">
        <v>8</v>
      </c>
      <c r="AE44" t="n">
        <v>12</v>
      </c>
      <c r="AF44" t="n">
        <v>0</v>
      </c>
      <c r="AG44" t="n">
        <v>1</v>
      </c>
      <c r="AH44" t="n">
        <v>4</v>
      </c>
      <c r="AI44" t="n">
        <v>4</v>
      </c>
      <c r="AJ44" t="n">
        <v>4</v>
      </c>
      <c r="AK44" t="n">
        <v>6</v>
      </c>
      <c r="AL44" t="n">
        <v>1</v>
      </c>
      <c r="AM44" t="n">
        <v>2</v>
      </c>
      <c r="AN44" t="n">
        <v>0</v>
      </c>
      <c r="AO44" t="n">
        <v>0</v>
      </c>
      <c r="AP44" t="inlineStr">
        <is>
          <t>Yes</t>
        </is>
      </c>
      <c r="AQ44" t="inlineStr">
        <is>
          <t>No</t>
        </is>
      </c>
      <c r="AR44">
        <f>HYPERLINK("http://catalog.hathitrust.org/Record/001475515","HathiTrust Record")</f>
        <v/>
      </c>
      <c r="AS44">
        <f>HYPERLINK("https://creighton-primo.hosted.exlibrisgroup.com/primo-explore/search?tab=default_tab&amp;search_scope=EVERYTHING&amp;vid=01CRU&amp;lang=en_US&amp;offset=0&amp;query=any,contains,991004203109702656","Catalog Record")</f>
        <v/>
      </c>
      <c r="AT44">
        <f>HYPERLINK("http://www.worldcat.org/oclc/2656570","WorldCat Record")</f>
        <v/>
      </c>
      <c r="AU44" t="inlineStr">
        <is>
          <t>346661884:eng</t>
        </is>
      </c>
      <c r="AV44" t="inlineStr">
        <is>
          <t>2656570</t>
        </is>
      </c>
      <c r="AW44" t="inlineStr">
        <is>
          <t>991004203109702656</t>
        </is>
      </c>
      <c r="AX44" t="inlineStr">
        <is>
          <t>991004203109702656</t>
        </is>
      </c>
      <c r="AY44" t="inlineStr">
        <is>
          <t>2255767410002656</t>
        </is>
      </c>
      <c r="AZ44" t="inlineStr">
        <is>
          <t>BOOK</t>
        </is>
      </c>
      <c r="BC44" t="inlineStr">
        <is>
          <t>32285001026508</t>
        </is>
      </c>
      <c r="BD44" t="inlineStr">
        <is>
          <t>893624473</t>
        </is>
      </c>
    </row>
    <row r="45">
      <c r="A45" t="inlineStr">
        <is>
          <t>No</t>
        </is>
      </c>
      <c r="B45" t="inlineStr">
        <is>
          <t>QB283 .L35 1988</t>
        </is>
      </c>
      <c r="C45" t="inlineStr">
        <is>
          <t>0                      QB 0283000L  35          1988</t>
        </is>
      </c>
      <c r="D45" t="inlineStr">
        <is>
          <t>Geophysical geodesy : the slow deformations of the earth / Kurt Lambeck.</t>
        </is>
      </c>
      <c r="F45" t="inlineStr">
        <is>
          <t>No</t>
        </is>
      </c>
      <c r="G45" t="inlineStr">
        <is>
          <t>1</t>
        </is>
      </c>
      <c r="H45" t="inlineStr">
        <is>
          <t>No</t>
        </is>
      </c>
      <c r="I45" t="inlineStr">
        <is>
          <t>No</t>
        </is>
      </c>
      <c r="J45" t="inlineStr">
        <is>
          <t>0</t>
        </is>
      </c>
      <c r="K45" t="inlineStr">
        <is>
          <t>Lambeck, Kurt, 1941-</t>
        </is>
      </c>
      <c r="L45" t="inlineStr">
        <is>
          <t>Oxford [England] : Clarendon Press ; New York : Oxford University Press, 1988.</t>
        </is>
      </c>
      <c r="M45" t="inlineStr">
        <is>
          <t>1988</t>
        </is>
      </c>
      <c r="O45" t="inlineStr">
        <is>
          <t>eng</t>
        </is>
      </c>
      <c r="P45" t="inlineStr">
        <is>
          <t>enk</t>
        </is>
      </c>
      <c r="Q45" t="inlineStr">
        <is>
          <t>Oxford science publications</t>
        </is>
      </c>
      <c r="R45" t="inlineStr">
        <is>
          <t xml:space="preserve">QB </t>
        </is>
      </c>
      <c r="S45" t="n">
        <v>1</v>
      </c>
      <c r="T45" t="n">
        <v>1</v>
      </c>
      <c r="U45" t="inlineStr">
        <is>
          <t>1992-10-11</t>
        </is>
      </c>
      <c r="V45" t="inlineStr">
        <is>
          <t>1992-10-11</t>
        </is>
      </c>
      <c r="W45" t="inlineStr">
        <is>
          <t>1991-06-20</t>
        </is>
      </c>
      <c r="X45" t="inlineStr">
        <is>
          <t>1991-06-20</t>
        </is>
      </c>
      <c r="Y45" t="n">
        <v>311</v>
      </c>
      <c r="Z45" t="n">
        <v>201</v>
      </c>
      <c r="AA45" t="n">
        <v>202</v>
      </c>
      <c r="AB45" t="n">
        <v>1</v>
      </c>
      <c r="AC45" t="n">
        <v>1</v>
      </c>
      <c r="AD45" t="n">
        <v>5</v>
      </c>
      <c r="AE45" t="n">
        <v>5</v>
      </c>
      <c r="AF45" t="n">
        <v>0</v>
      </c>
      <c r="AG45" t="n">
        <v>0</v>
      </c>
      <c r="AH45" t="n">
        <v>2</v>
      </c>
      <c r="AI45" t="n">
        <v>2</v>
      </c>
      <c r="AJ45" t="n">
        <v>3</v>
      </c>
      <c r="AK45" t="n">
        <v>3</v>
      </c>
      <c r="AL45" t="n">
        <v>0</v>
      </c>
      <c r="AM45" t="n">
        <v>0</v>
      </c>
      <c r="AN45" t="n">
        <v>0</v>
      </c>
      <c r="AO45" t="n">
        <v>0</v>
      </c>
      <c r="AP45" t="inlineStr">
        <is>
          <t>No</t>
        </is>
      </c>
      <c r="AQ45" t="inlineStr">
        <is>
          <t>Yes</t>
        </is>
      </c>
      <c r="AR45">
        <f>HYPERLINK("http://catalog.hathitrust.org/Record/001088991","HathiTrust Record")</f>
        <v/>
      </c>
      <c r="AS45">
        <f>HYPERLINK("https://creighton-primo.hosted.exlibrisgroup.com/primo-explore/search?tab=default_tab&amp;search_scope=EVERYTHING&amp;vid=01CRU&amp;lang=en_US&amp;offset=0&amp;query=any,contains,991001226759702656","Catalog Record")</f>
        <v/>
      </c>
      <c r="AT45">
        <f>HYPERLINK("http://www.worldcat.org/oclc/17508218","WorldCat Record")</f>
        <v/>
      </c>
      <c r="AU45" t="inlineStr">
        <is>
          <t>806516954:eng</t>
        </is>
      </c>
      <c r="AV45" t="inlineStr">
        <is>
          <t>17508218</t>
        </is>
      </c>
      <c r="AW45" t="inlineStr">
        <is>
          <t>991001226759702656</t>
        </is>
      </c>
      <c r="AX45" t="inlineStr">
        <is>
          <t>991001226759702656</t>
        </is>
      </c>
      <c r="AY45" t="inlineStr">
        <is>
          <t>2272419410002656</t>
        </is>
      </c>
      <c r="AZ45" t="inlineStr">
        <is>
          <t>BOOK</t>
        </is>
      </c>
      <c r="BB45" t="inlineStr">
        <is>
          <t>9780198544371</t>
        </is>
      </c>
      <c r="BC45" t="inlineStr">
        <is>
          <t>32285000657980</t>
        </is>
      </c>
      <c r="BD45" t="inlineStr">
        <is>
          <t>893803459</t>
        </is>
      </c>
    </row>
    <row r="46">
      <c r="A46" t="inlineStr">
        <is>
          <t>No</t>
        </is>
      </c>
      <c r="B46" t="inlineStr">
        <is>
          <t>QB29 .G73 1983</t>
        </is>
      </c>
      <c r="C46" t="inlineStr">
        <is>
          <t>0                      QB 0029000G  73          1983</t>
        </is>
      </c>
      <c r="D46" t="inlineStr">
        <is>
          <t>Gregorian reform of the calendar : proceedings of the Vatican Conference to commemorate its 400th anniversary, 1582-1982 / edited by G.V. Coyne, M.A. Hoskin and O. Pedersen.</t>
        </is>
      </c>
      <c r="F46" t="inlineStr">
        <is>
          <t>No</t>
        </is>
      </c>
      <c r="G46" t="inlineStr">
        <is>
          <t>1</t>
        </is>
      </c>
      <c r="H46" t="inlineStr">
        <is>
          <t>No</t>
        </is>
      </c>
      <c r="I46" t="inlineStr">
        <is>
          <t>No</t>
        </is>
      </c>
      <c r="J46" t="inlineStr">
        <is>
          <t>0</t>
        </is>
      </c>
      <c r="L46" t="inlineStr">
        <is>
          <t>Città del Vaticano, Europe : Pontificia Academia Scientiarum : Specola Vaticana, 1983.</t>
        </is>
      </c>
      <c r="M46" t="inlineStr">
        <is>
          <t>1983</t>
        </is>
      </c>
      <c r="O46" t="inlineStr">
        <is>
          <t>eng</t>
        </is>
      </c>
      <c r="P46" t="inlineStr">
        <is>
          <t xml:space="preserve">vc </t>
        </is>
      </c>
      <c r="R46" t="inlineStr">
        <is>
          <t xml:space="preserve">QB </t>
        </is>
      </c>
      <c r="S46" t="n">
        <v>1</v>
      </c>
      <c r="T46" t="n">
        <v>1</v>
      </c>
      <c r="U46" t="inlineStr">
        <is>
          <t>2010-05-26</t>
        </is>
      </c>
      <c r="V46" t="inlineStr">
        <is>
          <t>2010-05-26</t>
        </is>
      </c>
      <c r="W46" t="inlineStr">
        <is>
          <t>1992-11-16</t>
        </is>
      </c>
      <c r="X46" t="inlineStr">
        <is>
          <t>1992-11-16</t>
        </is>
      </c>
      <c r="Y46" t="n">
        <v>120</v>
      </c>
      <c r="Z46" t="n">
        <v>81</v>
      </c>
      <c r="AA46" t="n">
        <v>83</v>
      </c>
      <c r="AB46" t="n">
        <v>1</v>
      </c>
      <c r="AC46" t="n">
        <v>1</v>
      </c>
      <c r="AD46" t="n">
        <v>4</v>
      </c>
      <c r="AE46" t="n">
        <v>4</v>
      </c>
      <c r="AF46" t="n">
        <v>0</v>
      </c>
      <c r="AG46" t="n">
        <v>0</v>
      </c>
      <c r="AH46" t="n">
        <v>1</v>
      </c>
      <c r="AI46" t="n">
        <v>1</v>
      </c>
      <c r="AJ46" t="n">
        <v>3</v>
      </c>
      <c r="AK46" t="n">
        <v>3</v>
      </c>
      <c r="AL46" t="n">
        <v>0</v>
      </c>
      <c r="AM46" t="n">
        <v>0</v>
      </c>
      <c r="AN46" t="n">
        <v>0</v>
      </c>
      <c r="AO46" t="n">
        <v>0</v>
      </c>
      <c r="AP46" t="inlineStr">
        <is>
          <t>No</t>
        </is>
      </c>
      <c r="AQ46" t="inlineStr">
        <is>
          <t>Yes</t>
        </is>
      </c>
      <c r="AR46">
        <f>HYPERLINK("http://catalog.hathitrust.org/Record/002200488","HathiTrust Record")</f>
        <v/>
      </c>
      <c r="AS46">
        <f>HYPERLINK("https://creighton-primo.hosted.exlibrisgroup.com/primo-explore/search?tab=default_tab&amp;search_scope=EVERYTHING&amp;vid=01CRU&amp;lang=en_US&amp;offset=0&amp;query=any,contains,991000451309702656","Catalog Record")</f>
        <v/>
      </c>
      <c r="AT46">
        <f>HYPERLINK("http://www.worldcat.org/oclc/10885693","WorldCat Record")</f>
        <v/>
      </c>
      <c r="AU46" t="inlineStr">
        <is>
          <t>3524774:eng</t>
        </is>
      </c>
      <c r="AV46" t="inlineStr">
        <is>
          <t>10885693</t>
        </is>
      </c>
      <c r="AW46" t="inlineStr">
        <is>
          <t>991000451309702656</t>
        </is>
      </c>
      <c r="AX46" t="inlineStr">
        <is>
          <t>991000451309702656</t>
        </is>
      </c>
      <c r="AY46" t="inlineStr">
        <is>
          <t>2254717210002656</t>
        </is>
      </c>
      <c r="AZ46" t="inlineStr">
        <is>
          <t>BOOK</t>
        </is>
      </c>
      <c r="BC46" t="inlineStr">
        <is>
          <t>32285001431013</t>
        </is>
      </c>
      <c r="BD46" t="inlineStr">
        <is>
          <t>893431951</t>
        </is>
      </c>
    </row>
    <row r="47">
      <c r="A47" t="inlineStr">
        <is>
          <t>No</t>
        </is>
      </c>
      <c r="B47" t="inlineStr">
        <is>
          <t>QB291 .A43 2002</t>
        </is>
      </c>
      <c r="C47" t="inlineStr">
        <is>
          <t>0                      QB 0291000A  43          2002</t>
        </is>
      </c>
      <c r="D47" t="inlineStr">
        <is>
          <t>The measure of all things : the seven-year odyssey and hidden error that transformed the world / Ken Alder.</t>
        </is>
      </c>
      <c r="F47" t="inlineStr">
        <is>
          <t>No</t>
        </is>
      </c>
      <c r="G47" t="inlineStr">
        <is>
          <t>1</t>
        </is>
      </c>
      <c r="H47" t="inlineStr">
        <is>
          <t>No</t>
        </is>
      </c>
      <c r="I47" t="inlineStr">
        <is>
          <t>No</t>
        </is>
      </c>
      <c r="J47" t="inlineStr">
        <is>
          <t>0</t>
        </is>
      </c>
      <c r="K47" t="inlineStr">
        <is>
          <t>Alder, Ken.</t>
        </is>
      </c>
      <c r="L47" t="inlineStr">
        <is>
          <t>New York : Free Press, c2002.</t>
        </is>
      </c>
      <c r="M47" t="inlineStr">
        <is>
          <t>2002</t>
        </is>
      </c>
      <c r="O47" t="inlineStr">
        <is>
          <t>eng</t>
        </is>
      </c>
      <c r="P47" t="inlineStr">
        <is>
          <t>nyu</t>
        </is>
      </c>
      <c r="R47" t="inlineStr">
        <is>
          <t xml:space="preserve">QB </t>
        </is>
      </c>
      <c r="S47" t="n">
        <v>1</v>
      </c>
      <c r="T47" t="n">
        <v>1</v>
      </c>
      <c r="U47" t="inlineStr">
        <is>
          <t>2003-07-17</t>
        </is>
      </c>
      <c r="V47" t="inlineStr">
        <is>
          <t>2003-07-17</t>
        </is>
      </c>
      <c r="W47" t="inlineStr">
        <is>
          <t>2003-07-17</t>
        </is>
      </c>
      <c r="X47" t="inlineStr">
        <is>
          <t>2003-07-17</t>
        </is>
      </c>
      <c r="Y47" t="n">
        <v>1476</v>
      </c>
      <c r="Z47" t="n">
        <v>1367</v>
      </c>
      <c r="AA47" t="n">
        <v>1500</v>
      </c>
      <c r="AB47" t="n">
        <v>16</v>
      </c>
      <c r="AC47" t="n">
        <v>17</v>
      </c>
      <c r="AD47" t="n">
        <v>34</v>
      </c>
      <c r="AE47" t="n">
        <v>38</v>
      </c>
      <c r="AF47" t="n">
        <v>11</v>
      </c>
      <c r="AG47" t="n">
        <v>11</v>
      </c>
      <c r="AH47" t="n">
        <v>6</v>
      </c>
      <c r="AI47" t="n">
        <v>8</v>
      </c>
      <c r="AJ47" t="n">
        <v>12</v>
      </c>
      <c r="AK47" t="n">
        <v>14</v>
      </c>
      <c r="AL47" t="n">
        <v>11</v>
      </c>
      <c r="AM47" t="n">
        <v>12</v>
      </c>
      <c r="AN47" t="n">
        <v>0</v>
      </c>
      <c r="AO47" t="n">
        <v>0</v>
      </c>
      <c r="AP47" t="inlineStr">
        <is>
          <t>No</t>
        </is>
      </c>
      <c r="AQ47" t="inlineStr">
        <is>
          <t>No</t>
        </is>
      </c>
      <c r="AS47">
        <f>HYPERLINK("https://creighton-primo.hosted.exlibrisgroup.com/primo-explore/search?tab=default_tab&amp;search_scope=EVERYTHING&amp;vid=01CRU&amp;lang=en_US&amp;offset=0&amp;query=any,contains,991003843159702656","Catalog Record")</f>
        <v/>
      </c>
      <c r="AT47">
        <f>HYPERLINK("http://www.worldcat.org/oclc/49699440","WorldCat Record")</f>
        <v/>
      </c>
      <c r="AU47" t="inlineStr">
        <is>
          <t>47346294:eng</t>
        </is>
      </c>
      <c r="AV47" t="inlineStr">
        <is>
          <t>49699440</t>
        </is>
      </c>
      <c r="AW47" t="inlineStr">
        <is>
          <t>991003843159702656</t>
        </is>
      </c>
      <c r="AX47" t="inlineStr">
        <is>
          <t>991003843159702656</t>
        </is>
      </c>
      <c r="AY47" t="inlineStr">
        <is>
          <t>2270603060002656</t>
        </is>
      </c>
      <c r="AZ47" t="inlineStr">
        <is>
          <t>BOOK</t>
        </is>
      </c>
      <c r="BB47" t="inlineStr">
        <is>
          <t>9780743216753</t>
        </is>
      </c>
      <c r="BC47" t="inlineStr">
        <is>
          <t>32285004756143</t>
        </is>
      </c>
      <c r="BD47" t="inlineStr">
        <is>
          <t>893531663</t>
        </is>
      </c>
    </row>
    <row r="48">
      <c r="A48" t="inlineStr">
        <is>
          <t>No</t>
        </is>
      </c>
      <c r="B48" t="inlineStr">
        <is>
          <t>QB296.I5 K43 2000</t>
        </is>
      </c>
      <c r="C48" t="inlineStr">
        <is>
          <t>0                      QB 0296000I  5                  K  43          2000</t>
        </is>
      </c>
      <c r="D48" t="inlineStr">
        <is>
          <t>The great arc : the dramatic tale of how India was mapped and Everest was named / John Keay.</t>
        </is>
      </c>
      <c r="F48" t="inlineStr">
        <is>
          <t>No</t>
        </is>
      </c>
      <c r="G48" t="inlineStr">
        <is>
          <t>1</t>
        </is>
      </c>
      <c r="H48" t="inlineStr">
        <is>
          <t>No</t>
        </is>
      </c>
      <c r="I48" t="inlineStr">
        <is>
          <t>No</t>
        </is>
      </c>
      <c r="J48" t="inlineStr">
        <is>
          <t>0</t>
        </is>
      </c>
      <c r="K48" t="inlineStr">
        <is>
          <t>Keay, John.</t>
        </is>
      </c>
      <c r="L48" t="inlineStr">
        <is>
          <t>New York : HarperCollins, c2000.</t>
        </is>
      </c>
      <c r="M48" t="inlineStr">
        <is>
          <t>2000</t>
        </is>
      </c>
      <c r="N48" t="inlineStr">
        <is>
          <t>1st American ed.</t>
        </is>
      </c>
      <c r="O48" t="inlineStr">
        <is>
          <t>eng</t>
        </is>
      </c>
      <c r="P48" t="inlineStr">
        <is>
          <t>nyu</t>
        </is>
      </c>
      <c r="R48" t="inlineStr">
        <is>
          <t xml:space="preserve">QB </t>
        </is>
      </c>
      <c r="S48" t="n">
        <v>1</v>
      </c>
      <c r="T48" t="n">
        <v>1</v>
      </c>
      <c r="U48" t="inlineStr">
        <is>
          <t>2000-11-02</t>
        </is>
      </c>
      <c r="V48" t="inlineStr">
        <is>
          <t>2000-11-02</t>
        </is>
      </c>
      <c r="W48" t="inlineStr">
        <is>
          <t>2000-11-02</t>
        </is>
      </c>
      <c r="X48" t="inlineStr">
        <is>
          <t>2000-11-02</t>
        </is>
      </c>
      <c r="Y48" t="n">
        <v>664</v>
      </c>
      <c r="Z48" t="n">
        <v>623</v>
      </c>
      <c r="AA48" t="n">
        <v>693</v>
      </c>
      <c r="AB48" t="n">
        <v>5</v>
      </c>
      <c r="AC48" t="n">
        <v>5</v>
      </c>
      <c r="AD48" t="n">
        <v>12</v>
      </c>
      <c r="AE48" t="n">
        <v>12</v>
      </c>
      <c r="AF48" t="n">
        <v>5</v>
      </c>
      <c r="AG48" t="n">
        <v>5</v>
      </c>
      <c r="AH48" t="n">
        <v>2</v>
      </c>
      <c r="AI48" t="n">
        <v>2</v>
      </c>
      <c r="AJ48" t="n">
        <v>5</v>
      </c>
      <c r="AK48" t="n">
        <v>5</v>
      </c>
      <c r="AL48" t="n">
        <v>3</v>
      </c>
      <c r="AM48" t="n">
        <v>3</v>
      </c>
      <c r="AN48" t="n">
        <v>0</v>
      </c>
      <c r="AO48" t="n">
        <v>0</v>
      </c>
      <c r="AP48" t="inlineStr">
        <is>
          <t>No</t>
        </is>
      </c>
      <c r="AQ48" t="inlineStr">
        <is>
          <t>No</t>
        </is>
      </c>
      <c r="AS48">
        <f>HYPERLINK("https://creighton-primo.hosted.exlibrisgroup.com/primo-explore/search?tab=default_tab&amp;search_scope=EVERYTHING&amp;vid=01CRU&amp;lang=en_US&amp;offset=0&amp;query=any,contains,991003302469702656","Catalog Record")</f>
        <v/>
      </c>
      <c r="AT48">
        <f>HYPERLINK("http://www.worldcat.org/oclc/43851477","WorldCat Record")</f>
        <v/>
      </c>
      <c r="AU48" t="inlineStr">
        <is>
          <t>20661513:eng</t>
        </is>
      </c>
      <c r="AV48" t="inlineStr">
        <is>
          <t>43851477</t>
        </is>
      </c>
      <c r="AW48" t="inlineStr">
        <is>
          <t>991003302469702656</t>
        </is>
      </c>
      <c r="AX48" t="inlineStr">
        <is>
          <t>991003302469702656</t>
        </is>
      </c>
      <c r="AY48" t="inlineStr">
        <is>
          <t>2272161900002656</t>
        </is>
      </c>
      <c r="AZ48" t="inlineStr">
        <is>
          <t>BOOK</t>
        </is>
      </c>
      <c r="BB48" t="inlineStr">
        <is>
          <t>9780060195182</t>
        </is>
      </c>
      <c r="BC48" t="inlineStr">
        <is>
          <t>32285004262555</t>
        </is>
      </c>
      <c r="BD48" t="inlineStr">
        <is>
          <t>893499163</t>
        </is>
      </c>
    </row>
    <row r="49">
      <c r="A49" t="inlineStr">
        <is>
          <t>No</t>
        </is>
      </c>
      <c r="B49" t="inlineStr">
        <is>
          <t>QB3 .B35</t>
        </is>
      </c>
      <c r="C49" t="inlineStr">
        <is>
          <t>0                      QB 0003000B  35</t>
        </is>
      </c>
      <c r="D49" t="inlineStr">
        <is>
          <t>Vistas in astronomy.</t>
        </is>
      </c>
      <c r="E49" t="inlineStr">
        <is>
          <t>V.10</t>
        </is>
      </c>
      <c r="F49" t="inlineStr">
        <is>
          <t>Yes</t>
        </is>
      </c>
      <c r="G49" t="inlineStr">
        <is>
          <t>1</t>
        </is>
      </c>
      <c r="H49" t="inlineStr">
        <is>
          <t>No</t>
        </is>
      </c>
      <c r="I49" t="inlineStr">
        <is>
          <t>No</t>
        </is>
      </c>
      <c r="J49" t="inlineStr">
        <is>
          <t>0</t>
        </is>
      </c>
      <c r="K49" t="inlineStr">
        <is>
          <t>Beer, Arthur, 1900-1980 editor.</t>
        </is>
      </c>
      <c r="L49" t="inlineStr">
        <is>
          <t>London, New York, Pergamon Press, 1955.</t>
        </is>
      </c>
      <c r="M49" t="inlineStr">
        <is>
          <t>1955</t>
        </is>
      </c>
      <c r="O49" t="inlineStr">
        <is>
          <t>eng</t>
        </is>
      </c>
      <c r="P49" t="inlineStr">
        <is>
          <t>enk</t>
        </is>
      </c>
      <c r="Q49" t="inlineStr">
        <is>
          <t>Special supplement no. 3 to the Journal of atmospheric and terrestrial physics</t>
        </is>
      </c>
      <c r="R49" t="inlineStr">
        <is>
          <t xml:space="preserve">QB </t>
        </is>
      </c>
      <c r="S49" t="n">
        <v>0</v>
      </c>
      <c r="T49" t="n">
        <v>5</v>
      </c>
      <c r="V49" t="inlineStr">
        <is>
          <t>2007-03-30</t>
        </is>
      </c>
      <c r="W49" t="inlineStr">
        <is>
          <t>1992-11-16</t>
        </is>
      </c>
      <c r="X49" t="inlineStr">
        <is>
          <t>1992-11-16</t>
        </is>
      </c>
      <c r="Y49" t="n">
        <v>206</v>
      </c>
      <c r="Z49" t="n">
        <v>180</v>
      </c>
      <c r="AA49" t="n">
        <v>192</v>
      </c>
      <c r="AB49" t="n">
        <v>1</v>
      </c>
      <c r="AC49" t="n">
        <v>1</v>
      </c>
      <c r="AD49" t="n">
        <v>9</v>
      </c>
      <c r="AE49" t="n">
        <v>9</v>
      </c>
      <c r="AF49" t="n">
        <v>3</v>
      </c>
      <c r="AG49" t="n">
        <v>3</v>
      </c>
      <c r="AH49" t="n">
        <v>2</v>
      </c>
      <c r="AI49" t="n">
        <v>2</v>
      </c>
      <c r="AJ49" t="n">
        <v>6</v>
      </c>
      <c r="AK49" t="n">
        <v>6</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HYPERLINK("https://creighton-primo.hosted.exlibrisgroup.com/primo-explore/search?tab=default_tab&amp;search_scope=EVERYTHING&amp;vid=01CRU&amp;lang=en_US&amp;offset=0&amp;query=any,contains,991001947949702656","Catalog Record")</f>
        <v/>
      </c>
      <c r="AT49">
        <f>HYPERLINK("http://www.worldcat.org/oclc/251036","WorldCat Record")</f>
        <v/>
      </c>
      <c r="AU49" t="inlineStr">
        <is>
          <t>375826739:eng</t>
        </is>
      </c>
      <c r="AV49" t="inlineStr">
        <is>
          <t>251036</t>
        </is>
      </c>
      <c r="AW49" t="inlineStr">
        <is>
          <t>991001947949702656</t>
        </is>
      </c>
      <c r="AX49" t="inlineStr">
        <is>
          <t>991001947949702656</t>
        </is>
      </c>
      <c r="AY49" t="inlineStr">
        <is>
          <t>2268750530002656</t>
        </is>
      </c>
      <c r="AZ49" t="inlineStr">
        <is>
          <t>BOOK</t>
        </is>
      </c>
      <c r="BC49" t="inlineStr">
        <is>
          <t>32285001430635</t>
        </is>
      </c>
      <c r="BD49" t="inlineStr">
        <is>
          <t>893244578</t>
        </is>
      </c>
    </row>
    <row r="50">
      <c r="A50" t="inlineStr">
        <is>
          <t>No</t>
        </is>
      </c>
      <c r="B50" t="inlineStr">
        <is>
          <t>QB3 .B35</t>
        </is>
      </c>
      <c r="C50" t="inlineStr">
        <is>
          <t>0                      QB 0003000B  35</t>
        </is>
      </c>
      <c r="D50" t="inlineStr">
        <is>
          <t>Vistas in astronomy.</t>
        </is>
      </c>
      <c r="E50" t="inlineStr">
        <is>
          <t>V.2</t>
        </is>
      </c>
      <c r="F50" t="inlineStr">
        <is>
          <t>Yes</t>
        </is>
      </c>
      <c r="G50" t="inlineStr">
        <is>
          <t>1</t>
        </is>
      </c>
      <c r="H50" t="inlineStr">
        <is>
          <t>No</t>
        </is>
      </c>
      <c r="I50" t="inlineStr">
        <is>
          <t>No</t>
        </is>
      </c>
      <c r="J50" t="inlineStr">
        <is>
          <t>0</t>
        </is>
      </c>
      <c r="K50" t="inlineStr">
        <is>
          <t>Beer, Arthur, 1900-1980 editor.</t>
        </is>
      </c>
      <c r="L50" t="inlineStr">
        <is>
          <t>London, New York, Pergamon Press, 1955.</t>
        </is>
      </c>
      <c r="M50" t="inlineStr">
        <is>
          <t>1955</t>
        </is>
      </c>
      <c r="O50" t="inlineStr">
        <is>
          <t>eng</t>
        </is>
      </c>
      <c r="P50" t="inlineStr">
        <is>
          <t>enk</t>
        </is>
      </c>
      <c r="Q50" t="inlineStr">
        <is>
          <t>Special supplement no. 3 to the Journal of atmospheric and terrestrial physics</t>
        </is>
      </c>
      <c r="R50" t="inlineStr">
        <is>
          <t xml:space="preserve">QB </t>
        </is>
      </c>
      <c r="S50" t="n">
        <v>0</v>
      </c>
      <c r="T50" t="n">
        <v>5</v>
      </c>
      <c r="V50" t="inlineStr">
        <is>
          <t>2007-03-30</t>
        </is>
      </c>
      <c r="W50" t="inlineStr">
        <is>
          <t>1992-11-16</t>
        </is>
      </c>
      <c r="X50" t="inlineStr">
        <is>
          <t>1992-11-16</t>
        </is>
      </c>
      <c r="Y50" t="n">
        <v>206</v>
      </c>
      <c r="Z50" t="n">
        <v>180</v>
      </c>
      <c r="AA50" t="n">
        <v>192</v>
      </c>
      <c r="AB50" t="n">
        <v>1</v>
      </c>
      <c r="AC50" t="n">
        <v>1</v>
      </c>
      <c r="AD50" t="n">
        <v>9</v>
      </c>
      <c r="AE50" t="n">
        <v>9</v>
      </c>
      <c r="AF50" t="n">
        <v>3</v>
      </c>
      <c r="AG50" t="n">
        <v>3</v>
      </c>
      <c r="AH50" t="n">
        <v>2</v>
      </c>
      <c r="AI50" t="n">
        <v>2</v>
      </c>
      <c r="AJ50" t="n">
        <v>6</v>
      </c>
      <c r="AK50" t="n">
        <v>6</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HYPERLINK("https://creighton-primo.hosted.exlibrisgroup.com/primo-explore/search?tab=default_tab&amp;search_scope=EVERYTHING&amp;vid=01CRU&amp;lang=en_US&amp;offset=0&amp;query=any,contains,991001947949702656","Catalog Record")</f>
        <v/>
      </c>
      <c r="AT50">
        <f>HYPERLINK("http://www.worldcat.org/oclc/251036","WorldCat Record")</f>
        <v/>
      </c>
      <c r="AU50" t="inlineStr">
        <is>
          <t>375826739:eng</t>
        </is>
      </c>
      <c r="AV50" t="inlineStr">
        <is>
          <t>251036</t>
        </is>
      </c>
      <c r="AW50" t="inlineStr">
        <is>
          <t>991001947949702656</t>
        </is>
      </c>
      <c r="AX50" t="inlineStr">
        <is>
          <t>991001947949702656</t>
        </is>
      </c>
      <c r="AY50" t="inlineStr">
        <is>
          <t>2268750530002656</t>
        </is>
      </c>
      <c r="AZ50" t="inlineStr">
        <is>
          <t>BOOK</t>
        </is>
      </c>
      <c r="BC50" t="inlineStr">
        <is>
          <t>32285001430544</t>
        </is>
      </c>
      <c r="BD50" t="inlineStr">
        <is>
          <t>893256671</t>
        </is>
      </c>
    </row>
    <row r="51">
      <c r="A51" t="inlineStr">
        <is>
          <t>No</t>
        </is>
      </c>
      <c r="B51" t="inlineStr">
        <is>
          <t>QB3 .B35</t>
        </is>
      </c>
      <c r="C51" t="inlineStr">
        <is>
          <t>0                      QB 0003000B  35</t>
        </is>
      </c>
      <c r="D51" t="inlineStr">
        <is>
          <t>Vistas in astronomy.</t>
        </is>
      </c>
      <c r="E51" t="inlineStr">
        <is>
          <t>V.21</t>
        </is>
      </c>
      <c r="F51" t="inlineStr">
        <is>
          <t>Yes</t>
        </is>
      </c>
      <c r="G51" t="inlineStr">
        <is>
          <t>1</t>
        </is>
      </c>
      <c r="H51" t="inlineStr">
        <is>
          <t>No</t>
        </is>
      </c>
      <c r="I51" t="inlineStr">
        <is>
          <t>No</t>
        </is>
      </c>
      <c r="J51" t="inlineStr">
        <is>
          <t>0</t>
        </is>
      </c>
      <c r="K51" t="inlineStr">
        <is>
          <t>Beer, Arthur, 1900-1980 editor.</t>
        </is>
      </c>
      <c r="L51" t="inlineStr">
        <is>
          <t>London, New York, Pergamon Press, 1955.</t>
        </is>
      </c>
      <c r="M51" t="inlineStr">
        <is>
          <t>1955</t>
        </is>
      </c>
      <c r="O51" t="inlineStr">
        <is>
          <t>eng</t>
        </is>
      </c>
      <c r="P51" t="inlineStr">
        <is>
          <t>enk</t>
        </is>
      </c>
      <c r="Q51" t="inlineStr">
        <is>
          <t>Special supplement no. 3 to the Journal of atmospheric and terrestrial physics</t>
        </is>
      </c>
      <c r="R51" t="inlineStr">
        <is>
          <t xml:space="preserve">QB </t>
        </is>
      </c>
      <c r="S51" t="n">
        <v>0</v>
      </c>
      <c r="T51" t="n">
        <v>5</v>
      </c>
      <c r="V51" t="inlineStr">
        <is>
          <t>2007-03-30</t>
        </is>
      </c>
      <c r="W51" t="inlineStr">
        <is>
          <t>1992-11-16</t>
        </is>
      </c>
      <c r="X51" t="inlineStr">
        <is>
          <t>1992-11-16</t>
        </is>
      </c>
      <c r="Y51" t="n">
        <v>206</v>
      </c>
      <c r="Z51" t="n">
        <v>180</v>
      </c>
      <c r="AA51" t="n">
        <v>192</v>
      </c>
      <c r="AB51" t="n">
        <v>1</v>
      </c>
      <c r="AC51" t="n">
        <v>1</v>
      </c>
      <c r="AD51" t="n">
        <v>9</v>
      </c>
      <c r="AE51" t="n">
        <v>9</v>
      </c>
      <c r="AF51" t="n">
        <v>3</v>
      </c>
      <c r="AG51" t="n">
        <v>3</v>
      </c>
      <c r="AH51" t="n">
        <v>2</v>
      </c>
      <c r="AI51" t="n">
        <v>2</v>
      </c>
      <c r="AJ51" t="n">
        <v>6</v>
      </c>
      <c r="AK51" t="n">
        <v>6</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HYPERLINK("https://creighton-primo.hosted.exlibrisgroup.com/primo-explore/search?tab=default_tab&amp;search_scope=EVERYTHING&amp;vid=01CRU&amp;lang=en_US&amp;offset=0&amp;query=any,contains,991001947949702656","Catalog Record")</f>
        <v/>
      </c>
      <c r="AT51">
        <f>HYPERLINK("http://www.worldcat.org/oclc/251036","WorldCat Record")</f>
        <v/>
      </c>
      <c r="AU51" t="inlineStr">
        <is>
          <t>375826739:eng</t>
        </is>
      </c>
      <c r="AV51" t="inlineStr">
        <is>
          <t>251036</t>
        </is>
      </c>
      <c r="AW51" t="inlineStr">
        <is>
          <t>991001947949702656</t>
        </is>
      </c>
      <c r="AX51" t="inlineStr">
        <is>
          <t>991001947949702656</t>
        </is>
      </c>
      <c r="AY51" t="inlineStr">
        <is>
          <t>2268750530002656</t>
        </is>
      </c>
      <c r="AZ51" t="inlineStr">
        <is>
          <t>BOOK</t>
        </is>
      </c>
      <c r="BC51" t="inlineStr">
        <is>
          <t>32285001430742</t>
        </is>
      </c>
      <c r="BD51" t="inlineStr">
        <is>
          <t>893232405</t>
        </is>
      </c>
    </row>
    <row r="52">
      <c r="A52" t="inlineStr">
        <is>
          <t>No</t>
        </is>
      </c>
      <c r="B52" t="inlineStr">
        <is>
          <t>QB3 .B35</t>
        </is>
      </c>
      <c r="C52" t="inlineStr">
        <is>
          <t>0                      QB 0003000B  35</t>
        </is>
      </c>
      <c r="D52" t="inlineStr">
        <is>
          <t>Vistas in astronomy.</t>
        </is>
      </c>
      <c r="E52" t="inlineStr">
        <is>
          <t>V.8</t>
        </is>
      </c>
      <c r="F52" t="inlineStr">
        <is>
          <t>Yes</t>
        </is>
      </c>
      <c r="G52" t="inlineStr">
        <is>
          <t>1</t>
        </is>
      </c>
      <c r="H52" t="inlineStr">
        <is>
          <t>No</t>
        </is>
      </c>
      <c r="I52" t="inlineStr">
        <is>
          <t>No</t>
        </is>
      </c>
      <c r="J52" t="inlineStr">
        <is>
          <t>0</t>
        </is>
      </c>
      <c r="K52" t="inlineStr">
        <is>
          <t>Beer, Arthur, 1900-1980 editor.</t>
        </is>
      </c>
      <c r="L52" t="inlineStr">
        <is>
          <t>London, New York, Pergamon Press, 1955.</t>
        </is>
      </c>
      <c r="M52" t="inlineStr">
        <is>
          <t>1955</t>
        </is>
      </c>
      <c r="O52" t="inlineStr">
        <is>
          <t>eng</t>
        </is>
      </c>
      <c r="P52" t="inlineStr">
        <is>
          <t>enk</t>
        </is>
      </c>
      <c r="Q52" t="inlineStr">
        <is>
          <t>Special supplement no. 3 to the Journal of atmospheric and terrestrial physics</t>
        </is>
      </c>
      <c r="R52" t="inlineStr">
        <is>
          <t xml:space="preserve">QB </t>
        </is>
      </c>
      <c r="S52" t="n">
        <v>0</v>
      </c>
      <c r="T52" t="n">
        <v>5</v>
      </c>
      <c r="V52" t="inlineStr">
        <is>
          <t>2007-03-30</t>
        </is>
      </c>
      <c r="W52" t="inlineStr">
        <is>
          <t>1992-11-16</t>
        </is>
      </c>
      <c r="X52" t="inlineStr">
        <is>
          <t>1992-11-16</t>
        </is>
      </c>
      <c r="Y52" t="n">
        <v>206</v>
      </c>
      <c r="Z52" t="n">
        <v>180</v>
      </c>
      <c r="AA52" t="n">
        <v>192</v>
      </c>
      <c r="AB52" t="n">
        <v>1</v>
      </c>
      <c r="AC52" t="n">
        <v>1</v>
      </c>
      <c r="AD52" t="n">
        <v>9</v>
      </c>
      <c r="AE52" t="n">
        <v>9</v>
      </c>
      <c r="AF52" t="n">
        <v>3</v>
      </c>
      <c r="AG52" t="n">
        <v>3</v>
      </c>
      <c r="AH52" t="n">
        <v>2</v>
      </c>
      <c r="AI52" t="n">
        <v>2</v>
      </c>
      <c r="AJ52" t="n">
        <v>6</v>
      </c>
      <c r="AK52" t="n">
        <v>6</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HYPERLINK("https://creighton-primo.hosted.exlibrisgroup.com/primo-explore/search?tab=default_tab&amp;search_scope=EVERYTHING&amp;vid=01CRU&amp;lang=en_US&amp;offset=0&amp;query=any,contains,991001947949702656","Catalog Record")</f>
        <v/>
      </c>
      <c r="AT52">
        <f>HYPERLINK("http://www.worldcat.org/oclc/251036","WorldCat Record")</f>
        <v/>
      </c>
      <c r="AU52" t="inlineStr">
        <is>
          <t>375826739:eng</t>
        </is>
      </c>
      <c r="AV52" t="inlineStr">
        <is>
          <t>251036</t>
        </is>
      </c>
      <c r="AW52" t="inlineStr">
        <is>
          <t>991001947949702656</t>
        </is>
      </c>
      <c r="AX52" t="inlineStr">
        <is>
          <t>991001947949702656</t>
        </is>
      </c>
      <c r="AY52" t="inlineStr">
        <is>
          <t>2268750530002656</t>
        </is>
      </c>
      <c r="AZ52" t="inlineStr">
        <is>
          <t>BOOK</t>
        </is>
      </c>
      <c r="BC52" t="inlineStr">
        <is>
          <t>32285001430619</t>
        </is>
      </c>
      <c r="BD52" t="inlineStr">
        <is>
          <t>893256673</t>
        </is>
      </c>
    </row>
    <row r="53">
      <c r="A53" t="inlineStr">
        <is>
          <t>No</t>
        </is>
      </c>
      <c r="B53" t="inlineStr">
        <is>
          <t>QB3 .B35</t>
        </is>
      </c>
      <c r="C53" t="inlineStr">
        <is>
          <t>0                      QB 0003000B  35</t>
        </is>
      </c>
      <c r="D53" t="inlineStr">
        <is>
          <t>Vistas in astronomy.</t>
        </is>
      </c>
      <c r="E53" t="inlineStr">
        <is>
          <t>V.12</t>
        </is>
      </c>
      <c r="F53" t="inlineStr">
        <is>
          <t>Yes</t>
        </is>
      </c>
      <c r="G53" t="inlineStr">
        <is>
          <t>1</t>
        </is>
      </c>
      <c r="H53" t="inlineStr">
        <is>
          <t>No</t>
        </is>
      </c>
      <c r="I53" t="inlineStr">
        <is>
          <t>No</t>
        </is>
      </c>
      <c r="J53" t="inlineStr">
        <is>
          <t>0</t>
        </is>
      </c>
      <c r="K53" t="inlineStr">
        <is>
          <t>Beer, Arthur, 1900-1980 editor.</t>
        </is>
      </c>
      <c r="L53" t="inlineStr">
        <is>
          <t>London, New York, Pergamon Press, 1955.</t>
        </is>
      </c>
      <c r="M53" t="inlineStr">
        <is>
          <t>1955</t>
        </is>
      </c>
      <c r="O53" t="inlineStr">
        <is>
          <t>eng</t>
        </is>
      </c>
      <c r="P53" t="inlineStr">
        <is>
          <t>enk</t>
        </is>
      </c>
      <c r="Q53" t="inlineStr">
        <is>
          <t>Special supplement no. 3 to the Journal of atmospheric and terrestrial physics</t>
        </is>
      </c>
      <c r="R53" t="inlineStr">
        <is>
          <t xml:space="preserve">QB </t>
        </is>
      </c>
      <c r="S53" t="n">
        <v>0</v>
      </c>
      <c r="T53" t="n">
        <v>5</v>
      </c>
      <c r="V53" t="inlineStr">
        <is>
          <t>2007-03-30</t>
        </is>
      </c>
      <c r="W53" t="inlineStr">
        <is>
          <t>1992-11-16</t>
        </is>
      </c>
      <c r="X53" t="inlineStr">
        <is>
          <t>1992-11-16</t>
        </is>
      </c>
      <c r="Y53" t="n">
        <v>206</v>
      </c>
      <c r="Z53" t="n">
        <v>180</v>
      </c>
      <c r="AA53" t="n">
        <v>192</v>
      </c>
      <c r="AB53" t="n">
        <v>1</v>
      </c>
      <c r="AC53" t="n">
        <v>1</v>
      </c>
      <c r="AD53" t="n">
        <v>9</v>
      </c>
      <c r="AE53" t="n">
        <v>9</v>
      </c>
      <c r="AF53" t="n">
        <v>3</v>
      </c>
      <c r="AG53" t="n">
        <v>3</v>
      </c>
      <c r="AH53" t="n">
        <v>2</v>
      </c>
      <c r="AI53" t="n">
        <v>2</v>
      </c>
      <c r="AJ53" t="n">
        <v>6</v>
      </c>
      <c r="AK53" t="n">
        <v>6</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HYPERLINK("https://creighton-primo.hosted.exlibrisgroup.com/primo-explore/search?tab=default_tab&amp;search_scope=EVERYTHING&amp;vid=01CRU&amp;lang=en_US&amp;offset=0&amp;query=any,contains,991001947949702656","Catalog Record")</f>
        <v/>
      </c>
      <c r="AT53">
        <f>HYPERLINK("http://www.worldcat.org/oclc/251036","WorldCat Record")</f>
        <v/>
      </c>
      <c r="AU53" t="inlineStr">
        <is>
          <t>375826739:eng</t>
        </is>
      </c>
      <c r="AV53" t="inlineStr">
        <is>
          <t>251036</t>
        </is>
      </c>
      <c r="AW53" t="inlineStr">
        <is>
          <t>991001947949702656</t>
        </is>
      </c>
      <c r="AX53" t="inlineStr">
        <is>
          <t>991001947949702656</t>
        </is>
      </c>
      <c r="AY53" t="inlineStr">
        <is>
          <t>2268750530002656</t>
        </is>
      </c>
      <c r="AZ53" t="inlineStr">
        <is>
          <t>BOOK</t>
        </is>
      </c>
      <c r="BC53" t="inlineStr">
        <is>
          <t>32285001430650</t>
        </is>
      </c>
      <c r="BD53" t="inlineStr">
        <is>
          <t>893256677</t>
        </is>
      </c>
    </row>
    <row r="54">
      <c r="A54" t="inlineStr">
        <is>
          <t>No</t>
        </is>
      </c>
      <c r="B54" t="inlineStr">
        <is>
          <t>QB3 .B35</t>
        </is>
      </c>
      <c r="C54" t="inlineStr">
        <is>
          <t>0                      QB 0003000B  35</t>
        </is>
      </c>
      <c r="D54" t="inlineStr">
        <is>
          <t>Vistas in astronomy.</t>
        </is>
      </c>
      <c r="E54" t="inlineStr">
        <is>
          <t>V.20</t>
        </is>
      </c>
      <c r="F54" t="inlineStr">
        <is>
          <t>Yes</t>
        </is>
      </c>
      <c r="G54" t="inlineStr">
        <is>
          <t>1</t>
        </is>
      </c>
      <c r="H54" t="inlineStr">
        <is>
          <t>No</t>
        </is>
      </c>
      <c r="I54" t="inlineStr">
        <is>
          <t>No</t>
        </is>
      </c>
      <c r="J54" t="inlineStr">
        <is>
          <t>0</t>
        </is>
      </c>
      <c r="K54" t="inlineStr">
        <is>
          <t>Beer, Arthur, 1900-1980 editor.</t>
        </is>
      </c>
      <c r="L54" t="inlineStr">
        <is>
          <t>London, New York, Pergamon Press, 1955.</t>
        </is>
      </c>
      <c r="M54" t="inlineStr">
        <is>
          <t>1955</t>
        </is>
      </c>
      <c r="O54" t="inlineStr">
        <is>
          <t>eng</t>
        </is>
      </c>
      <c r="P54" t="inlineStr">
        <is>
          <t>enk</t>
        </is>
      </c>
      <c r="Q54" t="inlineStr">
        <is>
          <t>Special supplement no. 3 to the Journal of atmospheric and terrestrial physics</t>
        </is>
      </c>
      <c r="R54" t="inlineStr">
        <is>
          <t xml:space="preserve">QB </t>
        </is>
      </c>
      <c r="S54" t="n">
        <v>0</v>
      </c>
      <c r="T54" t="n">
        <v>5</v>
      </c>
      <c r="V54" t="inlineStr">
        <is>
          <t>2007-03-30</t>
        </is>
      </c>
      <c r="W54" t="inlineStr">
        <is>
          <t>1992-11-16</t>
        </is>
      </c>
      <c r="X54" t="inlineStr">
        <is>
          <t>1992-11-16</t>
        </is>
      </c>
      <c r="Y54" t="n">
        <v>206</v>
      </c>
      <c r="Z54" t="n">
        <v>180</v>
      </c>
      <c r="AA54" t="n">
        <v>192</v>
      </c>
      <c r="AB54" t="n">
        <v>1</v>
      </c>
      <c r="AC54" t="n">
        <v>1</v>
      </c>
      <c r="AD54" t="n">
        <v>9</v>
      </c>
      <c r="AE54" t="n">
        <v>9</v>
      </c>
      <c r="AF54" t="n">
        <v>3</v>
      </c>
      <c r="AG54" t="n">
        <v>3</v>
      </c>
      <c r="AH54" t="n">
        <v>2</v>
      </c>
      <c r="AI54" t="n">
        <v>2</v>
      </c>
      <c r="AJ54" t="n">
        <v>6</v>
      </c>
      <c r="AK54" t="n">
        <v>6</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HYPERLINK("https://creighton-primo.hosted.exlibrisgroup.com/primo-explore/search?tab=default_tab&amp;search_scope=EVERYTHING&amp;vid=01CRU&amp;lang=en_US&amp;offset=0&amp;query=any,contains,991001947949702656","Catalog Record")</f>
        <v/>
      </c>
      <c r="AT54">
        <f>HYPERLINK("http://www.worldcat.org/oclc/251036","WorldCat Record")</f>
        <v/>
      </c>
      <c r="AU54" t="inlineStr">
        <is>
          <t>375826739:eng</t>
        </is>
      </c>
      <c r="AV54" t="inlineStr">
        <is>
          <t>251036</t>
        </is>
      </c>
      <c r="AW54" t="inlineStr">
        <is>
          <t>991001947949702656</t>
        </is>
      </c>
      <c r="AX54" t="inlineStr">
        <is>
          <t>991001947949702656</t>
        </is>
      </c>
      <c r="AY54" t="inlineStr">
        <is>
          <t>2268750530002656</t>
        </is>
      </c>
      <c r="AZ54" t="inlineStr">
        <is>
          <t>BOOK</t>
        </is>
      </c>
      <c r="BC54" t="inlineStr">
        <is>
          <t>32285001430734</t>
        </is>
      </c>
      <c r="BD54" t="inlineStr">
        <is>
          <t>893256666</t>
        </is>
      </c>
    </row>
    <row r="55">
      <c r="A55" t="inlineStr">
        <is>
          <t>No</t>
        </is>
      </c>
      <c r="B55" t="inlineStr">
        <is>
          <t>QB3 .B35</t>
        </is>
      </c>
      <c r="C55" t="inlineStr">
        <is>
          <t>0                      QB 0003000B  35</t>
        </is>
      </c>
      <c r="D55" t="inlineStr">
        <is>
          <t>Vistas in astronomy.</t>
        </is>
      </c>
      <c r="E55" t="inlineStr">
        <is>
          <t>V.4</t>
        </is>
      </c>
      <c r="F55" t="inlineStr">
        <is>
          <t>Yes</t>
        </is>
      </c>
      <c r="G55" t="inlineStr">
        <is>
          <t>1</t>
        </is>
      </c>
      <c r="H55" t="inlineStr">
        <is>
          <t>No</t>
        </is>
      </c>
      <c r="I55" t="inlineStr">
        <is>
          <t>No</t>
        </is>
      </c>
      <c r="J55" t="inlineStr">
        <is>
          <t>0</t>
        </is>
      </c>
      <c r="K55" t="inlineStr">
        <is>
          <t>Beer, Arthur, 1900-1980 editor.</t>
        </is>
      </c>
      <c r="L55" t="inlineStr">
        <is>
          <t>London, New York, Pergamon Press, 1955.</t>
        </is>
      </c>
      <c r="M55" t="inlineStr">
        <is>
          <t>1955</t>
        </is>
      </c>
      <c r="O55" t="inlineStr">
        <is>
          <t>eng</t>
        </is>
      </c>
      <c r="P55" t="inlineStr">
        <is>
          <t>enk</t>
        </is>
      </c>
      <c r="Q55" t="inlineStr">
        <is>
          <t>Special supplement no. 3 to the Journal of atmospheric and terrestrial physics</t>
        </is>
      </c>
      <c r="R55" t="inlineStr">
        <is>
          <t xml:space="preserve">QB </t>
        </is>
      </c>
      <c r="S55" t="n">
        <v>0</v>
      </c>
      <c r="T55" t="n">
        <v>5</v>
      </c>
      <c r="V55" t="inlineStr">
        <is>
          <t>2007-03-30</t>
        </is>
      </c>
      <c r="W55" t="inlineStr">
        <is>
          <t>1992-11-16</t>
        </is>
      </c>
      <c r="X55" t="inlineStr">
        <is>
          <t>1992-11-16</t>
        </is>
      </c>
      <c r="Y55" t="n">
        <v>206</v>
      </c>
      <c r="Z55" t="n">
        <v>180</v>
      </c>
      <c r="AA55" t="n">
        <v>192</v>
      </c>
      <c r="AB55" t="n">
        <v>1</v>
      </c>
      <c r="AC55" t="n">
        <v>1</v>
      </c>
      <c r="AD55" t="n">
        <v>9</v>
      </c>
      <c r="AE55" t="n">
        <v>9</v>
      </c>
      <c r="AF55" t="n">
        <v>3</v>
      </c>
      <c r="AG55" t="n">
        <v>3</v>
      </c>
      <c r="AH55" t="n">
        <v>2</v>
      </c>
      <c r="AI55" t="n">
        <v>2</v>
      </c>
      <c r="AJ55" t="n">
        <v>6</v>
      </c>
      <c r="AK55" t="n">
        <v>6</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HYPERLINK("https://creighton-primo.hosted.exlibrisgroup.com/primo-explore/search?tab=default_tab&amp;search_scope=EVERYTHING&amp;vid=01CRU&amp;lang=en_US&amp;offset=0&amp;query=any,contains,991001947949702656","Catalog Record")</f>
        <v/>
      </c>
      <c r="AT55">
        <f>HYPERLINK("http://www.worldcat.org/oclc/251036","WorldCat Record")</f>
        <v/>
      </c>
      <c r="AU55" t="inlineStr">
        <is>
          <t>375826739:eng</t>
        </is>
      </c>
      <c r="AV55" t="inlineStr">
        <is>
          <t>251036</t>
        </is>
      </c>
      <c r="AW55" t="inlineStr">
        <is>
          <t>991001947949702656</t>
        </is>
      </c>
      <c r="AX55" t="inlineStr">
        <is>
          <t>991001947949702656</t>
        </is>
      </c>
      <c r="AY55" t="inlineStr">
        <is>
          <t>2268750530002656</t>
        </is>
      </c>
      <c r="AZ55" t="inlineStr">
        <is>
          <t>BOOK</t>
        </is>
      </c>
      <c r="BC55" t="inlineStr">
        <is>
          <t>32285001430577</t>
        </is>
      </c>
      <c r="BD55" t="inlineStr">
        <is>
          <t>893256651</t>
        </is>
      </c>
    </row>
    <row r="56">
      <c r="A56" t="inlineStr">
        <is>
          <t>No</t>
        </is>
      </c>
      <c r="B56" t="inlineStr">
        <is>
          <t>QB3 .B35</t>
        </is>
      </c>
      <c r="C56" t="inlineStr">
        <is>
          <t>0                      QB 0003000B  35</t>
        </is>
      </c>
      <c r="D56" t="inlineStr">
        <is>
          <t>Vistas in astronomy.</t>
        </is>
      </c>
      <c r="E56" t="inlineStr">
        <is>
          <t>V.1</t>
        </is>
      </c>
      <c r="F56" t="inlineStr">
        <is>
          <t>Yes</t>
        </is>
      </c>
      <c r="G56" t="inlineStr">
        <is>
          <t>1</t>
        </is>
      </c>
      <c r="H56" t="inlineStr">
        <is>
          <t>No</t>
        </is>
      </c>
      <c r="I56" t="inlineStr">
        <is>
          <t>No</t>
        </is>
      </c>
      <c r="J56" t="inlineStr">
        <is>
          <t>0</t>
        </is>
      </c>
      <c r="K56" t="inlineStr">
        <is>
          <t>Beer, Arthur, 1900-1980 editor.</t>
        </is>
      </c>
      <c r="L56" t="inlineStr">
        <is>
          <t>London, New York, Pergamon Press, 1955.</t>
        </is>
      </c>
      <c r="M56" t="inlineStr">
        <is>
          <t>1955</t>
        </is>
      </c>
      <c r="O56" t="inlineStr">
        <is>
          <t>eng</t>
        </is>
      </c>
      <c r="P56" t="inlineStr">
        <is>
          <t>enk</t>
        </is>
      </c>
      <c r="Q56" t="inlineStr">
        <is>
          <t>Special supplement no. 3 to the Journal of atmospheric and terrestrial physics</t>
        </is>
      </c>
      <c r="R56" t="inlineStr">
        <is>
          <t xml:space="preserve">QB </t>
        </is>
      </c>
      <c r="S56" t="n">
        <v>0</v>
      </c>
      <c r="T56" t="n">
        <v>5</v>
      </c>
      <c r="V56" t="inlineStr">
        <is>
          <t>2007-03-30</t>
        </is>
      </c>
      <c r="W56" t="inlineStr">
        <is>
          <t>1992-11-16</t>
        </is>
      </c>
      <c r="X56" t="inlineStr">
        <is>
          <t>1992-11-16</t>
        </is>
      </c>
      <c r="Y56" t="n">
        <v>206</v>
      </c>
      <c r="Z56" t="n">
        <v>180</v>
      </c>
      <c r="AA56" t="n">
        <v>192</v>
      </c>
      <c r="AB56" t="n">
        <v>1</v>
      </c>
      <c r="AC56" t="n">
        <v>1</v>
      </c>
      <c r="AD56" t="n">
        <v>9</v>
      </c>
      <c r="AE56" t="n">
        <v>9</v>
      </c>
      <c r="AF56" t="n">
        <v>3</v>
      </c>
      <c r="AG56" t="n">
        <v>3</v>
      </c>
      <c r="AH56" t="n">
        <v>2</v>
      </c>
      <c r="AI56" t="n">
        <v>2</v>
      </c>
      <c r="AJ56" t="n">
        <v>6</v>
      </c>
      <c r="AK56" t="n">
        <v>6</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HYPERLINK("https://creighton-primo.hosted.exlibrisgroup.com/primo-explore/search?tab=default_tab&amp;search_scope=EVERYTHING&amp;vid=01CRU&amp;lang=en_US&amp;offset=0&amp;query=any,contains,991001947949702656","Catalog Record")</f>
        <v/>
      </c>
      <c r="AT56">
        <f>HYPERLINK("http://www.worldcat.org/oclc/251036","WorldCat Record")</f>
        <v/>
      </c>
      <c r="AU56" t="inlineStr">
        <is>
          <t>375826739:eng</t>
        </is>
      </c>
      <c r="AV56" t="inlineStr">
        <is>
          <t>251036</t>
        </is>
      </c>
      <c r="AW56" t="inlineStr">
        <is>
          <t>991001947949702656</t>
        </is>
      </c>
      <c r="AX56" t="inlineStr">
        <is>
          <t>991001947949702656</t>
        </is>
      </c>
      <c r="AY56" t="inlineStr">
        <is>
          <t>2268750530002656</t>
        </is>
      </c>
      <c r="AZ56" t="inlineStr">
        <is>
          <t>BOOK</t>
        </is>
      </c>
      <c r="BC56" t="inlineStr">
        <is>
          <t>32285001430536</t>
        </is>
      </c>
      <c r="BD56" t="inlineStr">
        <is>
          <t>893250644</t>
        </is>
      </c>
    </row>
    <row r="57">
      <c r="A57" t="inlineStr">
        <is>
          <t>No</t>
        </is>
      </c>
      <c r="B57" t="inlineStr">
        <is>
          <t>QB3 .B35</t>
        </is>
      </c>
      <c r="C57" t="inlineStr">
        <is>
          <t>0                      QB 0003000B  35</t>
        </is>
      </c>
      <c r="D57" t="inlineStr">
        <is>
          <t>Vistas in astronomy.</t>
        </is>
      </c>
      <c r="E57" t="inlineStr">
        <is>
          <t>V.14</t>
        </is>
      </c>
      <c r="F57" t="inlineStr">
        <is>
          <t>Yes</t>
        </is>
      </c>
      <c r="G57" t="inlineStr">
        <is>
          <t>1</t>
        </is>
      </c>
      <c r="H57" t="inlineStr">
        <is>
          <t>No</t>
        </is>
      </c>
      <c r="I57" t="inlineStr">
        <is>
          <t>No</t>
        </is>
      </c>
      <c r="J57" t="inlineStr">
        <is>
          <t>0</t>
        </is>
      </c>
      <c r="K57" t="inlineStr">
        <is>
          <t>Beer, Arthur, 1900-1980 editor.</t>
        </is>
      </c>
      <c r="L57" t="inlineStr">
        <is>
          <t>London, New York, Pergamon Press, 1955.</t>
        </is>
      </c>
      <c r="M57" t="inlineStr">
        <is>
          <t>1955</t>
        </is>
      </c>
      <c r="O57" t="inlineStr">
        <is>
          <t>eng</t>
        </is>
      </c>
      <c r="P57" t="inlineStr">
        <is>
          <t>enk</t>
        </is>
      </c>
      <c r="Q57" t="inlineStr">
        <is>
          <t>Special supplement no. 3 to the Journal of atmospheric and terrestrial physics</t>
        </is>
      </c>
      <c r="R57" t="inlineStr">
        <is>
          <t xml:space="preserve">QB </t>
        </is>
      </c>
      <c r="S57" t="n">
        <v>0</v>
      </c>
      <c r="T57" t="n">
        <v>5</v>
      </c>
      <c r="V57" t="inlineStr">
        <is>
          <t>2007-03-30</t>
        </is>
      </c>
      <c r="W57" t="inlineStr">
        <is>
          <t>1992-11-16</t>
        </is>
      </c>
      <c r="X57" t="inlineStr">
        <is>
          <t>1992-11-16</t>
        </is>
      </c>
      <c r="Y57" t="n">
        <v>206</v>
      </c>
      <c r="Z57" t="n">
        <v>180</v>
      </c>
      <c r="AA57" t="n">
        <v>192</v>
      </c>
      <c r="AB57" t="n">
        <v>1</v>
      </c>
      <c r="AC57" t="n">
        <v>1</v>
      </c>
      <c r="AD57" t="n">
        <v>9</v>
      </c>
      <c r="AE57" t="n">
        <v>9</v>
      </c>
      <c r="AF57" t="n">
        <v>3</v>
      </c>
      <c r="AG57" t="n">
        <v>3</v>
      </c>
      <c r="AH57" t="n">
        <v>2</v>
      </c>
      <c r="AI57" t="n">
        <v>2</v>
      </c>
      <c r="AJ57" t="n">
        <v>6</v>
      </c>
      <c r="AK57" t="n">
        <v>6</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HYPERLINK("https://creighton-primo.hosted.exlibrisgroup.com/primo-explore/search?tab=default_tab&amp;search_scope=EVERYTHING&amp;vid=01CRU&amp;lang=en_US&amp;offset=0&amp;query=any,contains,991001947949702656","Catalog Record")</f>
        <v/>
      </c>
      <c r="AT57">
        <f>HYPERLINK("http://www.worldcat.org/oclc/251036","WorldCat Record")</f>
        <v/>
      </c>
      <c r="AU57" t="inlineStr">
        <is>
          <t>375826739:eng</t>
        </is>
      </c>
      <c r="AV57" t="inlineStr">
        <is>
          <t>251036</t>
        </is>
      </c>
      <c r="AW57" t="inlineStr">
        <is>
          <t>991001947949702656</t>
        </is>
      </c>
      <c r="AX57" t="inlineStr">
        <is>
          <t>991001947949702656</t>
        </is>
      </c>
      <c r="AY57" t="inlineStr">
        <is>
          <t>2268750530002656</t>
        </is>
      </c>
      <c r="AZ57" t="inlineStr">
        <is>
          <t>BOOK</t>
        </is>
      </c>
      <c r="BC57" t="inlineStr">
        <is>
          <t>32285001430676</t>
        </is>
      </c>
      <c r="BD57" t="inlineStr">
        <is>
          <t>893256669</t>
        </is>
      </c>
    </row>
    <row r="58">
      <c r="A58" t="inlineStr">
        <is>
          <t>No</t>
        </is>
      </c>
      <c r="B58" t="inlineStr">
        <is>
          <t>QB3 .B35</t>
        </is>
      </c>
      <c r="C58" t="inlineStr">
        <is>
          <t>0                      QB 0003000B  35</t>
        </is>
      </c>
      <c r="D58" t="inlineStr">
        <is>
          <t>Vistas in astronomy.</t>
        </is>
      </c>
      <c r="E58" t="inlineStr">
        <is>
          <t>V.9</t>
        </is>
      </c>
      <c r="F58" t="inlineStr">
        <is>
          <t>Yes</t>
        </is>
      </c>
      <c r="G58" t="inlineStr">
        <is>
          <t>1</t>
        </is>
      </c>
      <c r="H58" t="inlineStr">
        <is>
          <t>No</t>
        </is>
      </c>
      <c r="I58" t="inlineStr">
        <is>
          <t>No</t>
        </is>
      </c>
      <c r="J58" t="inlineStr">
        <is>
          <t>0</t>
        </is>
      </c>
      <c r="K58" t="inlineStr">
        <is>
          <t>Beer, Arthur, 1900-1980 editor.</t>
        </is>
      </c>
      <c r="L58" t="inlineStr">
        <is>
          <t>London, New York, Pergamon Press, 1955.</t>
        </is>
      </c>
      <c r="M58" t="inlineStr">
        <is>
          <t>1955</t>
        </is>
      </c>
      <c r="O58" t="inlineStr">
        <is>
          <t>eng</t>
        </is>
      </c>
      <c r="P58" t="inlineStr">
        <is>
          <t>enk</t>
        </is>
      </c>
      <c r="Q58" t="inlineStr">
        <is>
          <t>Special supplement no. 3 to the Journal of atmospheric and terrestrial physics</t>
        </is>
      </c>
      <c r="R58" t="inlineStr">
        <is>
          <t xml:space="preserve">QB </t>
        </is>
      </c>
      <c r="S58" t="n">
        <v>0</v>
      </c>
      <c r="T58" t="n">
        <v>5</v>
      </c>
      <c r="V58" t="inlineStr">
        <is>
          <t>2007-03-30</t>
        </is>
      </c>
      <c r="W58" t="inlineStr">
        <is>
          <t>1992-11-16</t>
        </is>
      </c>
      <c r="X58" t="inlineStr">
        <is>
          <t>1992-11-16</t>
        </is>
      </c>
      <c r="Y58" t="n">
        <v>206</v>
      </c>
      <c r="Z58" t="n">
        <v>180</v>
      </c>
      <c r="AA58" t="n">
        <v>192</v>
      </c>
      <c r="AB58" t="n">
        <v>1</v>
      </c>
      <c r="AC58" t="n">
        <v>1</v>
      </c>
      <c r="AD58" t="n">
        <v>9</v>
      </c>
      <c r="AE58" t="n">
        <v>9</v>
      </c>
      <c r="AF58" t="n">
        <v>3</v>
      </c>
      <c r="AG58" t="n">
        <v>3</v>
      </c>
      <c r="AH58" t="n">
        <v>2</v>
      </c>
      <c r="AI58" t="n">
        <v>2</v>
      </c>
      <c r="AJ58" t="n">
        <v>6</v>
      </c>
      <c r="AK58" t="n">
        <v>6</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HYPERLINK("https://creighton-primo.hosted.exlibrisgroup.com/primo-explore/search?tab=default_tab&amp;search_scope=EVERYTHING&amp;vid=01CRU&amp;lang=en_US&amp;offset=0&amp;query=any,contains,991001947949702656","Catalog Record")</f>
        <v/>
      </c>
      <c r="AT58">
        <f>HYPERLINK("http://www.worldcat.org/oclc/251036","WorldCat Record")</f>
        <v/>
      </c>
      <c r="AU58" t="inlineStr">
        <is>
          <t>375826739:eng</t>
        </is>
      </c>
      <c r="AV58" t="inlineStr">
        <is>
          <t>251036</t>
        </is>
      </c>
      <c r="AW58" t="inlineStr">
        <is>
          <t>991001947949702656</t>
        </is>
      </c>
      <c r="AX58" t="inlineStr">
        <is>
          <t>991001947949702656</t>
        </is>
      </c>
      <c r="AY58" t="inlineStr">
        <is>
          <t>2268750530002656</t>
        </is>
      </c>
      <c r="AZ58" t="inlineStr">
        <is>
          <t>BOOK</t>
        </is>
      </c>
      <c r="BC58" t="inlineStr">
        <is>
          <t>32285001430627</t>
        </is>
      </c>
      <c r="BD58" t="inlineStr">
        <is>
          <t>893232403</t>
        </is>
      </c>
    </row>
    <row r="59">
      <c r="A59" t="inlineStr">
        <is>
          <t>No</t>
        </is>
      </c>
      <c r="B59" t="inlineStr">
        <is>
          <t>QB3 .B35</t>
        </is>
      </c>
      <c r="C59" t="inlineStr">
        <is>
          <t>0                      QB 0003000B  35</t>
        </is>
      </c>
      <c r="D59" t="inlineStr">
        <is>
          <t>Vistas in astronomy.</t>
        </is>
      </c>
      <c r="E59" t="inlineStr">
        <is>
          <t>V.22</t>
        </is>
      </c>
      <c r="F59" t="inlineStr">
        <is>
          <t>Yes</t>
        </is>
      </c>
      <c r="G59" t="inlineStr">
        <is>
          <t>1</t>
        </is>
      </c>
      <c r="H59" t="inlineStr">
        <is>
          <t>No</t>
        </is>
      </c>
      <c r="I59" t="inlineStr">
        <is>
          <t>No</t>
        </is>
      </c>
      <c r="J59" t="inlineStr">
        <is>
          <t>0</t>
        </is>
      </c>
      <c r="K59" t="inlineStr">
        <is>
          <t>Beer, Arthur, 1900-1980 editor.</t>
        </is>
      </c>
      <c r="L59" t="inlineStr">
        <is>
          <t>London, New York, Pergamon Press, 1955.</t>
        </is>
      </c>
      <c r="M59" t="inlineStr">
        <is>
          <t>1955</t>
        </is>
      </c>
      <c r="O59" t="inlineStr">
        <is>
          <t>eng</t>
        </is>
      </c>
      <c r="P59" t="inlineStr">
        <is>
          <t>enk</t>
        </is>
      </c>
      <c r="Q59" t="inlineStr">
        <is>
          <t>Special supplement no. 3 to the Journal of atmospheric and terrestrial physics</t>
        </is>
      </c>
      <c r="R59" t="inlineStr">
        <is>
          <t xml:space="preserve">QB </t>
        </is>
      </c>
      <c r="S59" t="n">
        <v>0</v>
      </c>
      <c r="T59" t="n">
        <v>5</v>
      </c>
      <c r="V59" t="inlineStr">
        <is>
          <t>2007-03-30</t>
        </is>
      </c>
      <c r="W59" t="inlineStr">
        <is>
          <t>1992-11-16</t>
        </is>
      </c>
      <c r="X59" t="inlineStr">
        <is>
          <t>1992-11-16</t>
        </is>
      </c>
      <c r="Y59" t="n">
        <v>206</v>
      </c>
      <c r="Z59" t="n">
        <v>180</v>
      </c>
      <c r="AA59" t="n">
        <v>192</v>
      </c>
      <c r="AB59" t="n">
        <v>1</v>
      </c>
      <c r="AC59" t="n">
        <v>1</v>
      </c>
      <c r="AD59" t="n">
        <v>9</v>
      </c>
      <c r="AE59" t="n">
        <v>9</v>
      </c>
      <c r="AF59" t="n">
        <v>3</v>
      </c>
      <c r="AG59" t="n">
        <v>3</v>
      </c>
      <c r="AH59" t="n">
        <v>2</v>
      </c>
      <c r="AI59" t="n">
        <v>2</v>
      </c>
      <c r="AJ59" t="n">
        <v>6</v>
      </c>
      <c r="AK59" t="n">
        <v>6</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HYPERLINK("https://creighton-primo.hosted.exlibrisgroup.com/primo-explore/search?tab=default_tab&amp;search_scope=EVERYTHING&amp;vid=01CRU&amp;lang=en_US&amp;offset=0&amp;query=any,contains,991001947949702656","Catalog Record")</f>
        <v/>
      </c>
      <c r="AT59">
        <f>HYPERLINK("http://www.worldcat.org/oclc/251036","WorldCat Record")</f>
        <v/>
      </c>
      <c r="AU59" t="inlineStr">
        <is>
          <t>375826739:eng</t>
        </is>
      </c>
      <c r="AV59" t="inlineStr">
        <is>
          <t>251036</t>
        </is>
      </c>
      <c r="AW59" t="inlineStr">
        <is>
          <t>991001947949702656</t>
        </is>
      </c>
      <c r="AX59" t="inlineStr">
        <is>
          <t>991001947949702656</t>
        </is>
      </c>
      <c r="AY59" t="inlineStr">
        <is>
          <t>2268750530002656</t>
        </is>
      </c>
      <c r="AZ59" t="inlineStr">
        <is>
          <t>BOOK</t>
        </is>
      </c>
      <c r="BC59" t="inlineStr">
        <is>
          <t>32285001430759</t>
        </is>
      </c>
      <c r="BD59" t="inlineStr">
        <is>
          <t>893256675</t>
        </is>
      </c>
    </row>
    <row r="60">
      <c r="A60" t="inlineStr">
        <is>
          <t>No</t>
        </is>
      </c>
      <c r="B60" t="inlineStr">
        <is>
          <t>QB3 .B35</t>
        </is>
      </c>
      <c r="C60" t="inlineStr">
        <is>
          <t>0                      QB 0003000B  35</t>
        </is>
      </c>
      <c r="D60" t="inlineStr">
        <is>
          <t>Vistas in astronomy.</t>
        </is>
      </c>
      <c r="E60" t="inlineStr">
        <is>
          <t>V.19</t>
        </is>
      </c>
      <c r="F60" t="inlineStr">
        <is>
          <t>Yes</t>
        </is>
      </c>
      <c r="G60" t="inlineStr">
        <is>
          <t>1</t>
        </is>
      </c>
      <c r="H60" t="inlineStr">
        <is>
          <t>No</t>
        </is>
      </c>
      <c r="I60" t="inlineStr">
        <is>
          <t>No</t>
        </is>
      </c>
      <c r="J60" t="inlineStr">
        <is>
          <t>0</t>
        </is>
      </c>
      <c r="K60" t="inlineStr">
        <is>
          <t>Beer, Arthur, 1900-1980 editor.</t>
        </is>
      </c>
      <c r="L60" t="inlineStr">
        <is>
          <t>London, New York, Pergamon Press, 1955.</t>
        </is>
      </c>
      <c r="M60" t="inlineStr">
        <is>
          <t>1955</t>
        </is>
      </c>
      <c r="O60" t="inlineStr">
        <is>
          <t>eng</t>
        </is>
      </c>
      <c r="P60" t="inlineStr">
        <is>
          <t>enk</t>
        </is>
      </c>
      <c r="Q60" t="inlineStr">
        <is>
          <t>Special supplement no. 3 to the Journal of atmospheric and terrestrial physics</t>
        </is>
      </c>
      <c r="R60" t="inlineStr">
        <is>
          <t xml:space="preserve">QB </t>
        </is>
      </c>
      <c r="S60" t="n">
        <v>0</v>
      </c>
      <c r="T60" t="n">
        <v>5</v>
      </c>
      <c r="V60" t="inlineStr">
        <is>
          <t>2007-03-30</t>
        </is>
      </c>
      <c r="W60" t="inlineStr">
        <is>
          <t>1992-11-16</t>
        </is>
      </c>
      <c r="X60" t="inlineStr">
        <is>
          <t>1992-11-16</t>
        </is>
      </c>
      <c r="Y60" t="n">
        <v>206</v>
      </c>
      <c r="Z60" t="n">
        <v>180</v>
      </c>
      <c r="AA60" t="n">
        <v>192</v>
      </c>
      <c r="AB60" t="n">
        <v>1</v>
      </c>
      <c r="AC60" t="n">
        <v>1</v>
      </c>
      <c r="AD60" t="n">
        <v>9</v>
      </c>
      <c r="AE60" t="n">
        <v>9</v>
      </c>
      <c r="AF60" t="n">
        <v>3</v>
      </c>
      <c r="AG60" t="n">
        <v>3</v>
      </c>
      <c r="AH60" t="n">
        <v>2</v>
      </c>
      <c r="AI60" t="n">
        <v>2</v>
      </c>
      <c r="AJ60" t="n">
        <v>6</v>
      </c>
      <c r="AK60" t="n">
        <v>6</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HYPERLINK("https://creighton-primo.hosted.exlibrisgroup.com/primo-explore/search?tab=default_tab&amp;search_scope=EVERYTHING&amp;vid=01CRU&amp;lang=en_US&amp;offset=0&amp;query=any,contains,991001947949702656","Catalog Record")</f>
        <v/>
      </c>
      <c r="AT60">
        <f>HYPERLINK("http://www.worldcat.org/oclc/251036","WorldCat Record")</f>
        <v/>
      </c>
      <c r="AU60" t="inlineStr">
        <is>
          <t>375826739:eng</t>
        </is>
      </c>
      <c r="AV60" t="inlineStr">
        <is>
          <t>251036</t>
        </is>
      </c>
      <c r="AW60" t="inlineStr">
        <is>
          <t>991001947949702656</t>
        </is>
      </c>
      <c r="AX60" t="inlineStr">
        <is>
          <t>991001947949702656</t>
        </is>
      </c>
      <c r="AY60" t="inlineStr">
        <is>
          <t>2268750530002656</t>
        </is>
      </c>
      <c r="AZ60" t="inlineStr">
        <is>
          <t>BOOK</t>
        </is>
      </c>
      <c r="BC60" t="inlineStr">
        <is>
          <t>32285001430726</t>
        </is>
      </c>
      <c r="BD60" t="inlineStr">
        <is>
          <t>893256676</t>
        </is>
      </c>
    </row>
    <row r="61">
      <c r="A61" t="inlineStr">
        <is>
          <t>No</t>
        </is>
      </c>
      <c r="B61" t="inlineStr">
        <is>
          <t>QB3 .B35</t>
        </is>
      </c>
      <c r="C61" t="inlineStr">
        <is>
          <t>0                      QB 0003000B  35</t>
        </is>
      </c>
      <c r="D61" t="inlineStr">
        <is>
          <t>Vistas in astronomy.</t>
        </is>
      </c>
      <c r="E61" t="inlineStr">
        <is>
          <t>V.7</t>
        </is>
      </c>
      <c r="F61" t="inlineStr">
        <is>
          <t>Yes</t>
        </is>
      </c>
      <c r="G61" t="inlineStr">
        <is>
          <t>1</t>
        </is>
      </c>
      <c r="H61" t="inlineStr">
        <is>
          <t>No</t>
        </is>
      </c>
      <c r="I61" t="inlineStr">
        <is>
          <t>No</t>
        </is>
      </c>
      <c r="J61" t="inlineStr">
        <is>
          <t>0</t>
        </is>
      </c>
      <c r="K61" t="inlineStr">
        <is>
          <t>Beer, Arthur, 1900-1980 editor.</t>
        </is>
      </c>
      <c r="L61" t="inlineStr">
        <is>
          <t>London, New York, Pergamon Press, 1955.</t>
        </is>
      </c>
      <c r="M61" t="inlineStr">
        <is>
          <t>1955</t>
        </is>
      </c>
      <c r="O61" t="inlineStr">
        <is>
          <t>eng</t>
        </is>
      </c>
      <c r="P61" t="inlineStr">
        <is>
          <t>enk</t>
        </is>
      </c>
      <c r="Q61" t="inlineStr">
        <is>
          <t>Special supplement no. 3 to the Journal of atmospheric and terrestrial physics</t>
        </is>
      </c>
      <c r="R61" t="inlineStr">
        <is>
          <t xml:space="preserve">QB </t>
        </is>
      </c>
      <c r="S61" t="n">
        <v>0</v>
      </c>
      <c r="T61" t="n">
        <v>5</v>
      </c>
      <c r="V61" t="inlineStr">
        <is>
          <t>2007-03-30</t>
        </is>
      </c>
      <c r="W61" t="inlineStr">
        <is>
          <t>1992-11-16</t>
        </is>
      </c>
      <c r="X61" t="inlineStr">
        <is>
          <t>1992-11-16</t>
        </is>
      </c>
      <c r="Y61" t="n">
        <v>206</v>
      </c>
      <c r="Z61" t="n">
        <v>180</v>
      </c>
      <c r="AA61" t="n">
        <v>192</v>
      </c>
      <c r="AB61" t="n">
        <v>1</v>
      </c>
      <c r="AC61" t="n">
        <v>1</v>
      </c>
      <c r="AD61" t="n">
        <v>9</v>
      </c>
      <c r="AE61" t="n">
        <v>9</v>
      </c>
      <c r="AF61" t="n">
        <v>3</v>
      </c>
      <c r="AG61" t="n">
        <v>3</v>
      </c>
      <c r="AH61" t="n">
        <v>2</v>
      </c>
      <c r="AI61" t="n">
        <v>2</v>
      </c>
      <c r="AJ61" t="n">
        <v>6</v>
      </c>
      <c r="AK61" t="n">
        <v>6</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HYPERLINK("https://creighton-primo.hosted.exlibrisgroup.com/primo-explore/search?tab=default_tab&amp;search_scope=EVERYTHING&amp;vid=01CRU&amp;lang=en_US&amp;offset=0&amp;query=any,contains,991001947949702656","Catalog Record")</f>
        <v/>
      </c>
      <c r="AT61">
        <f>HYPERLINK("http://www.worldcat.org/oclc/251036","WorldCat Record")</f>
        <v/>
      </c>
      <c r="AU61" t="inlineStr">
        <is>
          <t>375826739:eng</t>
        </is>
      </c>
      <c r="AV61" t="inlineStr">
        <is>
          <t>251036</t>
        </is>
      </c>
      <c r="AW61" t="inlineStr">
        <is>
          <t>991001947949702656</t>
        </is>
      </c>
      <c r="AX61" t="inlineStr">
        <is>
          <t>991001947949702656</t>
        </is>
      </c>
      <c r="AY61" t="inlineStr">
        <is>
          <t>2268750530002656</t>
        </is>
      </c>
      <c r="AZ61" t="inlineStr">
        <is>
          <t>BOOK</t>
        </is>
      </c>
      <c r="BC61" t="inlineStr">
        <is>
          <t>32285001430601</t>
        </is>
      </c>
      <c r="BD61" t="inlineStr">
        <is>
          <t>893226256</t>
        </is>
      </c>
    </row>
    <row r="62">
      <c r="A62" t="inlineStr">
        <is>
          <t>No</t>
        </is>
      </c>
      <c r="B62" t="inlineStr">
        <is>
          <t>QB3 .B35</t>
        </is>
      </c>
      <c r="C62" t="inlineStr">
        <is>
          <t>0                      QB 0003000B  35</t>
        </is>
      </c>
      <c r="D62" t="inlineStr">
        <is>
          <t>Vistas in astronomy.</t>
        </is>
      </c>
      <c r="E62" t="inlineStr">
        <is>
          <t>V.11</t>
        </is>
      </c>
      <c r="F62" t="inlineStr">
        <is>
          <t>Yes</t>
        </is>
      </c>
      <c r="G62" t="inlineStr">
        <is>
          <t>1</t>
        </is>
      </c>
      <c r="H62" t="inlineStr">
        <is>
          <t>No</t>
        </is>
      </c>
      <c r="I62" t="inlineStr">
        <is>
          <t>No</t>
        </is>
      </c>
      <c r="J62" t="inlineStr">
        <is>
          <t>0</t>
        </is>
      </c>
      <c r="K62" t="inlineStr">
        <is>
          <t>Beer, Arthur, 1900-1980 editor.</t>
        </is>
      </c>
      <c r="L62" t="inlineStr">
        <is>
          <t>London, New York, Pergamon Press, 1955.</t>
        </is>
      </c>
      <c r="M62" t="inlineStr">
        <is>
          <t>1955</t>
        </is>
      </c>
      <c r="O62" t="inlineStr">
        <is>
          <t>eng</t>
        </is>
      </c>
      <c r="P62" t="inlineStr">
        <is>
          <t>enk</t>
        </is>
      </c>
      <c r="Q62" t="inlineStr">
        <is>
          <t>Special supplement no. 3 to the Journal of atmospheric and terrestrial physics</t>
        </is>
      </c>
      <c r="R62" t="inlineStr">
        <is>
          <t xml:space="preserve">QB </t>
        </is>
      </c>
      <c r="S62" t="n">
        <v>0</v>
      </c>
      <c r="T62" t="n">
        <v>5</v>
      </c>
      <c r="V62" t="inlineStr">
        <is>
          <t>2007-03-30</t>
        </is>
      </c>
      <c r="W62" t="inlineStr">
        <is>
          <t>1992-11-16</t>
        </is>
      </c>
      <c r="X62" t="inlineStr">
        <is>
          <t>1992-11-16</t>
        </is>
      </c>
      <c r="Y62" t="n">
        <v>206</v>
      </c>
      <c r="Z62" t="n">
        <v>180</v>
      </c>
      <c r="AA62" t="n">
        <v>192</v>
      </c>
      <c r="AB62" t="n">
        <v>1</v>
      </c>
      <c r="AC62" t="n">
        <v>1</v>
      </c>
      <c r="AD62" t="n">
        <v>9</v>
      </c>
      <c r="AE62" t="n">
        <v>9</v>
      </c>
      <c r="AF62" t="n">
        <v>3</v>
      </c>
      <c r="AG62" t="n">
        <v>3</v>
      </c>
      <c r="AH62" t="n">
        <v>2</v>
      </c>
      <c r="AI62" t="n">
        <v>2</v>
      </c>
      <c r="AJ62" t="n">
        <v>6</v>
      </c>
      <c r="AK62" t="n">
        <v>6</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HYPERLINK("https://creighton-primo.hosted.exlibrisgroup.com/primo-explore/search?tab=default_tab&amp;search_scope=EVERYTHING&amp;vid=01CRU&amp;lang=en_US&amp;offset=0&amp;query=any,contains,991001947949702656","Catalog Record")</f>
        <v/>
      </c>
      <c r="AT62">
        <f>HYPERLINK("http://www.worldcat.org/oclc/251036","WorldCat Record")</f>
        <v/>
      </c>
      <c r="AU62" t="inlineStr">
        <is>
          <t>375826739:eng</t>
        </is>
      </c>
      <c r="AV62" t="inlineStr">
        <is>
          <t>251036</t>
        </is>
      </c>
      <c r="AW62" t="inlineStr">
        <is>
          <t>991001947949702656</t>
        </is>
      </c>
      <c r="AX62" t="inlineStr">
        <is>
          <t>991001947949702656</t>
        </is>
      </c>
      <c r="AY62" t="inlineStr">
        <is>
          <t>2268750530002656</t>
        </is>
      </c>
      <c r="AZ62" t="inlineStr">
        <is>
          <t>BOOK</t>
        </is>
      </c>
      <c r="BC62" t="inlineStr">
        <is>
          <t>32285001430643</t>
        </is>
      </c>
      <c r="BD62" t="inlineStr">
        <is>
          <t>893256672</t>
        </is>
      </c>
    </row>
    <row r="63">
      <c r="A63" t="inlineStr">
        <is>
          <t>No</t>
        </is>
      </c>
      <c r="B63" t="inlineStr">
        <is>
          <t>QB3 .B35</t>
        </is>
      </c>
      <c r="C63" t="inlineStr">
        <is>
          <t>0                      QB 0003000B  35</t>
        </is>
      </c>
      <c r="D63" t="inlineStr">
        <is>
          <t>Vistas in astronomy.</t>
        </is>
      </c>
      <c r="E63" t="inlineStr">
        <is>
          <t>V.24</t>
        </is>
      </c>
      <c r="F63" t="inlineStr">
        <is>
          <t>Yes</t>
        </is>
      </c>
      <c r="G63" t="inlineStr">
        <is>
          <t>1</t>
        </is>
      </c>
      <c r="H63" t="inlineStr">
        <is>
          <t>No</t>
        </is>
      </c>
      <c r="I63" t="inlineStr">
        <is>
          <t>No</t>
        </is>
      </c>
      <c r="J63" t="inlineStr">
        <is>
          <t>0</t>
        </is>
      </c>
      <c r="K63" t="inlineStr">
        <is>
          <t>Beer, Arthur, 1900-1980 editor.</t>
        </is>
      </c>
      <c r="L63" t="inlineStr">
        <is>
          <t>London, New York, Pergamon Press, 1955.</t>
        </is>
      </c>
      <c r="M63" t="inlineStr">
        <is>
          <t>1955</t>
        </is>
      </c>
      <c r="O63" t="inlineStr">
        <is>
          <t>eng</t>
        </is>
      </c>
      <c r="P63" t="inlineStr">
        <is>
          <t>enk</t>
        </is>
      </c>
      <c r="Q63" t="inlineStr">
        <is>
          <t>Special supplement no. 3 to the Journal of atmospheric and terrestrial physics</t>
        </is>
      </c>
      <c r="R63" t="inlineStr">
        <is>
          <t xml:space="preserve">QB </t>
        </is>
      </c>
      <c r="S63" t="n">
        <v>0</v>
      </c>
      <c r="T63" t="n">
        <v>5</v>
      </c>
      <c r="V63" t="inlineStr">
        <is>
          <t>2007-03-30</t>
        </is>
      </c>
      <c r="W63" t="inlineStr">
        <is>
          <t>1992-11-16</t>
        </is>
      </c>
      <c r="X63" t="inlineStr">
        <is>
          <t>1992-11-16</t>
        </is>
      </c>
      <c r="Y63" t="n">
        <v>206</v>
      </c>
      <c r="Z63" t="n">
        <v>180</v>
      </c>
      <c r="AA63" t="n">
        <v>192</v>
      </c>
      <c r="AB63" t="n">
        <v>1</v>
      </c>
      <c r="AC63" t="n">
        <v>1</v>
      </c>
      <c r="AD63" t="n">
        <v>9</v>
      </c>
      <c r="AE63" t="n">
        <v>9</v>
      </c>
      <c r="AF63" t="n">
        <v>3</v>
      </c>
      <c r="AG63" t="n">
        <v>3</v>
      </c>
      <c r="AH63" t="n">
        <v>2</v>
      </c>
      <c r="AI63" t="n">
        <v>2</v>
      </c>
      <c r="AJ63" t="n">
        <v>6</v>
      </c>
      <c r="AK63" t="n">
        <v>6</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HYPERLINK("https://creighton-primo.hosted.exlibrisgroup.com/primo-explore/search?tab=default_tab&amp;search_scope=EVERYTHING&amp;vid=01CRU&amp;lang=en_US&amp;offset=0&amp;query=any,contains,991001947949702656","Catalog Record")</f>
        <v/>
      </c>
      <c r="AT63">
        <f>HYPERLINK("http://www.worldcat.org/oclc/251036","WorldCat Record")</f>
        <v/>
      </c>
      <c r="AU63" t="inlineStr">
        <is>
          <t>375826739:eng</t>
        </is>
      </c>
      <c r="AV63" t="inlineStr">
        <is>
          <t>251036</t>
        </is>
      </c>
      <c r="AW63" t="inlineStr">
        <is>
          <t>991001947949702656</t>
        </is>
      </c>
      <c r="AX63" t="inlineStr">
        <is>
          <t>991001947949702656</t>
        </is>
      </c>
      <c r="AY63" t="inlineStr">
        <is>
          <t>2268750530002656</t>
        </is>
      </c>
      <c r="AZ63" t="inlineStr">
        <is>
          <t>BOOK</t>
        </is>
      </c>
      <c r="BC63" t="inlineStr">
        <is>
          <t>32285001430775</t>
        </is>
      </c>
      <c r="BD63" t="inlineStr">
        <is>
          <t>893256670</t>
        </is>
      </c>
    </row>
    <row r="64">
      <c r="A64" t="inlineStr">
        <is>
          <t>No</t>
        </is>
      </c>
      <c r="B64" t="inlineStr">
        <is>
          <t>QB3 .B35</t>
        </is>
      </c>
      <c r="C64" t="inlineStr">
        <is>
          <t>0                      QB 0003000B  35</t>
        </is>
      </c>
      <c r="D64" t="inlineStr">
        <is>
          <t>Vistas in astronomy.</t>
        </is>
      </c>
      <c r="E64" t="inlineStr">
        <is>
          <t>V.6</t>
        </is>
      </c>
      <c r="F64" t="inlineStr">
        <is>
          <t>Yes</t>
        </is>
      </c>
      <c r="G64" t="inlineStr">
        <is>
          <t>1</t>
        </is>
      </c>
      <c r="H64" t="inlineStr">
        <is>
          <t>No</t>
        </is>
      </c>
      <c r="I64" t="inlineStr">
        <is>
          <t>No</t>
        </is>
      </c>
      <c r="J64" t="inlineStr">
        <is>
          <t>0</t>
        </is>
      </c>
      <c r="K64" t="inlineStr">
        <is>
          <t>Beer, Arthur, 1900-1980 editor.</t>
        </is>
      </c>
      <c r="L64" t="inlineStr">
        <is>
          <t>London, New York, Pergamon Press, 1955.</t>
        </is>
      </c>
      <c r="M64" t="inlineStr">
        <is>
          <t>1955</t>
        </is>
      </c>
      <c r="O64" t="inlineStr">
        <is>
          <t>eng</t>
        </is>
      </c>
      <c r="P64" t="inlineStr">
        <is>
          <t>enk</t>
        </is>
      </c>
      <c r="Q64" t="inlineStr">
        <is>
          <t>Special supplement no. 3 to the Journal of atmospheric and terrestrial physics</t>
        </is>
      </c>
      <c r="R64" t="inlineStr">
        <is>
          <t xml:space="preserve">QB </t>
        </is>
      </c>
      <c r="S64" t="n">
        <v>0</v>
      </c>
      <c r="T64" t="n">
        <v>5</v>
      </c>
      <c r="V64" t="inlineStr">
        <is>
          <t>2007-03-30</t>
        </is>
      </c>
      <c r="W64" t="inlineStr">
        <is>
          <t>1992-11-16</t>
        </is>
      </c>
      <c r="X64" t="inlineStr">
        <is>
          <t>1992-11-16</t>
        </is>
      </c>
      <c r="Y64" t="n">
        <v>206</v>
      </c>
      <c r="Z64" t="n">
        <v>180</v>
      </c>
      <c r="AA64" t="n">
        <v>192</v>
      </c>
      <c r="AB64" t="n">
        <v>1</v>
      </c>
      <c r="AC64" t="n">
        <v>1</v>
      </c>
      <c r="AD64" t="n">
        <v>9</v>
      </c>
      <c r="AE64" t="n">
        <v>9</v>
      </c>
      <c r="AF64" t="n">
        <v>3</v>
      </c>
      <c r="AG64" t="n">
        <v>3</v>
      </c>
      <c r="AH64" t="n">
        <v>2</v>
      </c>
      <c r="AI64" t="n">
        <v>2</v>
      </c>
      <c r="AJ64" t="n">
        <v>6</v>
      </c>
      <c r="AK64" t="n">
        <v>6</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HYPERLINK("https://creighton-primo.hosted.exlibrisgroup.com/primo-explore/search?tab=default_tab&amp;search_scope=EVERYTHING&amp;vid=01CRU&amp;lang=en_US&amp;offset=0&amp;query=any,contains,991001947949702656","Catalog Record")</f>
        <v/>
      </c>
      <c r="AT64">
        <f>HYPERLINK("http://www.worldcat.org/oclc/251036","WorldCat Record")</f>
        <v/>
      </c>
      <c r="AU64" t="inlineStr">
        <is>
          <t>375826739:eng</t>
        </is>
      </c>
      <c r="AV64" t="inlineStr">
        <is>
          <t>251036</t>
        </is>
      </c>
      <c r="AW64" t="inlineStr">
        <is>
          <t>991001947949702656</t>
        </is>
      </c>
      <c r="AX64" t="inlineStr">
        <is>
          <t>991001947949702656</t>
        </is>
      </c>
      <c r="AY64" t="inlineStr">
        <is>
          <t>2268750530002656</t>
        </is>
      </c>
      <c r="AZ64" t="inlineStr">
        <is>
          <t>BOOK</t>
        </is>
      </c>
      <c r="BC64" t="inlineStr">
        <is>
          <t>32285001430593</t>
        </is>
      </c>
      <c r="BD64" t="inlineStr">
        <is>
          <t>893226257</t>
        </is>
      </c>
    </row>
    <row r="65">
      <c r="A65" t="inlineStr">
        <is>
          <t>No</t>
        </is>
      </c>
      <c r="B65" t="inlineStr">
        <is>
          <t>QB3 .B35</t>
        </is>
      </c>
      <c r="C65" t="inlineStr">
        <is>
          <t>0                      QB 0003000B  35</t>
        </is>
      </c>
      <c r="D65" t="inlineStr">
        <is>
          <t>Vistas in astronomy.</t>
        </is>
      </c>
      <c r="E65" t="inlineStr">
        <is>
          <t>V.17</t>
        </is>
      </c>
      <c r="F65" t="inlineStr">
        <is>
          <t>Yes</t>
        </is>
      </c>
      <c r="G65" t="inlineStr">
        <is>
          <t>1</t>
        </is>
      </c>
      <c r="H65" t="inlineStr">
        <is>
          <t>No</t>
        </is>
      </c>
      <c r="I65" t="inlineStr">
        <is>
          <t>No</t>
        </is>
      </c>
      <c r="J65" t="inlineStr">
        <is>
          <t>0</t>
        </is>
      </c>
      <c r="K65" t="inlineStr">
        <is>
          <t>Beer, Arthur, 1900-1980 editor.</t>
        </is>
      </c>
      <c r="L65" t="inlineStr">
        <is>
          <t>London, New York, Pergamon Press, 1955.</t>
        </is>
      </c>
      <c r="M65" t="inlineStr">
        <is>
          <t>1955</t>
        </is>
      </c>
      <c r="O65" t="inlineStr">
        <is>
          <t>eng</t>
        </is>
      </c>
      <c r="P65" t="inlineStr">
        <is>
          <t>enk</t>
        </is>
      </c>
      <c r="Q65" t="inlineStr">
        <is>
          <t>Special supplement no. 3 to the Journal of atmospheric and terrestrial physics</t>
        </is>
      </c>
      <c r="R65" t="inlineStr">
        <is>
          <t xml:space="preserve">QB </t>
        </is>
      </c>
      <c r="S65" t="n">
        <v>1</v>
      </c>
      <c r="T65" t="n">
        <v>5</v>
      </c>
      <c r="V65" t="inlineStr">
        <is>
          <t>2007-03-30</t>
        </is>
      </c>
      <c r="W65" t="inlineStr">
        <is>
          <t>1992-11-16</t>
        </is>
      </c>
      <c r="X65" t="inlineStr">
        <is>
          <t>1992-11-16</t>
        </is>
      </c>
      <c r="Y65" t="n">
        <v>206</v>
      </c>
      <c r="Z65" t="n">
        <v>180</v>
      </c>
      <c r="AA65" t="n">
        <v>192</v>
      </c>
      <c r="AB65" t="n">
        <v>1</v>
      </c>
      <c r="AC65" t="n">
        <v>1</v>
      </c>
      <c r="AD65" t="n">
        <v>9</v>
      </c>
      <c r="AE65" t="n">
        <v>9</v>
      </c>
      <c r="AF65" t="n">
        <v>3</v>
      </c>
      <c r="AG65" t="n">
        <v>3</v>
      </c>
      <c r="AH65" t="n">
        <v>2</v>
      </c>
      <c r="AI65" t="n">
        <v>2</v>
      </c>
      <c r="AJ65" t="n">
        <v>6</v>
      </c>
      <c r="AK65" t="n">
        <v>6</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HYPERLINK("https://creighton-primo.hosted.exlibrisgroup.com/primo-explore/search?tab=default_tab&amp;search_scope=EVERYTHING&amp;vid=01CRU&amp;lang=en_US&amp;offset=0&amp;query=any,contains,991001947949702656","Catalog Record")</f>
        <v/>
      </c>
      <c r="AT65">
        <f>HYPERLINK("http://www.worldcat.org/oclc/251036","WorldCat Record")</f>
        <v/>
      </c>
      <c r="AU65" t="inlineStr">
        <is>
          <t>375826739:eng</t>
        </is>
      </c>
      <c r="AV65" t="inlineStr">
        <is>
          <t>251036</t>
        </is>
      </c>
      <c r="AW65" t="inlineStr">
        <is>
          <t>991001947949702656</t>
        </is>
      </c>
      <c r="AX65" t="inlineStr">
        <is>
          <t>991001947949702656</t>
        </is>
      </c>
      <c r="AY65" t="inlineStr">
        <is>
          <t>2268750530002656</t>
        </is>
      </c>
      <c r="AZ65" t="inlineStr">
        <is>
          <t>BOOK</t>
        </is>
      </c>
      <c r="BC65" t="inlineStr">
        <is>
          <t>32285001430700</t>
        </is>
      </c>
      <c r="BD65" t="inlineStr">
        <is>
          <t>893256667</t>
        </is>
      </c>
    </row>
    <row r="66">
      <c r="A66" t="inlineStr">
        <is>
          <t>No</t>
        </is>
      </c>
      <c r="B66" t="inlineStr">
        <is>
          <t>QB3 .B35</t>
        </is>
      </c>
      <c r="C66" t="inlineStr">
        <is>
          <t>0                      QB 0003000B  35</t>
        </is>
      </c>
      <c r="D66" t="inlineStr">
        <is>
          <t>Vistas in astronomy.</t>
        </is>
      </c>
      <c r="E66" t="inlineStr">
        <is>
          <t>V.5</t>
        </is>
      </c>
      <c r="F66" t="inlineStr">
        <is>
          <t>Yes</t>
        </is>
      </c>
      <c r="G66" t="inlineStr">
        <is>
          <t>1</t>
        </is>
      </c>
      <c r="H66" t="inlineStr">
        <is>
          <t>No</t>
        </is>
      </c>
      <c r="I66" t="inlineStr">
        <is>
          <t>No</t>
        </is>
      </c>
      <c r="J66" t="inlineStr">
        <is>
          <t>0</t>
        </is>
      </c>
      <c r="K66" t="inlineStr">
        <is>
          <t>Beer, Arthur, 1900-1980 editor.</t>
        </is>
      </c>
      <c r="L66" t="inlineStr">
        <is>
          <t>London, New York, Pergamon Press, 1955.</t>
        </is>
      </c>
      <c r="M66" t="inlineStr">
        <is>
          <t>1955</t>
        </is>
      </c>
      <c r="O66" t="inlineStr">
        <is>
          <t>eng</t>
        </is>
      </c>
      <c r="P66" t="inlineStr">
        <is>
          <t>enk</t>
        </is>
      </c>
      <c r="Q66" t="inlineStr">
        <is>
          <t>Special supplement no. 3 to the Journal of atmospheric and terrestrial physics</t>
        </is>
      </c>
      <c r="R66" t="inlineStr">
        <is>
          <t xml:space="preserve">QB </t>
        </is>
      </c>
      <c r="S66" t="n">
        <v>0</v>
      </c>
      <c r="T66" t="n">
        <v>5</v>
      </c>
      <c r="V66" t="inlineStr">
        <is>
          <t>2007-03-30</t>
        </is>
      </c>
      <c r="W66" t="inlineStr">
        <is>
          <t>1992-11-16</t>
        </is>
      </c>
      <c r="X66" t="inlineStr">
        <is>
          <t>1992-11-16</t>
        </is>
      </c>
      <c r="Y66" t="n">
        <v>206</v>
      </c>
      <c r="Z66" t="n">
        <v>180</v>
      </c>
      <c r="AA66" t="n">
        <v>192</v>
      </c>
      <c r="AB66" t="n">
        <v>1</v>
      </c>
      <c r="AC66" t="n">
        <v>1</v>
      </c>
      <c r="AD66" t="n">
        <v>9</v>
      </c>
      <c r="AE66" t="n">
        <v>9</v>
      </c>
      <c r="AF66" t="n">
        <v>3</v>
      </c>
      <c r="AG66" t="n">
        <v>3</v>
      </c>
      <c r="AH66" t="n">
        <v>2</v>
      </c>
      <c r="AI66" t="n">
        <v>2</v>
      </c>
      <c r="AJ66" t="n">
        <v>6</v>
      </c>
      <c r="AK66" t="n">
        <v>6</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HYPERLINK("https://creighton-primo.hosted.exlibrisgroup.com/primo-explore/search?tab=default_tab&amp;search_scope=EVERYTHING&amp;vid=01CRU&amp;lang=en_US&amp;offset=0&amp;query=any,contains,991001947949702656","Catalog Record")</f>
        <v/>
      </c>
      <c r="AT66">
        <f>HYPERLINK("http://www.worldcat.org/oclc/251036","WorldCat Record")</f>
        <v/>
      </c>
      <c r="AU66" t="inlineStr">
        <is>
          <t>375826739:eng</t>
        </is>
      </c>
      <c r="AV66" t="inlineStr">
        <is>
          <t>251036</t>
        </is>
      </c>
      <c r="AW66" t="inlineStr">
        <is>
          <t>991001947949702656</t>
        </is>
      </c>
      <c r="AX66" t="inlineStr">
        <is>
          <t>991001947949702656</t>
        </is>
      </c>
      <c r="AY66" t="inlineStr">
        <is>
          <t>2268750530002656</t>
        </is>
      </c>
      <c r="AZ66" t="inlineStr">
        <is>
          <t>BOOK</t>
        </is>
      </c>
      <c r="BC66" t="inlineStr">
        <is>
          <t>32285001430585</t>
        </is>
      </c>
      <c r="BD66" t="inlineStr">
        <is>
          <t>893256674</t>
        </is>
      </c>
    </row>
    <row r="67">
      <c r="A67" t="inlineStr">
        <is>
          <t>No</t>
        </is>
      </c>
      <c r="B67" t="inlineStr">
        <is>
          <t>QB3 .B35</t>
        </is>
      </c>
      <c r="C67" t="inlineStr">
        <is>
          <t>0                      QB 0003000B  35</t>
        </is>
      </c>
      <c r="D67" t="inlineStr">
        <is>
          <t>Vistas in astronomy.</t>
        </is>
      </c>
      <c r="E67" t="inlineStr">
        <is>
          <t>V.3</t>
        </is>
      </c>
      <c r="F67" t="inlineStr">
        <is>
          <t>Yes</t>
        </is>
      </c>
      <c r="G67" t="inlineStr">
        <is>
          <t>1</t>
        </is>
      </c>
      <c r="H67" t="inlineStr">
        <is>
          <t>No</t>
        </is>
      </c>
      <c r="I67" t="inlineStr">
        <is>
          <t>No</t>
        </is>
      </c>
      <c r="J67" t="inlineStr">
        <is>
          <t>0</t>
        </is>
      </c>
      <c r="K67" t="inlineStr">
        <is>
          <t>Beer, Arthur, 1900-1980 editor.</t>
        </is>
      </c>
      <c r="L67" t="inlineStr">
        <is>
          <t>London, New York, Pergamon Press, 1955.</t>
        </is>
      </c>
      <c r="M67" t="inlineStr">
        <is>
          <t>1955</t>
        </is>
      </c>
      <c r="O67" t="inlineStr">
        <is>
          <t>eng</t>
        </is>
      </c>
      <c r="P67" t="inlineStr">
        <is>
          <t>enk</t>
        </is>
      </c>
      <c r="Q67" t="inlineStr">
        <is>
          <t>Special supplement no. 3 to the Journal of atmospheric and terrestrial physics</t>
        </is>
      </c>
      <c r="R67" t="inlineStr">
        <is>
          <t xml:space="preserve">QB </t>
        </is>
      </c>
      <c r="S67" t="n">
        <v>0</v>
      </c>
      <c r="T67" t="n">
        <v>5</v>
      </c>
      <c r="V67" t="inlineStr">
        <is>
          <t>2007-03-30</t>
        </is>
      </c>
      <c r="W67" t="inlineStr">
        <is>
          <t>1992-11-16</t>
        </is>
      </c>
      <c r="X67" t="inlineStr">
        <is>
          <t>1992-11-16</t>
        </is>
      </c>
      <c r="Y67" t="n">
        <v>206</v>
      </c>
      <c r="Z67" t="n">
        <v>180</v>
      </c>
      <c r="AA67" t="n">
        <v>192</v>
      </c>
      <c r="AB67" t="n">
        <v>1</v>
      </c>
      <c r="AC67" t="n">
        <v>1</v>
      </c>
      <c r="AD67" t="n">
        <v>9</v>
      </c>
      <c r="AE67" t="n">
        <v>9</v>
      </c>
      <c r="AF67" t="n">
        <v>3</v>
      </c>
      <c r="AG67" t="n">
        <v>3</v>
      </c>
      <c r="AH67" t="n">
        <v>2</v>
      </c>
      <c r="AI67" t="n">
        <v>2</v>
      </c>
      <c r="AJ67" t="n">
        <v>6</v>
      </c>
      <c r="AK67" t="n">
        <v>6</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HYPERLINK("https://creighton-primo.hosted.exlibrisgroup.com/primo-explore/search?tab=default_tab&amp;search_scope=EVERYTHING&amp;vid=01CRU&amp;lang=en_US&amp;offset=0&amp;query=any,contains,991001947949702656","Catalog Record")</f>
        <v/>
      </c>
      <c r="AT67">
        <f>HYPERLINK("http://www.worldcat.org/oclc/251036","WorldCat Record")</f>
        <v/>
      </c>
      <c r="AU67" t="inlineStr">
        <is>
          <t>375826739:eng</t>
        </is>
      </c>
      <c r="AV67" t="inlineStr">
        <is>
          <t>251036</t>
        </is>
      </c>
      <c r="AW67" t="inlineStr">
        <is>
          <t>991001947949702656</t>
        </is>
      </c>
      <c r="AX67" t="inlineStr">
        <is>
          <t>991001947949702656</t>
        </is>
      </c>
      <c r="AY67" t="inlineStr">
        <is>
          <t>2268750530002656</t>
        </is>
      </c>
      <c r="AZ67" t="inlineStr">
        <is>
          <t>BOOK</t>
        </is>
      </c>
      <c r="BC67" t="inlineStr">
        <is>
          <t>32285001430551</t>
        </is>
      </c>
      <c r="BD67" t="inlineStr">
        <is>
          <t>893232404</t>
        </is>
      </c>
    </row>
    <row r="68">
      <c r="A68" t="inlineStr">
        <is>
          <t>No</t>
        </is>
      </c>
      <c r="B68" t="inlineStr">
        <is>
          <t>QB3 .B35</t>
        </is>
      </c>
      <c r="C68" t="inlineStr">
        <is>
          <t>0                      QB 0003000B  35</t>
        </is>
      </c>
      <c r="D68" t="inlineStr">
        <is>
          <t>Vistas in astronomy.</t>
        </is>
      </c>
      <c r="E68" t="inlineStr">
        <is>
          <t>V.18</t>
        </is>
      </c>
      <c r="F68" t="inlineStr">
        <is>
          <t>Yes</t>
        </is>
      </c>
      <c r="G68" t="inlineStr">
        <is>
          <t>1</t>
        </is>
      </c>
      <c r="H68" t="inlineStr">
        <is>
          <t>No</t>
        </is>
      </c>
      <c r="I68" t="inlineStr">
        <is>
          <t>No</t>
        </is>
      </c>
      <c r="J68" t="inlineStr">
        <is>
          <t>0</t>
        </is>
      </c>
      <c r="K68" t="inlineStr">
        <is>
          <t>Beer, Arthur, 1900-1980 editor.</t>
        </is>
      </c>
      <c r="L68" t="inlineStr">
        <is>
          <t>London, New York, Pergamon Press, 1955.</t>
        </is>
      </c>
      <c r="M68" t="inlineStr">
        <is>
          <t>1955</t>
        </is>
      </c>
      <c r="O68" t="inlineStr">
        <is>
          <t>eng</t>
        </is>
      </c>
      <c r="P68" t="inlineStr">
        <is>
          <t>enk</t>
        </is>
      </c>
      <c r="Q68" t="inlineStr">
        <is>
          <t>Special supplement no. 3 to the Journal of atmospheric and terrestrial physics</t>
        </is>
      </c>
      <c r="R68" t="inlineStr">
        <is>
          <t xml:space="preserve">QB </t>
        </is>
      </c>
      <c r="S68" t="n">
        <v>4</v>
      </c>
      <c r="T68" t="n">
        <v>5</v>
      </c>
      <c r="U68" t="inlineStr">
        <is>
          <t>2007-03-30</t>
        </is>
      </c>
      <c r="V68" t="inlineStr">
        <is>
          <t>2007-03-30</t>
        </is>
      </c>
      <c r="W68" t="inlineStr">
        <is>
          <t>1992-11-16</t>
        </is>
      </c>
      <c r="X68" t="inlineStr">
        <is>
          <t>1992-11-16</t>
        </is>
      </c>
      <c r="Y68" t="n">
        <v>206</v>
      </c>
      <c r="Z68" t="n">
        <v>180</v>
      </c>
      <c r="AA68" t="n">
        <v>192</v>
      </c>
      <c r="AB68" t="n">
        <v>1</v>
      </c>
      <c r="AC68" t="n">
        <v>1</v>
      </c>
      <c r="AD68" t="n">
        <v>9</v>
      </c>
      <c r="AE68" t="n">
        <v>9</v>
      </c>
      <c r="AF68" t="n">
        <v>3</v>
      </c>
      <c r="AG68" t="n">
        <v>3</v>
      </c>
      <c r="AH68" t="n">
        <v>2</v>
      </c>
      <c r="AI68" t="n">
        <v>2</v>
      </c>
      <c r="AJ68" t="n">
        <v>6</v>
      </c>
      <c r="AK68" t="n">
        <v>6</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HYPERLINK("https://creighton-primo.hosted.exlibrisgroup.com/primo-explore/search?tab=default_tab&amp;search_scope=EVERYTHING&amp;vid=01CRU&amp;lang=en_US&amp;offset=0&amp;query=any,contains,991001947949702656","Catalog Record")</f>
        <v/>
      </c>
      <c r="AT68">
        <f>HYPERLINK("http://www.worldcat.org/oclc/251036","WorldCat Record")</f>
        <v/>
      </c>
      <c r="AU68" t="inlineStr">
        <is>
          <t>375826739:eng</t>
        </is>
      </c>
      <c r="AV68" t="inlineStr">
        <is>
          <t>251036</t>
        </is>
      </c>
      <c r="AW68" t="inlineStr">
        <is>
          <t>991001947949702656</t>
        </is>
      </c>
      <c r="AX68" t="inlineStr">
        <is>
          <t>991001947949702656</t>
        </is>
      </c>
      <c r="AY68" t="inlineStr">
        <is>
          <t>2268750530002656</t>
        </is>
      </c>
      <c r="AZ68" t="inlineStr">
        <is>
          <t>BOOK</t>
        </is>
      </c>
      <c r="BC68" t="inlineStr">
        <is>
          <t>32285001430718</t>
        </is>
      </c>
      <c r="BD68" t="inlineStr">
        <is>
          <t>893232406</t>
        </is>
      </c>
    </row>
    <row r="69">
      <c r="A69" t="inlineStr">
        <is>
          <t>No</t>
        </is>
      </c>
      <c r="B69" t="inlineStr">
        <is>
          <t>QB3 .B35</t>
        </is>
      </c>
      <c r="C69" t="inlineStr">
        <is>
          <t>0                      QB 0003000B  35</t>
        </is>
      </c>
      <c r="D69" t="inlineStr">
        <is>
          <t>Vistas in astronomy.</t>
        </is>
      </c>
      <c r="E69" t="inlineStr">
        <is>
          <t>V.15</t>
        </is>
      </c>
      <c r="F69" t="inlineStr">
        <is>
          <t>Yes</t>
        </is>
      </c>
      <c r="G69" t="inlineStr">
        <is>
          <t>1</t>
        </is>
      </c>
      <c r="H69" t="inlineStr">
        <is>
          <t>No</t>
        </is>
      </c>
      <c r="I69" t="inlineStr">
        <is>
          <t>No</t>
        </is>
      </c>
      <c r="J69" t="inlineStr">
        <is>
          <t>0</t>
        </is>
      </c>
      <c r="K69" t="inlineStr">
        <is>
          <t>Beer, Arthur, 1900-1980 editor.</t>
        </is>
      </c>
      <c r="L69" t="inlineStr">
        <is>
          <t>London, New York, Pergamon Press, 1955.</t>
        </is>
      </c>
      <c r="M69" t="inlineStr">
        <is>
          <t>1955</t>
        </is>
      </c>
      <c r="O69" t="inlineStr">
        <is>
          <t>eng</t>
        </is>
      </c>
      <c r="P69" t="inlineStr">
        <is>
          <t>enk</t>
        </is>
      </c>
      <c r="Q69" t="inlineStr">
        <is>
          <t>Special supplement no. 3 to the Journal of atmospheric and terrestrial physics</t>
        </is>
      </c>
      <c r="R69" t="inlineStr">
        <is>
          <t xml:space="preserve">QB </t>
        </is>
      </c>
      <c r="S69" t="n">
        <v>0</v>
      </c>
      <c r="T69" t="n">
        <v>5</v>
      </c>
      <c r="V69" t="inlineStr">
        <is>
          <t>2007-03-30</t>
        </is>
      </c>
      <c r="W69" t="inlineStr">
        <is>
          <t>1992-11-16</t>
        </is>
      </c>
      <c r="X69" t="inlineStr">
        <is>
          <t>1992-11-16</t>
        </is>
      </c>
      <c r="Y69" t="n">
        <v>206</v>
      </c>
      <c r="Z69" t="n">
        <v>180</v>
      </c>
      <c r="AA69" t="n">
        <v>192</v>
      </c>
      <c r="AB69" t="n">
        <v>1</v>
      </c>
      <c r="AC69" t="n">
        <v>1</v>
      </c>
      <c r="AD69" t="n">
        <v>9</v>
      </c>
      <c r="AE69" t="n">
        <v>9</v>
      </c>
      <c r="AF69" t="n">
        <v>3</v>
      </c>
      <c r="AG69" t="n">
        <v>3</v>
      </c>
      <c r="AH69" t="n">
        <v>2</v>
      </c>
      <c r="AI69" t="n">
        <v>2</v>
      </c>
      <c r="AJ69" t="n">
        <v>6</v>
      </c>
      <c r="AK69" t="n">
        <v>6</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HYPERLINK("https://creighton-primo.hosted.exlibrisgroup.com/primo-explore/search?tab=default_tab&amp;search_scope=EVERYTHING&amp;vid=01CRU&amp;lang=en_US&amp;offset=0&amp;query=any,contains,991001947949702656","Catalog Record")</f>
        <v/>
      </c>
      <c r="AT69">
        <f>HYPERLINK("http://www.worldcat.org/oclc/251036","WorldCat Record")</f>
        <v/>
      </c>
      <c r="AU69" t="inlineStr">
        <is>
          <t>375826739:eng</t>
        </is>
      </c>
      <c r="AV69" t="inlineStr">
        <is>
          <t>251036</t>
        </is>
      </c>
      <c r="AW69" t="inlineStr">
        <is>
          <t>991001947949702656</t>
        </is>
      </c>
      <c r="AX69" t="inlineStr">
        <is>
          <t>991001947949702656</t>
        </is>
      </c>
      <c r="AY69" t="inlineStr">
        <is>
          <t>2268750530002656</t>
        </is>
      </c>
      <c r="AZ69" t="inlineStr">
        <is>
          <t>BOOK</t>
        </is>
      </c>
      <c r="BC69" t="inlineStr">
        <is>
          <t>32285001430684</t>
        </is>
      </c>
      <c r="BD69" t="inlineStr">
        <is>
          <t>893226258</t>
        </is>
      </c>
    </row>
    <row r="70">
      <c r="A70" t="inlineStr">
        <is>
          <t>No</t>
        </is>
      </c>
      <c r="B70" t="inlineStr">
        <is>
          <t>QB3 .B35</t>
        </is>
      </c>
      <c r="C70" t="inlineStr">
        <is>
          <t>0                      QB 0003000B  35</t>
        </is>
      </c>
      <c r="D70" t="inlineStr">
        <is>
          <t>Vistas in astronomy.</t>
        </is>
      </c>
      <c r="E70" t="inlineStr">
        <is>
          <t>V.23</t>
        </is>
      </c>
      <c r="F70" t="inlineStr">
        <is>
          <t>Yes</t>
        </is>
      </c>
      <c r="G70" t="inlineStr">
        <is>
          <t>1</t>
        </is>
      </c>
      <c r="H70" t="inlineStr">
        <is>
          <t>No</t>
        </is>
      </c>
      <c r="I70" t="inlineStr">
        <is>
          <t>No</t>
        </is>
      </c>
      <c r="J70" t="inlineStr">
        <is>
          <t>0</t>
        </is>
      </c>
      <c r="K70" t="inlineStr">
        <is>
          <t>Beer, Arthur, 1900-1980 editor.</t>
        </is>
      </c>
      <c r="L70" t="inlineStr">
        <is>
          <t>London, New York, Pergamon Press, 1955.</t>
        </is>
      </c>
      <c r="M70" t="inlineStr">
        <is>
          <t>1955</t>
        </is>
      </c>
      <c r="O70" t="inlineStr">
        <is>
          <t>eng</t>
        </is>
      </c>
      <c r="P70" t="inlineStr">
        <is>
          <t>enk</t>
        </is>
      </c>
      <c r="Q70" t="inlineStr">
        <is>
          <t>Special supplement no. 3 to the Journal of atmospheric and terrestrial physics</t>
        </is>
      </c>
      <c r="R70" t="inlineStr">
        <is>
          <t xml:space="preserve">QB </t>
        </is>
      </c>
      <c r="S70" t="n">
        <v>0</v>
      </c>
      <c r="T70" t="n">
        <v>5</v>
      </c>
      <c r="V70" t="inlineStr">
        <is>
          <t>2007-03-30</t>
        </is>
      </c>
      <c r="W70" t="inlineStr">
        <is>
          <t>1992-11-16</t>
        </is>
      </c>
      <c r="X70" t="inlineStr">
        <is>
          <t>1992-11-16</t>
        </is>
      </c>
      <c r="Y70" t="n">
        <v>206</v>
      </c>
      <c r="Z70" t="n">
        <v>180</v>
      </c>
      <c r="AA70" t="n">
        <v>192</v>
      </c>
      <c r="AB70" t="n">
        <v>1</v>
      </c>
      <c r="AC70" t="n">
        <v>1</v>
      </c>
      <c r="AD70" t="n">
        <v>9</v>
      </c>
      <c r="AE70" t="n">
        <v>9</v>
      </c>
      <c r="AF70" t="n">
        <v>3</v>
      </c>
      <c r="AG70" t="n">
        <v>3</v>
      </c>
      <c r="AH70" t="n">
        <v>2</v>
      </c>
      <c r="AI70" t="n">
        <v>2</v>
      </c>
      <c r="AJ70" t="n">
        <v>6</v>
      </c>
      <c r="AK70" t="n">
        <v>6</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HYPERLINK("https://creighton-primo.hosted.exlibrisgroup.com/primo-explore/search?tab=default_tab&amp;search_scope=EVERYTHING&amp;vid=01CRU&amp;lang=en_US&amp;offset=0&amp;query=any,contains,991001947949702656","Catalog Record")</f>
        <v/>
      </c>
      <c r="AT70">
        <f>HYPERLINK("http://www.worldcat.org/oclc/251036","WorldCat Record")</f>
        <v/>
      </c>
      <c r="AU70" t="inlineStr">
        <is>
          <t>375826739:eng</t>
        </is>
      </c>
      <c r="AV70" t="inlineStr">
        <is>
          <t>251036</t>
        </is>
      </c>
      <c r="AW70" t="inlineStr">
        <is>
          <t>991001947949702656</t>
        </is>
      </c>
      <c r="AX70" t="inlineStr">
        <is>
          <t>991001947949702656</t>
        </is>
      </c>
      <c r="AY70" t="inlineStr">
        <is>
          <t>2268750530002656</t>
        </is>
      </c>
      <c r="AZ70" t="inlineStr">
        <is>
          <t>BOOK</t>
        </is>
      </c>
      <c r="BC70" t="inlineStr">
        <is>
          <t>32285001430767</t>
        </is>
      </c>
      <c r="BD70" t="inlineStr">
        <is>
          <t>893256665</t>
        </is>
      </c>
    </row>
    <row r="71">
      <c r="A71" t="inlineStr">
        <is>
          <t>No</t>
        </is>
      </c>
      <c r="B71" t="inlineStr">
        <is>
          <t>QB3 .B35</t>
        </is>
      </c>
      <c r="C71" t="inlineStr">
        <is>
          <t>0                      QB 0003000B  35</t>
        </is>
      </c>
      <c r="D71" t="inlineStr">
        <is>
          <t>Vistas in astronomy.</t>
        </is>
      </c>
      <c r="E71" t="inlineStr">
        <is>
          <t>V.16</t>
        </is>
      </c>
      <c r="F71" t="inlineStr">
        <is>
          <t>Yes</t>
        </is>
      </c>
      <c r="G71" t="inlineStr">
        <is>
          <t>1</t>
        </is>
      </c>
      <c r="H71" t="inlineStr">
        <is>
          <t>No</t>
        </is>
      </c>
      <c r="I71" t="inlineStr">
        <is>
          <t>No</t>
        </is>
      </c>
      <c r="J71" t="inlineStr">
        <is>
          <t>0</t>
        </is>
      </c>
      <c r="K71" t="inlineStr">
        <is>
          <t>Beer, Arthur, 1900-1980 editor.</t>
        </is>
      </c>
      <c r="L71" t="inlineStr">
        <is>
          <t>London, New York, Pergamon Press, 1955.</t>
        </is>
      </c>
      <c r="M71" t="inlineStr">
        <is>
          <t>1955</t>
        </is>
      </c>
      <c r="O71" t="inlineStr">
        <is>
          <t>eng</t>
        </is>
      </c>
      <c r="P71" t="inlineStr">
        <is>
          <t>enk</t>
        </is>
      </c>
      <c r="Q71" t="inlineStr">
        <is>
          <t>Special supplement no. 3 to the Journal of atmospheric and terrestrial physics</t>
        </is>
      </c>
      <c r="R71" t="inlineStr">
        <is>
          <t xml:space="preserve">QB </t>
        </is>
      </c>
      <c r="S71" t="n">
        <v>0</v>
      </c>
      <c r="T71" t="n">
        <v>5</v>
      </c>
      <c r="V71" t="inlineStr">
        <is>
          <t>2007-03-30</t>
        </is>
      </c>
      <c r="W71" t="inlineStr">
        <is>
          <t>1992-11-16</t>
        </is>
      </c>
      <c r="X71" t="inlineStr">
        <is>
          <t>1992-11-16</t>
        </is>
      </c>
      <c r="Y71" t="n">
        <v>206</v>
      </c>
      <c r="Z71" t="n">
        <v>180</v>
      </c>
      <c r="AA71" t="n">
        <v>192</v>
      </c>
      <c r="AB71" t="n">
        <v>1</v>
      </c>
      <c r="AC71" t="n">
        <v>1</v>
      </c>
      <c r="AD71" t="n">
        <v>9</v>
      </c>
      <c r="AE71" t="n">
        <v>9</v>
      </c>
      <c r="AF71" t="n">
        <v>3</v>
      </c>
      <c r="AG71" t="n">
        <v>3</v>
      </c>
      <c r="AH71" t="n">
        <v>2</v>
      </c>
      <c r="AI71" t="n">
        <v>2</v>
      </c>
      <c r="AJ71" t="n">
        <v>6</v>
      </c>
      <c r="AK71" t="n">
        <v>6</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HYPERLINK("https://creighton-primo.hosted.exlibrisgroup.com/primo-explore/search?tab=default_tab&amp;search_scope=EVERYTHING&amp;vid=01CRU&amp;lang=en_US&amp;offset=0&amp;query=any,contains,991001947949702656","Catalog Record")</f>
        <v/>
      </c>
      <c r="AT71">
        <f>HYPERLINK("http://www.worldcat.org/oclc/251036","WorldCat Record")</f>
        <v/>
      </c>
      <c r="AU71" t="inlineStr">
        <is>
          <t>375826739:eng</t>
        </is>
      </c>
      <c r="AV71" t="inlineStr">
        <is>
          <t>251036</t>
        </is>
      </c>
      <c r="AW71" t="inlineStr">
        <is>
          <t>991001947949702656</t>
        </is>
      </c>
      <c r="AX71" t="inlineStr">
        <is>
          <t>991001947949702656</t>
        </is>
      </c>
      <c r="AY71" t="inlineStr">
        <is>
          <t>2268750530002656</t>
        </is>
      </c>
      <c r="AZ71" t="inlineStr">
        <is>
          <t>BOOK</t>
        </is>
      </c>
      <c r="BC71" t="inlineStr">
        <is>
          <t>32285001430692</t>
        </is>
      </c>
      <c r="BD71" t="inlineStr">
        <is>
          <t>893256668</t>
        </is>
      </c>
    </row>
    <row r="72">
      <c r="A72" t="inlineStr">
        <is>
          <t>No</t>
        </is>
      </c>
      <c r="B72" t="inlineStr">
        <is>
          <t>QB3 .B35</t>
        </is>
      </c>
      <c r="C72" t="inlineStr">
        <is>
          <t>0                      QB 0003000B  35</t>
        </is>
      </c>
      <c r="D72" t="inlineStr">
        <is>
          <t>Vistas in astronomy.</t>
        </is>
      </c>
      <c r="E72" t="inlineStr">
        <is>
          <t>V.13</t>
        </is>
      </c>
      <c r="F72" t="inlineStr">
        <is>
          <t>Yes</t>
        </is>
      </c>
      <c r="G72" t="inlineStr">
        <is>
          <t>1</t>
        </is>
      </c>
      <c r="H72" t="inlineStr">
        <is>
          <t>No</t>
        </is>
      </c>
      <c r="I72" t="inlineStr">
        <is>
          <t>No</t>
        </is>
      </c>
      <c r="J72" t="inlineStr">
        <is>
          <t>0</t>
        </is>
      </c>
      <c r="K72" t="inlineStr">
        <is>
          <t>Beer, Arthur, 1900-1980 editor.</t>
        </is>
      </c>
      <c r="L72" t="inlineStr">
        <is>
          <t>London, New York, Pergamon Press, 1955.</t>
        </is>
      </c>
      <c r="M72" t="inlineStr">
        <is>
          <t>1955</t>
        </is>
      </c>
      <c r="O72" t="inlineStr">
        <is>
          <t>eng</t>
        </is>
      </c>
      <c r="P72" t="inlineStr">
        <is>
          <t>enk</t>
        </is>
      </c>
      <c r="Q72" t="inlineStr">
        <is>
          <t>Special supplement no. 3 to the Journal of atmospheric and terrestrial physics</t>
        </is>
      </c>
      <c r="R72" t="inlineStr">
        <is>
          <t xml:space="preserve">QB </t>
        </is>
      </c>
      <c r="S72" t="n">
        <v>0</v>
      </c>
      <c r="T72" t="n">
        <v>5</v>
      </c>
      <c r="V72" t="inlineStr">
        <is>
          <t>2007-03-30</t>
        </is>
      </c>
      <c r="W72" t="inlineStr">
        <is>
          <t>1992-11-16</t>
        </is>
      </c>
      <c r="X72" t="inlineStr">
        <is>
          <t>1992-11-16</t>
        </is>
      </c>
      <c r="Y72" t="n">
        <v>206</v>
      </c>
      <c r="Z72" t="n">
        <v>180</v>
      </c>
      <c r="AA72" t="n">
        <v>192</v>
      </c>
      <c r="AB72" t="n">
        <v>1</v>
      </c>
      <c r="AC72" t="n">
        <v>1</v>
      </c>
      <c r="AD72" t="n">
        <v>9</v>
      </c>
      <c r="AE72" t="n">
        <v>9</v>
      </c>
      <c r="AF72" t="n">
        <v>3</v>
      </c>
      <c r="AG72" t="n">
        <v>3</v>
      </c>
      <c r="AH72" t="n">
        <v>2</v>
      </c>
      <c r="AI72" t="n">
        <v>2</v>
      </c>
      <c r="AJ72" t="n">
        <v>6</v>
      </c>
      <c r="AK72" t="n">
        <v>6</v>
      </c>
      <c r="AL72" t="n">
        <v>0</v>
      </c>
      <c r="AM72" t="n">
        <v>0</v>
      </c>
      <c r="AN72" t="n">
        <v>0</v>
      </c>
      <c r="AO72" t="n">
        <v>0</v>
      </c>
      <c r="AP72" t="inlineStr">
        <is>
          <t>No</t>
        </is>
      </c>
      <c r="AQ72" t="inlineStr">
        <is>
          <t>No</t>
        </is>
      </c>
      <c r="AS72">
        <f>HYPERLINK("https://creighton-primo.hosted.exlibrisgroup.com/primo-explore/search?tab=default_tab&amp;search_scope=EVERYTHING&amp;vid=01CRU&amp;lang=en_US&amp;offset=0&amp;query=any,contains,991001947949702656","Catalog Record")</f>
        <v/>
      </c>
      <c r="AT72">
        <f>HYPERLINK("http://www.worldcat.org/oclc/251036","WorldCat Record")</f>
        <v/>
      </c>
      <c r="AU72" t="inlineStr">
        <is>
          <t>375826739:eng</t>
        </is>
      </c>
      <c r="AV72" t="inlineStr">
        <is>
          <t>251036</t>
        </is>
      </c>
      <c r="AW72" t="inlineStr">
        <is>
          <t>991001947949702656</t>
        </is>
      </c>
      <c r="AX72" t="inlineStr">
        <is>
          <t>991001947949702656</t>
        </is>
      </c>
      <c r="AY72" t="inlineStr">
        <is>
          <t>2268750530002656</t>
        </is>
      </c>
      <c r="AZ72" t="inlineStr">
        <is>
          <t>BOOK</t>
        </is>
      </c>
      <c r="BC72" t="inlineStr">
        <is>
          <t>32285001430668</t>
        </is>
      </c>
      <c r="BD72" t="inlineStr">
        <is>
          <t>893244577</t>
        </is>
      </c>
    </row>
    <row r="73">
      <c r="A73" t="inlineStr">
        <is>
          <t>No</t>
        </is>
      </c>
      <c r="B73" t="inlineStr">
        <is>
          <t>QB3 .D22</t>
        </is>
      </c>
      <c r="C73" t="inlineStr">
        <is>
          <t>0                      QB 0003000D  22</t>
        </is>
      </c>
      <c r="D73" t="inlineStr">
        <is>
          <t>Scientific papers, by Sir George Howard Darwin...</t>
        </is>
      </c>
      <c r="E73" t="inlineStr">
        <is>
          <t>V. 3</t>
        </is>
      </c>
      <c r="F73" t="inlineStr">
        <is>
          <t>Yes</t>
        </is>
      </c>
      <c r="G73" t="inlineStr">
        <is>
          <t>1</t>
        </is>
      </c>
      <c r="H73" t="inlineStr">
        <is>
          <t>No</t>
        </is>
      </c>
      <c r="I73" t="inlineStr">
        <is>
          <t>No</t>
        </is>
      </c>
      <c r="J73" t="inlineStr">
        <is>
          <t>0</t>
        </is>
      </c>
      <c r="K73" t="inlineStr">
        <is>
          <t>Darwin, George Howard, Sir, 1845-1912.</t>
        </is>
      </c>
      <c r="L73" t="inlineStr">
        <is>
          <t>Cambridge, University press, 1907-16.</t>
        </is>
      </c>
      <c r="M73" t="inlineStr">
        <is>
          <t>1907</t>
        </is>
      </c>
      <c r="O73" t="inlineStr">
        <is>
          <t>eng</t>
        </is>
      </c>
      <c r="P73" t="inlineStr">
        <is>
          <t xml:space="preserve">xx </t>
        </is>
      </c>
      <c r="R73" t="inlineStr">
        <is>
          <t xml:space="preserve">QB </t>
        </is>
      </c>
      <c r="S73" t="n">
        <v>0</v>
      </c>
      <c r="T73" t="n">
        <v>2</v>
      </c>
      <c r="V73" t="inlineStr">
        <is>
          <t>2009-11-19</t>
        </is>
      </c>
      <c r="W73" t="inlineStr">
        <is>
          <t>1997-04-22</t>
        </is>
      </c>
      <c r="X73" t="inlineStr">
        <is>
          <t>1997-04-22</t>
        </is>
      </c>
      <c r="Y73" t="n">
        <v>183</v>
      </c>
      <c r="Z73" t="n">
        <v>124</v>
      </c>
      <c r="AA73" t="n">
        <v>201</v>
      </c>
      <c r="AB73" t="n">
        <v>1</v>
      </c>
      <c r="AC73" t="n">
        <v>3</v>
      </c>
      <c r="AD73" t="n">
        <v>2</v>
      </c>
      <c r="AE73" t="n">
        <v>12</v>
      </c>
      <c r="AF73" t="n">
        <v>0</v>
      </c>
      <c r="AG73" t="n">
        <v>3</v>
      </c>
      <c r="AH73" t="n">
        <v>1</v>
      </c>
      <c r="AI73" t="n">
        <v>3</v>
      </c>
      <c r="AJ73" t="n">
        <v>2</v>
      </c>
      <c r="AK73" t="n">
        <v>6</v>
      </c>
      <c r="AL73" t="n">
        <v>0</v>
      </c>
      <c r="AM73" t="n">
        <v>2</v>
      </c>
      <c r="AN73" t="n">
        <v>0</v>
      </c>
      <c r="AO73" t="n">
        <v>1</v>
      </c>
      <c r="AP73" t="inlineStr">
        <is>
          <t>Yes</t>
        </is>
      </c>
      <c r="AQ73" t="inlineStr">
        <is>
          <t>No</t>
        </is>
      </c>
      <c r="AR73">
        <f>HYPERLINK("http://catalog.hathitrust.org/Record/001475251","HathiTrust Record")</f>
        <v/>
      </c>
      <c r="AS73">
        <f>HYPERLINK("https://creighton-primo.hosted.exlibrisgroup.com/primo-explore/search?tab=default_tab&amp;search_scope=EVERYTHING&amp;vid=01CRU&amp;lang=en_US&amp;offset=0&amp;query=any,contains,991003302289702656","Catalog Record")</f>
        <v/>
      </c>
      <c r="AT73">
        <f>HYPERLINK("http://www.worldcat.org/oclc/825366","WorldCat Record")</f>
        <v/>
      </c>
      <c r="AU73" t="inlineStr">
        <is>
          <t>3376690412:eng</t>
        </is>
      </c>
      <c r="AV73" t="inlineStr">
        <is>
          <t>825366</t>
        </is>
      </c>
      <c r="AW73" t="inlineStr">
        <is>
          <t>991003302289702656</t>
        </is>
      </c>
      <c r="AX73" t="inlineStr">
        <is>
          <t>991003302289702656</t>
        </is>
      </c>
      <c r="AY73" t="inlineStr">
        <is>
          <t>2267031840002656</t>
        </is>
      </c>
      <c r="AZ73" t="inlineStr">
        <is>
          <t>BOOK</t>
        </is>
      </c>
      <c r="BC73" t="inlineStr">
        <is>
          <t>32285002582616</t>
        </is>
      </c>
      <c r="BD73" t="inlineStr">
        <is>
          <t>893598459</t>
        </is>
      </c>
    </row>
    <row r="74">
      <c r="A74" t="inlineStr">
        <is>
          <t>No</t>
        </is>
      </c>
      <c r="B74" t="inlineStr">
        <is>
          <t>QB3 .D22</t>
        </is>
      </c>
      <c r="C74" t="inlineStr">
        <is>
          <t>0                      QB 0003000D  22</t>
        </is>
      </c>
      <c r="D74" t="inlineStr">
        <is>
          <t>Scientific papers, by Sir George Howard Darwin...</t>
        </is>
      </c>
      <c r="E74" t="inlineStr">
        <is>
          <t>V. 4</t>
        </is>
      </c>
      <c r="F74" t="inlineStr">
        <is>
          <t>Yes</t>
        </is>
      </c>
      <c r="G74" t="inlineStr">
        <is>
          <t>1</t>
        </is>
      </c>
      <c r="H74" t="inlineStr">
        <is>
          <t>No</t>
        </is>
      </c>
      <c r="I74" t="inlineStr">
        <is>
          <t>No</t>
        </is>
      </c>
      <c r="J74" t="inlineStr">
        <is>
          <t>0</t>
        </is>
      </c>
      <c r="K74" t="inlineStr">
        <is>
          <t>Darwin, George Howard, Sir, 1845-1912.</t>
        </is>
      </c>
      <c r="L74" t="inlineStr">
        <is>
          <t>Cambridge, University press, 1907-16.</t>
        </is>
      </c>
      <c r="M74" t="inlineStr">
        <is>
          <t>1907</t>
        </is>
      </c>
      <c r="O74" t="inlineStr">
        <is>
          <t>eng</t>
        </is>
      </c>
      <c r="P74" t="inlineStr">
        <is>
          <t xml:space="preserve">xx </t>
        </is>
      </c>
      <c r="R74" t="inlineStr">
        <is>
          <t xml:space="preserve">QB </t>
        </is>
      </c>
      <c r="S74" t="n">
        <v>0</v>
      </c>
      <c r="T74" t="n">
        <v>2</v>
      </c>
      <c r="V74" t="inlineStr">
        <is>
          <t>2009-11-19</t>
        </is>
      </c>
      <c r="W74" t="inlineStr">
        <is>
          <t>1997-04-22</t>
        </is>
      </c>
      <c r="X74" t="inlineStr">
        <is>
          <t>1997-04-22</t>
        </is>
      </c>
      <c r="Y74" t="n">
        <v>183</v>
      </c>
      <c r="Z74" t="n">
        <v>124</v>
      </c>
      <c r="AA74" t="n">
        <v>201</v>
      </c>
      <c r="AB74" t="n">
        <v>1</v>
      </c>
      <c r="AC74" t="n">
        <v>3</v>
      </c>
      <c r="AD74" t="n">
        <v>2</v>
      </c>
      <c r="AE74" t="n">
        <v>12</v>
      </c>
      <c r="AF74" t="n">
        <v>0</v>
      </c>
      <c r="AG74" t="n">
        <v>3</v>
      </c>
      <c r="AH74" t="n">
        <v>1</v>
      </c>
      <c r="AI74" t="n">
        <v>3</v>
      </c>
      <c r="AJ74" t="n">
        <v>2</v>
      </c>
      <c r="AK74" t="n">
        <v>6</v>
      </c>
      <c r="AL74" t="n">
        <v>0</v>
      </c>
      <c r="AM74" t="n">
        <v>2</v>
      </c>
      <c r="AN74" t="n">
        <v>0</v>
      </c>
      <c r="AO74" t="n">
        <v>1</v>
      </c>
      <c r="AP74" t="inlineStr">
        <is>
          <t>Yes</t>
        </is>
      </c>
      <c r="AQ74" t="inlineStr">
        <is>
          <t>No</t>
        </is>
      </c>
      <c r="AR74">
        <f>HYPERLINK("http://catalog.hathitrust.org/Record/001475251","HathiTrust Record")</f>
        <v/>
      </c>
      <c r="AS74">
        <f>HYPERLINK("https://creighton-primo.hosted.exlibrisgroup.com/primo-explore/search?tab=default_tab&amp;search_scope=EVERYTHING&amp;vid=01CRU&amp;lang=en_US&amp;offset=0&amp;query=any,contains,991003302289702656","Catalog Record")</f>
        <v/>
      </c>
      <c r="AT74">
        <f>HYPERLINK("http://www.worldcat.org/oclc/825366","WorldCat Record")</f>
        <v/>
      </c>
      <c r="AU74" t="inlineStr">
        <is>
          <t>3376690412:eng</t>
        </is>
      </c>
      <c r="AV74" t="inlineStr">
        <is>
          <t>825366</t>
        </is>
      </c>
      <c r="AW74" t="inlineStr">
        <is>
          <t>991003302289702656</t>
        </is>
      </c>
      <c r="AX74" t="inlineStr">
        <is>
          <t>991003302289702656</t>
        </is>
      </c>
      <c r="AY74" t="inlineStr">
        <is>
          <t>2267031840002656</t>
        </is>
      </c>
      <c r="AZ74" t="inlineStr">
        <is>
          <t>BOOK</t>
        </is>
      </c>
      <c r="BC74" t="inlineStr">
        <is>
          <t>32285002582624</t>
        </is>
      </c>
      <c r="BD74" t="inlineStr">
        <is>
          <t>893623356</t>
        </is>
      </c>
    </row>
    <row r="75">
      <c r="A75" t="inlineStr">
        <is>
          <t>No</t>
        </is>
      </c>
      <c r="B75" t="inlineStr">
        <is>
          <t>QB3 .D22</t>
        </is>
      </c>
      <c r="C75" t="inlineStr">
        <is>
          <t>0                      QB 0003000D  22</t>
        </is>
      </c>
      <c r="D75" t="inlineStr">
        <is>
          <t>Scientific papers, by Sir George Howard Darwin...</t>
        </is>
      </c>
      <c r="E75" t="inlineStr">
        <is>
          <t>V. 5</t>
        </is>
      </c>
      <c r="F75" t="inlineStr">
        <is>
          <t>Yes</t>
        </is>
      </c>
      <c r="G75" t="inlineStr">
        <is>
          <t>1</t>
        </is>
      </c>
      <c r="H75" t="inlineStr">
        <is>
          <t>No</t>
        </is>
      </c>
      <c r="I75" t="inlineStr">
        <is>
          <t>No</t>
        </is>
      </c>
      <c r="J75" t="inlineStr">
        <is>
          <t>0</t>
        </is>
      </c>
      <c r="K75" t="inlineStr">
        <is>
          <t>Darwin, George Howard, Sir, 1845-1912.</t>
        </is>
      </c>
      <c r="L75" t="inlineStr">
        <is>
          <t>Cambridge, University press, 1907-16.</t>
        </is>
      </c>
      <c r="M75" t="inlineStr">
        <is>
          <t>1907</t>
        </is>
      </c>
      <c r="O75" t="inlineStr">
        <is>
          <t>eng</t>
        </is>
      </c>
      <c r="P75" t="inlineStr">
        <is>
          <t xml:space="preserve">xx </t>
        </is>
      </c>
      <c r="R75" t="inlineStr">
        <is>
          <t xml:space="preserve">QB </t>
        </is>
      </c>
      <c r="S75" t="n">
        <v>1</v>
      </c>
      <c r="T75" t="n">
        <v>2</v>
      </c>
      <c r="U75" t="inlineStr">
        <is>
          <t>2009-11-19</t>
        </is>
      </c>
      <c r="V75" t="inlineStr">
        <is>
          <t>2009-11-19</t>
        </is>
      </c>
      <c r="W75" t="inlineStr">
        <is>
          <t>1997-04-22</t>
        </is>
      </c>
      <c r="X75" t="inlineStr">
        <is>
          <t>1997-04-22</t>
        </is>
      </c>
      <c r="Y75" t="n">
        <v>183</v>
      </c>
      <c r="Z75" t="n">
        <v>124</v>
      </c>
      <c r="AA75" t="n">
        <v>201</v>
      </c>
      <c r="AB75" t="n">
        <v>1</v>
      </c>
      <c r="AC75" t="n">
        <v>3</v>
      </c>
      <c r="AD75" t="n">
        <v>2</v>
      </c>
      <c r="AE75" t="n">
        <v>12</v>
      </c>
      <c r="AF75" t="n">
        <v>0</v>
      </c>
      <c r="AG75" t="n">
        <v>3</v>
      </c>
      <c r="AH75" t="n">
        <v>1</v>
      </c>
      <c r="AI75" t="n">
        <v>3</v>
      </c>
      <c r="AJ75" t="n">
        <v>2</v>
      </c>
      <c r="AK75" t="n">
        <v>6</v>
      </c>
      <c r="AL75" t="n">
        <v>0</v>
      </c>
      <c r="AM75" t="n">
        <v>2</v>
      </c>
      <c r="AN75" t="n">
        <v>0</v>
      </c>
      <c r="AO75" t="n">
        <v>1</v>
      </c>
      <c r="AP75" t="inlineStr">
        <is>
          <t>Yes</t>
        </is>
      </c>
      <c r="AQ75" t="inlineStr">
        <is>
          <t>No</t>
        </is>
      </c>
      <c r="AR75">
        <f>HYPERLINK("http://catalog.hathitrust.org/Record/001475251","HathiTrust Record")</f>
        <v/>
      </c>
      <c r="AS75">
        <f>HYPERLINK("https://creighton-primo.hosted.exlibrisgroup.com/primo-explore/search?tab=default_tab&amp;search_scope=EVERYTHING&amp;vid=01CRU&amp;lang=en_US&amp;offset=0&amp;query=any,contains,991003302289702656","Catalog Record")</f>
        <v/>
      </c>
      <c r="AT75">
        <f>HYPERLINK("http://www.worldcat.org/oclc/825366","WorldCat Record")</f>
        <v/>
      </c>
      <c r="AU75" t="inlineStr">
        <is>
          <t>3376690412:eng</t>
        </is>
      </c>
      <c r="AV75" t="inlineStr">
        <is>
          <t>825366</t>
        </is>
      </c>
      <c r="AW75" t="inlineStr">
        <is>
          <t>991003302289702656</t>
        </is>
      </c>
      <c r="AX75" t="inlineStr">
        <is>
          <t>991003302289702656</t>
        </is>
      </c>
      <c r="AY75" t="inlineStr">
        <is>
          <t>2267031840002656</t>
        </is>
      </c>
      <c r="AZ75" t="inlineStr">
        <is>
          <t>BOOK</t>
        </is>
      </c>
      <c r="BC75" t="inlineStr">
        <is>
          <t>32285002582632</t>
        </is>
      </c>
      <c r="BD75" t="inlineStr">
        <is>
          <t>893617202</t>
        </is>
      </c>
    </row>
    <row r="76">
      <c r="A76" t="inlineStr">
        <is>
          <t>No</t>
        </is>
      </c>
      <c r="B76" t="inlineStr">
        <is>
          <t>QB3 .D22</t>
        </is>
      </c>
      <c r="C76" t="inlineStr">
        <is>
          <t>0                      QB 0003000D  22</t>
        </is>
      </c>
      <c r="D76" t="inlineStr">
        <is>
          <t>Scientific papers, by Sir George Howard Darwin...</t>
        </is>
      </c>
      <c r="E76" t="inlineStr">
        <is>
          <t>V. 2</t>
        </is>
      </c>
      <c r="F76" t="inlineStr">
        <is>
          <t>Yes</t>
        </is>
      </c>
      <c r="G76" t="inlineStr">
        <is>
          <t>1</t>
        </is>
      </c>
      <c r="H76" t="inlineStr">
        <is>
          <t>No</t>
        </is>
      </c>
      <c r="I76" t="inlineStr">
        <is>
          <t>No</t>
        </is>
      </c>
      <c r="J76" t="inlineStr">
        <is>
          <t>0</t>
        </is>
      </c>
      <c r="K76" t="inlineStr">
        <is>
          <t>Darwin, George Howard, Sir, 1845-1912.</t>
        </is>
      </c>
      <c r="L76" t="inlineStr">
        <is>
          <t>Cambridge, University press, 1907-16.</t>
        </is>
      </c>
      <c r="M76" t="inlineStr">
        <is>
          <t>1907</t>
        </is>
      </c>
      <c r="O76" t="inlineStr">
        <is>
          <t>eng</t>
        </is>
      </c>
      <c r="P76" t="inlineStr">
        <is>
          <t xml:space="preserve">xx </t>
        </is>
      </c>
      <c r="R76" t="inlineStr">
        <is>
          <t xml:space="preserve">QB </t>
        </is>
      </c>
      <c r="S76" t="n">
        <v>0</v>
      </c>
      <c r="T76" t="n">
        <v>2</v>
      </c>
      <c r="V76" t="inlineStr">
        <is>
          <t>2009-11-19</t>
        </is>
      </c>
      <c r="W76" t="inlineStr">
        <is>
          <t>1997-04-22</t>
        </is>
      </c>
      <c r="X76" t="inlineStr">
        <is>
          <t>1997-04-22</t>
        </is>
      </c>
      <c r="Y76" t="n">
        <v>183</v>
      </c>
      <c r="Z76" t="n">
        <v>124</v>
      </c>
      <c r="AA76" t="n">
        <v>201</v>
      </c>
      <c r="AB76" t="n">
        <v>1</v>
      </c>
      <c r="AC76" t="n">
        <v>3</v>
      </c>
      <c r="AD76" t="n">
        <v>2</v>
      </c>
      <c r="AE76" t="n">
        <v>12</v>
      </c>
      <c r="AF76" t="n">
        <v>0</v>
      </c>
      <c r="AG76" t="n">
        <v>3</v>
      </c>
      <c r="AH76" t="n">
        <v>1</v>
      </c>
      <c r="AI76" t="n">
        <v>3</v>
      </c>
      <c r="AJ76" t="n">
        <v>2</v>
      </c>
      <c r="AK76" t="n">
        <v>6</v>
      </c>
      <c r="AL76" t="n">
        <v>0</v>
      </c>
      <c r="AM76" t="n">
        <v>2</v>
      </c>
      <c r="AN76" t="n">
        <v>0</v>
      </c>
      <c r="AO76" t="n">
        <v>1</v>
      </c>
      <c r="AP76" t="inlineStr">
        <is>
          <t>Yes</t>
        </is>
      </c>
      <c r="AQ76" t="inlineStr">
        <is>
          <t>No</t>
        </is>
      </c>
      <c r="AR76">
        <f>HYPERLINK("http://catalog.hathitrust.org/Record/001475251","HathiTrust Record")</f>
        <v/>
      </c>
      <c r="AS76">
        <f>HYPERLINK("https://creighton-primo.hosted.exlibrisgroup.com/primo-explore/search?tab=default_tab&amp;search_scope=EVERYTHING&amp;vid=01CRU&amp;lang=en_US&amp;offset=0&amp;query=any,contains,991003302289702656","Catalog Record")</f>
        <v/>
      </c>
      <c r="AT76">
        <f>HYPERLINK("http://www.worldcat.org/oclc/825366","WorldCat Record")</f>
        <v/>
      </c>
      <c r="AU76" t="inlineStr">
        <is>
          <t>3376690412:eng</t>
        </is>
      </c>
      <c r="AV76" t="inlineStr">
        <is>
          <t>825366</t>
        </is>
      </c>
      <c r="AW76" t="inlineStr">
        <is>
          <t>991003302289702656</t>
        </is>
      </c>
      <c r="AX76" t="inlineStr">
        <is>
          <t>991003302289702656</t>
        </is>
      </c>
      <c r="AY76" t="inlineStr">
        <is>
          <t>2267031840002656</t>
        </is>
      </c>
      <c r="AZ76" t="inlineStr">
        <is>
          <t>BOOK</t>
        </is>
      </c>
      <c r="BC76" t="inlineStr">
        <is>
          <t>32285002582608</t>
        </is>
      </c>
      <c r="BD76" t="inlineStr">
        <is>
          <t>893592396</t>
        </is>
      </c>
    </row>
    <row r="77">
      <c r="A77" t="inlineStr">
        <is>
          <t>No</t>
        </is>
      </c>
      <c r="B77" t="inlineStr">
        <is>
          <t>QB3 .D22</t>
        </is>
      </c>
      <c r="C77" t="inlineStr">
        <is>
          <t>0                      QB 0003000D  22</t>
        </is>
      </c>
      <c r="D77" t="inlineStr">
        <is>
          <t>Scientific papers, by Sir George Howard Darwin...</t>
        </is>
      </c>
      <c r="E77" t="inlineStr">
        <is>
          <t>V. 1</t>
        </is>
      </c>
      <c r="F77" t="inlineStr">
        <is>
          <t>Yes</t>
        </is>
      </c>
      <c r="G77" t="inlineStr">
        <is>
          <t>1</t>
        </is>
      </c>
      <c r="H77" t="inlineStr">
        <is>
          <t>No</t>
        </is>
      </c>
      <c r="I77" t="inlineStr">
        <is>
          <t>No</t>
        </is>
      </c>
      <c r="J77" t="inlineStr">
        <is>
          <t>0</t>
        </is>
      </c>
      <c r="K77" t="inlineStr">
        <is>
          <t>Darwin, George Howard, Sir, 1845-1912.</t>
        </is>
      </c>
      <c r="L77" t="inlineStr">
        <is>
          <t>Cambridge, University press, 1907-16.</t>
        </is>
      </c>
      <c r="M77" t="inlineStr">
        <is>
          <t>1907</t>
        </is>
      </c>
      <c r="O77" t="inlineStr">
        <is>
          <t>eng</t>
        </is>
      </c>
      <c r="P77" t="inlineStr">
        <is>
          <t xml:space="preserve">xx </t>
        </is>
      </c>
      <c r="R77" t="inlineStr">
        <is>
          <t xml:space="preserve">QB </t>
        </is>
      </c>
      <c r="S77" t="n">
        <v>1</v>
      </c>
      <c r="T77" t="n">
        <v>2</v>
      </c>
      <c r="U77" t="inlineStr">
        <is>
          <t>2009-11-19</t>
        </is>
      </c>
      <c r="V77" t="inlineStr">
        <is>
          <t>2009-11-19</t>
        </is>
      </c>
      <c r="W77" t="inlineStr">
        <is>
          <t>1997-04-22</t>
        </is>
      </c>
      <c r="X77" t="inlineStr">
        <is>
          <t>1997-04-22</t>
        </is>
      </c>
      <c r="Y77" t="n">
        <v>183</v>
      </c>
      <c r="Z77" t="n">
        <v>124</v>
      </c>
      <c r="AA77" t="n">
        <v>201</v>
      </c>
      <c r="AB77" t="n">
        <v>1</v>
      </c>
      <c r="AC77" t="n">
        <v>3</v>
      </c>
      <c r="AD77" t="n">
        <v>2</v>
      </c>
      <c r="AE77" t="n">
        <v>12</v>
      </c>
      <c r="AF77" t="n">
        <v>0</v>
      </c>
      <c r="AG77" t="n">
        <v>3</v>
      </c>
      <c r="AH77" t="n">
        <v>1</v>
      </c>
      <c r="AI77" t="n">
        <v>3</v>
      </c>
      <c r="AJ77" t="n">
        <v>2</v>
      </c>
      <c r="AK77" t="n">
        <v>6</v>
      </c>
      <c r="AL77" t="n">
        <v>0</v>
      </c>
      <c r="AM77" t="n">
        <v>2</v>
      </c>
      <c r="AN77" t="n">
        <v>0</v>
      </c>
      <c r="AO77" t="n">
        <v>1</v>
      </c>
      <c r="AP77" t="inlineStr">
        <is>
          <t>Yes</t>
        </is>
      </c>
      <c r="AQ77" t="inlineStr">
        <is>
          <t>No</t>
        </is>
      </c>
      <c r="AR77">
        <f>HYPERLINK("http://catalog.hathitrust.org/Record/001475251","HathiTrust Record")</f>
        <v/>
      </c>
      <c r="AS77">
        <f>HYPERLINK("https://creighton-primo.hosted.exlibrisgroup.com/primo-explore/search?tab=default_tab&amp;search_scope=EVERYTHING&amp;vid=01CRU&amp;lang=en_US&amp;offset=0&amp;query=any,contains,991003302289702656","Catalog Record")</f>
        <v/>
      </c>
      <c r="AT77">
        <f>HYPERLINK("http://www.worldcat.org/oclc/825366","WorldCat Record")</f>
        <v/>
      </c>
      <c r="AU77" t="inlineStr">
        <is>
          <t>3376690412:eng</t>
        </is>
      </c>
      <c r="AV77" t="inlineStr">
        <is>
          <t>825366</t>
        </is>
      </c>
      <c r="AW77" t="inlineStr">
        <is>
          <t>991003302289702656</t>
        </is>
      </c>
      <c r="AX77" t="inlineStr">
        <is>
          <t>991003302289702656</t>
        </is>
      </c>
      <c r="AY77" t="inlineStr">
        <is>
          <t>2267031840002656</t>
        </is>
      </c>
      <c r="AZ77" t="inlineStr">
        <is>
          <t>BOOK</t>
        </is>
      </c>
      <c r="BC77" t="inlineStr">
        <is>
          <t>32285002582590</t>
        </is>
      </c>
      <c r="BD77" t="inlineStr">
        <is>
          <t>893598460</t>
        </is>
      </c>
    </row>
    <row r="78">
      <c r="A78" t="inlineStr">
        <is>
          <t>No</t>
        </is>
      </c>
      <c r="B78" t="inlineStr">
        <is>
          <t>QB32 .B47 1984</t>
        </is>
      </c>
      <c r="C78" t="inlineStr">
        <is>
          <t>0                      QB 0032000B  47          1984</t>
        </is>
      </c>
      <c r="D78" t="inlineStr">
        <is>
          <t>Man discovers the galaxies / Richard Berendzen, Richard Hart, Daniel Seeley.</t>
        </is>
      </c>
      <c r="F78" t="inlineStr">
        <is>
          <t>No</t>
        </is>
      </c>
      <c r="G78" t="inlineStr">
        <is>
          <t>1</t>
        </is>
      </c>
      <c r="H78" t="inlineStr">
        <is>
          <t>No</t>
        </is>
      </c>
      <c r="I78" t="inlineStr">
        <is>
          <t>No</t>
        </is>
      </c>
      <c r="J78" t="inlineStr">
        <is>
          <t>0</t>
        </is>
      </c>
      <c r="K78" t="inlineStr">
        <is>
          <t>Berendzen, Richard.</t>
        </is>
      </c>
      <c r="L78" t="inlineStr">
        <is>
          <t>New York : Columbia University Press, 1984.</t>
        </is>
      </c>
      <c r="M78" t="inlineStr">
        <is>
          <t>1984</t>
        </is>
      </c>
      <c r="N78" t="inlineStr">
        <is>
          <t>[Morningside ed.].</t>
        </is>
      </c>
      <c r="O78" t="inlineStr">
        <is>
          <t>eng</t>
        </is>
      </c>
      <c r="P78" t="inlineStr">
        <is>
          <t>nyu</t>
        </is>
      </c>
      <c r="R78" t="inlineStr">
        <is>
          <t xml:space="preserve">QB </t>
        </is>
      </c>
      <c r="S78" t="n">
        <v>4</v>
      </c>
      <c r="T78" t="n">
        <v>4</v>
      </c>
      <c r="U78" t="inlineStr">
        <is>
          <t>1996-11-10</t>
        </is>
      </c>
      <c r="V78" t="inlineStr">
        <is>
          <t>1996-11-10</t>
        </is>
      </c>
      <c r="W78" t="inlineStr">
        <is>
          <t>1992-11-16</t>
        </is>
      </c>
      <c r="X78" t="inlineStr">
        <is>
          <t>1992-11-16</t>
        </is>
      </c>
      <c r="Y78" t="n">
        <v>94</v>
      </c>
      <c r="Z78" t="n">
        <v>84</v>
      </c>
      <c r="AA78" t="n">
        <v>660</v>
      </c>
      <c r="AB78" t="n">
        <v>1</v>
      </c>
      <c r="AC78" t="n">
        <v>5</v>
      </c>
      <c r="AD78" t="n">
        <v>4</v>
      </c>
      <c r="AE78" t="n">
        <v>21</v>
      </c>
      <c r="AF78" t="n">
        <v>2</v>
      </c>
      <c r="AG78" t="n">
        <v>8</v>
      </c>
      <c r="AH78" t="n">
        <v>1</v>
      </c>
      <c r="AI78" t="n">
        <v>2</v>
      </c>
      <c r="AJ78" t="n">
        <v>1</v>
      </c>
      <c r="AK78" t="n">
        <v>10</v>
      </c>
      <c r="AL78" t="n">
        <v>0</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HYPERLINK("https://creighton-primo.hosted.exlibrisgroup.com/primo-explore/search?tab=default_tab&amp;search_scope=EVERYTHING&amp;vid=01CRU&amp;lang=en_US&amp;offset=0&amp;query=any,contains,991000362109702656","Catalog Record")</f>
        <v/>
      </c>
      <c r="AT78">
        <f>HYPERLINK("http://www.worldcat.org/oclc/10375021","WorldCat Record")</f>
        <v/>
      </c>
      <c r="AU78" t="inlineStr">
        <is>
          <t>1061245:eng</t>
        </is>
      </c>
      <c r="AV78" t="inlineStr">
        <is>
          <t>10375021</t>
        </is>
      </c>
      <c r="AW78" t="inlineStr">
        <is>
          <t>991000362109702656</t>
        </is>
      </c>
      <c r="AX78" t="inlineStr">
        <is>
          <t>991000362109702656</t>
        </is>
      </c>
      <c r="AY78" t="inlineStr">
        <is>
          <t>2258096220002656</t>
        </is>
      </c>
      <c r="AZ78" t="inlineStr">
        <is>
          <t>BOOK</t>
        </is>
      </c>
      <c r="BB78" t="inlineStr">
        <is>
          <t>9780231058278</t>
        </is>
      </c>
      <c r="BC78" t="inlineStr">
        <is>
          <t>32285001431047</t>
        </is>
      </c>
      <c r="BD78" t="inlineStr">
        <is>
          <t>893320985</t>
        </is>
      </c>
    </row>
    <row r="79">
      <c r="A79" t="inlineStr">
        <is>
          <t>No</t>
        </is>
      </c>
      <c r="B79" t="inlineStr">
        <is>
          <t>QB33.A7 M32 1998</t>
        </is>
      </c>
      <c r="C79" t="inlineStr">
        <is>
          <t>0                      QB 0033000A  7                  M  32          1998</t>
        </is>
      </c>
      <c r="D79" t="inlineStr">
        <is>
          <t>The Arctic sky : Inuit astronomy, star lore, and legend / John MacDonald.</t>
        </is>
      </c>
      <c r="F79" t="inlineStr">
        <is>
          <t>No</t>
        </is>
      </c>
      <c r="G79" t="inlineStr">
        <is>
          <t>1</t>
        </is>
      </c>
      <c r="H79" t="inlineStr">
        <is>
          <t>No</t>
        </is>
      </c>
      <c r="I79" t="inlineStr">
        <is>
          <t>No</t>
        </is>
      </c>
      <c r="J79" t="inlineStr">
        <is>
          <t>0</t>
        </is>
      </c>
      <c r="K79" t="inlineStr">
        <is>
          <t>MacDonald, John, 1940-</t>
        </is>
      </c>
      <c r="L79" t="inlineStr">
        <is>
          <t>Toronto : Royal Ontario Museum/Nunavut Research Institute, 1998.</t>
        </is>
      </c>
      <c r="M79" t="inlineStr">
        <is>
          <t>1998</t>
        </is>
      </c>
      <c r="O79" t="inlineStr">
        <is>
          <t>eng</t>
        </is>
      </c>
      <c r="P79" t="inlineStr">
        <is>
          <t>onc</t>
        </is>
      </c>
      <c r="R79" t="inlineStr">
        <is>
          <t xml:space="preserve">QB </t>
        </is>
      </c>
      <c r="S79" t="n">
        <v>1</v>
      </c>
      <c r="T79" t="n">
        <v>1</v>
      </c>
      <c r="U79" t="inlineStr">
        <is>
          <t>2005-11-22</t>
        </is>
      </c>
      <c r="V79" t="inlineStr">
        <is>
          <t>2005-11-22</t>
        </is>
      </c>
      <c r="W79" t="inlineStr">
        <is>
          <t>1999-03-29</t>
        </is>
      </c>
      <c r="X79" t="inlineStr">
        <is>
          <t>1999-03-29</t>
        </is>
      </c>
      <c r="Y79" t="n">
        <v>439</v>
      </c>
      <c r="Z79" t="n">
        <v>326</v>
      </c>
      <c r="AA79" t="n">
        <v>351</v>
      </c>
      <c r="AB79" t="n">
        <v>2</v>
      </c>
      <c r="AC79" t="n">
        <v>2</v>
      </c>
      <c r="AD79" t="n">
        <v>10</v>
      </c>
      <c r="AE79" t="n">
        <v>10</v>
      </c>
      <c r="AF79" t="n">
        <v>4</v>
      </c>
      <c r="AG79" t="n">
        <v>4</v>
      </c>
      <c r="AH79" t="n">
        <v>2</v>
      </c>
      <c r="AI79" t="n">
        <v>2</v>
      </c>
      <c r="AJ79" t="n">
        <v>5</v>
      </c>
      <c r="AK79" t="n">
        <v>5</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HYPERLINK("https://creighton-primo.hosted.exlibrisgroup.com/primo-explore/search?tab=default_tab&amp;search_scope=EVERYTHING&amp;vid=01CRU&amp;lang=en_US&amp;offset=0&amp;query=any,contains,991002925589702656","Catalog Record")</f>
        <v/>
      </c>
      <c r="AT79">
        <f>HYPERLINK("http://www.worldcat.org/oclc/38885238","WorldCat Record")</f>
        <v/>
      </c>
      <c r="AU79" t="inlineStr">
        <is>
          <t>20839698:eng</t>
        </is>
      </c>
      <c r="AV79" t="inlineStr">
        <is>
          <t>38885238</t>
        </is>
      </c>
      <c r="AW79" t="inlineStr">
        <is>
          <t>991002925589702656</t>
        </is>
      </c>
      <c r="AX79" t="inlineStr">
        <is>
          <t>991002925589702656</t>
        </is>
      </c>
      <c r="AY79" t="inlineStr">
        <is>
          <t>2263790130002656</t>
        </is>
      </c>
      <c r="AZ79" t="inlineStr">
        <is>
          <t>BOOK</t>
        </is>
      </c>
      <c r="BB79" t="inlineStr">
        <is>
          <t>9780888544278</t>
        </is>
      </c>
      <c r="BC79" t="inlineStr">
        <is>
          <t>32285003547212</t>
        </is>
      </c>
      <c r="BD79" t="inlineStr">
        <is>
          <t>893604228</t>
        </is>
      </c>
    </row>
    <row r="80">
      <c r="A80" t="inlineStr">
        <is>
          <t>No</t>
        </is>
      </c>
      <c r="B80" t="inlineStr">
        <is>
          <t>QB33.C5 E413</t>
        </is>
      </c>
      <c r="C80" t="inlineStr">
        <is>
          <t>0                      QB 0033000C  5                  E  413</t>
        </is>
      </c>
      <c r="D80" t="inlineStr">
        <is>
          <t>Galileo in China; relations through the Roman College between Galileo and the Jesuit scientist-missionaries (1610-1640) Translated by Rufus Suter and Matthew Sciascia. Foreword by Donald H. Menzel.</t>
        </is>
      </c>
      <c r="F80" t="inlineStr">
        <is>
          <t>No</t>
        </is>
      </c>
      <c r="G80" t="inlineStr">
        <is>
          <t>1</t>
        </is>
      </c>
      <c r="H80" t="inlineStr">
        <is>
          <t>No</t>
        </is>
      </c>
      <c r="I80" t="inlineStr">
        <is>
          <t>No</t>
        </is>
      </c>
      <c r="J80" t="inlineStr">
        <is>
          <t>0</t>
        </is>
      </c>
      <c r="K80" t="inlineStr">
        <is>
          <t>Elia, Pasquale M. d', 1890-</t>
        </is>
      </c>
      <c r="L80" t="inlineStr">
        <is>
          <t>Cambridge, Harvard University, 1960.</t>
        </is>
      </c>
      <c r="M80" t="inlineStr">
        <is>
          <t>1960</t>
        </is>
      </c>
      <c r="O80" t="inlineStr">
        <is>
          <t>eng</t>
        </is>
      </c>
      <c r="P80" t="inlineStr">
        <is>
          <t>mau</t>
        </is>
      </c>
      <c r="R80" t="inlineStr">
        <is>
          <t xml:space="preserve">QB </t>
        </is>
      </c>
      <c r="S80" t="n">
        <v>3</v>
      </c>
      <c r="T80" t="n">
        <v>3</v>
      </c>
      <c r="U80" t="inlineStr">
        <is>
          <t>2006-10-29</t>
        </is>
      </c>
      <c r="V80" t="inlineStr">
        <is>
          <t>2006-10-29</t>
        </is>
      </c>
      <c r="W80" t="inlineStr">
        <is>
          <t>1997-04-24</t>
        </is>
      </c>
      <c r="X80" t="inlineStr">
        <is>
          <t>1997-04-24</t>
        </is>
      </c>
      <c r="Y80" t="n">
        <v>351</v>
      </c>
      <c r="Z80" t="n">
        <v>288</v>
      </c>
      <c r="AA80" t="n">
        <v>293</v>
      </c>
      <c r="AB80" t="n">
        <v>2</v>
      </c>
      <c r="AC80" t="n">
        <v>2</v>
      </c>
      <c r="AD80" t="n">
        <v>27</v>
      </c>
      <c r="AE80" t="n">
        <v>27</v>
      </c>
      <c r="AF80" t="n">
        <v>10</v>
      </c>
      <c r="AG80" t="n">
        <v>10</v>
      </c>
      <c r="AH80" t="n">
        <v>6</v>
      </c>
      <c r="AI80" t="n">
        <v>6</v>
      </c>
      <c r="AJ80" t="n">
        <v>19</v>
      </c>
      <c r="AK80" t="n">
        <v>19</v>
      </c>
      <c r="AL80" t="n">
        <v>1</v>
      </c>
      <c r="AM80" t="n">
        <v>1</v>
      </c>
      <c r="AN80" t="n">
        <v>0</v>
      </c>
      <c r="AO80" t="n">
        <v>0</v>
      </c>
      <c r="AP80" t="inlineStr">
        <is>
          <t>No</t>
        </is>
      </c>
      <c r="AQ80" t="inlineStr">
        <is>
          <t>Yes</t>
        </is>
      </c>
      <c r="AR80">
        <f>HYPERLINK("http://catalog.hathitrust.org/Record/001475533","HathiTrust Record")</f>
        <v/>
      </c>
      <c r="AS80">
        <f>HYPERLINK("https://creighton-primo.hosted.exlibrisgroup.com/primo-explore/search?tab=default_tab&amp;search_scope=EVERYTHING&amp;vid=01CRU&amp;lang=en_US&amp;offset=0&amp;query=any,contains,991003639429702656","Catalog Record")</f>
        <v/>
      </c>
      <c r="AT80">
        <f>HYPERLINK("http://www.worldcat.org/oclc/1235566","WorldCat Record")</f>
        <v/>
      </c>
      <c r="AU80" t="inlineStr">
        <is>
          <t>499891174:eng</t>
        </is>
      </c>
      <c r="AV80" t="inlineStr">
        <is>
          <t>1235566</t>
        </is>
      </c>
      <c r="AW80" t="inlineStr">
        <is>
          <t>991003639429702656</t>
        </is>
      </c>
      <c r="AX80" t="inlineStr">
        <is>
          <t>991003639429702656</t>
        </is>
      </c>
      <c r="AY80" t="inlineStr">
        <is>
          <t>2263466570002656</t>
        </is>
      </c>
      <c r="AZ80" t="inlineStr">
        <is>
          <t>BOOK</t>
        </is>
      </c>
      <c r="BC80" t="inlineStr">
        <is>
          <t>32285002583044</t>
        </is>
      </c>
      <c r="BD80" t="inlineStr">
        <is>
          <t>893605029</t>
        </is>
      </c>
    </row>
    <row r="81">
      <c r="A81" t="inlineStr">
        <is>
          <t>No</t>
        </is>
      </c>
      <c r="B81" t="inlineStr">
        <is>
          <t>QB33.G7 J6 1968</t>
        </is>
      </c>
      <c r="C81" t="inlineStr">
        <is>
          <t>0                      QB 0033000G  7                  J  6           1968</t>
        </is>
      </c>
      <c r="D81" t="inlineStr">
        <is>
          <t>Astronomical thought in Renaissance England; a study of the English scientific writings from 1500 to 1645.</t>
        </is>
      </c>
      <c r="F81" t="inlineStr">
        <is>
          <t>No</t>
        </is>
      </c>
      <c r="G81" t="inlineStr">
        <is>
          <t>1</t>
        </is>
      </c>
      <c r="H81" t="inlineStr">
        <is>
          <t>No</t>
        </is>
      </c>
      <c r="I81" t="inlineStr">
        <is>
          <t>No</t>
        </is>
      </c>
      <c r="J81" t="inlineStr">
        <is>
          <t>0</t>
        </is>
      </c>
      <c r="K81" t="inlineStr">
        <is>
          <t>Johnson, Francis R. (Francis Rarick), 1901-1960.</t>
        </is>
      </c>
      <c r="L81" t="inlineStr">
        <is>
          <t>New York, Octagon Books, 1968 [c1937]</t>
        </is>
      </c>
      <c r="M81" t="inlineStr">
        <is>
          <t>1968</t>
        </is>
      </c>
      <c r="O81" t="inlineStr">
        <is>
          <t>eng</t>
        </is>
      </c>
      <c r="P81" t="inlineStr">
        <is>
          <t>nyu</t>
        </is>
      </c>
      <c r="Q81" t="inlineStr">
        <is>
          <t>Huntington Library publications</t>
        </is>
      </c>
      <c r="R81" t="inlineStr">
        <is>
          <t xml:space="preserve">QB </t>
        </is>
      </c>
      <c r="S81" t="n">
        <v>1</v>
      </c>
      <c r="T81" t="n">
        <v>1</v>
      </c>
      <c r="U81" t="inlineStr">
        <is>
          <t>2000-11-06</t>
        </is>
      </c>
      <c r="V81" t="inlineStr">
        <is>
          <t>2000-11-06</t>
        </is>
      </c>
      <c r="W81" t="inlineStr">
        <is>
          <t>1997-04-24</t>
        </is>
      </c>
      <c r="X81" t="inlineStr">
        <is>
          <t>1997-04-24</t>
        </is>
      </c>
      <c r="Y81" t="n">
        <v>343</v>
      </c>
      <c r="Z81" t="n">
        <v>265</v>
      </c>
      <c r="AA81" t="n">
        <v>490</v>
      </c>
      <c r="AB81" t="n">
        <v>3</v>
      </c>
      <c r="AC81" t="n">
        <v>5</v>
      </c>
      <c r="AD81" t="n">
        <v>15</v>
      </c>
      <c r="AE81" t="n">
        <v>29</v>
      </c>
      <c r="AF81" t="n">
        <v>4</v>
      </c>
      <c r="AG81" t="n">
        <v>10</v>
      </c>
      <c r="AH81" t="n">
        <v>4</v>
      </c>
      <c r="AI81" t="n">
        <v>5</v>
      </c>
      <c r="AJ81" t="n">
        <v>8</v>
      </c>
      <c r="AK81" t="n">
        <v>15</v>
      </c>
      <c r="AL81" t="n">
        <v>2</v>
      </c>
      <c r="AM81" t="n">
        <v>4</v>
      </c>
      <c r="AN81" t="n">
        <v>0</v>
      </c>
      <c r="AO81" t="n">
        <v>0</v>
      </c>
      <c r="AP81" t="inlineStr">
        <is>
          <t>No</t>
        </is>
      </c>
      <c r="AQ81" t="inlineStr">
        <is>
          <t>Yes</t>
        </is>
      </c>
      <c r="AR81">
        <f>HYPERLINK("http://catalog.hathitrust.org/Record/002241164","HathiTrust Record")</f>
        <v/>
      </c>
      <c r="AS81">
        <f>HYPERLINK("https://creighton-primo.hosted.exlibrisgroup.com/primo-explore/search?tab=default_tab&amp;search_scope=EVERYTHING&amp;vid=01CRU&amp;lang=en_US&amp;offset=0&amp;query=any,contains,991002577299702656","Catalog Record")</f>
        <v/>
      </c>
      <c r="AT81">
        <f>HYPERLINK("http://www.worldcat.org/oclc/374924","WorldCat Record")</f>
        <v/>
      </c>
      <c r="AU81" t="inlineStr">
        <is>
          <t>451215:eng</t>
        </is>
      </c>
      <c r="AV81" t="inlineStr">
        <is>
          <t>374924</t>
        </is>
      </c>
      <c r="AW81" t="inlineStr">
        <is>
          <t>991002577299702656</t>
        </is>
      </c>
      <c r="AX81" t="inlineStr">
        <is>
          <t>991002577299702656</t>
        </is>
      </c>
      <c r="AY81" t="inlineStr">
        <is>
          <t>2262236440002656</t>
        </is>
      </c>
      <c r="AZ81" t="inlineStr">
        <is>
          <t>BOOK</t>
        </is>
      </c>
      <c r="BC81" t="inlineStr">
        <is>
          <t>32285002583077</t>
        </is>
      </c>
      <c r="BD81" t="inlineStr">
        <is>
          <t>893697973</t>
        </is>
      </c>
    </row>
    <row r="82">
      <c r="A82" t="inlineStr">
        <is>
          <t>No</t>
        </is>
      </c>
      <c r="B82" t="inlineStr">
        <is>
          <t>QB33.G7 M9 1985</t>
        </is>
      </c>
      <c r="C82" t="inlineStr">
        <is>
          <t>0                      QB 0033000G  7                  M  9           1985</t>
        </is>
      </c>
      <c r="D82" t="inlineStr">
        <is>
          <t>Under Newton's shadow : astronomical practices in the seventeenth century / Lesley Murdin.</t>
        </is>
      </c>
      <c r="F82" t="inlineStr">
        <is>
          <t>No</t>
        </is>
      </c>
      <c r="G82" t="inlineStr">
        <is>
          <t>1</t>
        </is>
      </c>
      <c r="H82" t="inlineStr">
        <is>
          <t>No</t>
        </is>
      </c>
      <c r="I82" t="inlineStr">
        <is>
          <t>No</t>
        </is>
      </c>
      <c r="J82" t="inlineStr">
        <is>
          <t>0</t>
        </is>
      </c>
      <c r="K82" t="inlineStr">
        <is>
          <t>Murdin, Lesley.</t>
        </is>
      </c>
      <c r="L82" t="inlineStr">
        <is>
          <t>Bristol : Adam Hilger, c1985.</t>
        </is>
      </c>
      <c r="M82" t="inlineStr">
        <is>
          <t>1985</t>
        </is>
      </c>
      <c r="O82" t="inlineStr">
        <is>
          <t>eng</t>
        </is>
      </c>
      <c r="P82" t="inlineStr">
        <is>
          <t>enk</t>
        </is>
      </c>
      <c r="R82" t="inlineStr">
        <is>
          <t xml:space="preserve">QB </t>
        </is>
      </c>
      <c r="S82" t="n">
        <v>3</v>
      </c>
      <c r="T82" t="n">
        <v>3</v>
      </c>
      <c r="U82" t="inlineStr">
        <is>
          <t>2000-04-25</t>
        </is>
      </c>
      <c r="V82" t="inlineStr">
        <is>
          <t>2000-04-25</t>
        </is>
      </c>
      <c r="W82" t="inlineStr">
        <is>
          <t>1992-11-16</t>
        </is>
      </c>
      <c r="X82" t="inlineStr">
        <is>
          <t>1992-11-16</t>
        </is>
      </c>
      <c r="Y82" t="n">
        <v>318</v>
      </c>
      <c r="Z82" t="n">
        <v>222</v>
      </c>
      <c r="AA82" t="n">
        <v>230</v>
      </c>
      <c r="AB82" t="n">
        <v>3</v>
      </c>
      <c r="AC82" t="n">
        <v>3</v>
      </c>
      <c r="AD82" t="n">
        <v>6</v>
      </c>
      <c r="AE82" t="n">
        <v>6</v>
      </c>
      <c r="AF82" t="n">
        <v>0</v>
      </c>
      <c r="AG82" t="n">
        <v>0</v>
      </c>
      <c r="AH82" t="n">
        <v>3</v>
      </c>
      <c r="AI82" t="n">
        <v>3</v>
      </c>
      <c r="AJ82" t="n">
        <v>2</v>
      </c>
      <c r="AK82" t="n">
        <v>2</v>
      </c>
      <c r="AL82" t="n">
        <v>2</v>
      </c>
      <c r="AM82" t="n">
        <v>2</v>
      </c>
      <c r="AN82" t="n">
        <v>0</v>
      </c>
      <c r="AO82" t="n">
        <v>0</v>
      </c>
      <c r="AP82" t="inlineStr">
        <is>
          <t>No</t>
        </is>
      </c>
      <c r="AQ82" t="inlineStr">
        <is>
          <t>Yes</t>
        </is>
      </c>
      <c r="AR82">
        <f>HYPERLINK("http://catalog.hathitrust.org/Record/006233487","HathiTrust Record")</f>
        <v/>
      </c>
      <c r="AS82">
        <f>HYPERLINK("https://creighton-primo.hosted.exlibrisgroup.com/primo-explore/search?tab=default_tab&amp;search_scope=EVERYTHING&amp;vid=01CRU&amp;lang=en_US&amp;offset=0&amp;query=any,contains,991000599719702656","Catalog Record")</f>
        <v/>
      </c>
      <c r="AT82">
        <f>HYPERLINK("http://www.worldcat.org/oclc/15631819","WorldCat Record")</f>
        <v/>
      </c>
      <c r="AU82" t="inlineStr">
        <is>
          <t>227293052:eng</t>
        </is>
      </c>
      <c r="AV82" t="inlineStr">
        <is>
          <t>15631819</t>
        </is>
      </c>
      <c r="AW82" t="inlineStr">
        <is>
          <t>991000599719702656</t>
        </is>
      </c>
      <c r="AX82" t="inlineStr">
        <is>
          <t>991000599719702656</t>
        </is>
      </c>
      <c r="AY82" t="inlineStr">
        <is>
          <t>2271237360002656</t>
        </is>
      </c>
      <c r="AZ82" t="inlineStr">
        <is>
          <t>BOOK</t>
        </is>
      </c>
      <c r="BB82" t="inlineStr">
        <is>
          <t>9780852744567</t>
        </is>
      </c>
      <c r="BC82" t="inlineStr">
        <is>
          <t>32285001431062</t>
        </is>
      </c>
      <c r="BD82" t="inlineStr">
        <is>
          <t>893884556</t>
        </is>
      </c>
    </row>
    <row r="83">
      <c r="A83" t="inlineStr">
        <is>
          <t>No</t>
        </is>
      </c>
      <c r="B83" t="inlineStr">
        <is>
          <t>QB331 .C63</t>
        </is>
      </c>
      <c r="C83" t="inlineStr">
        <is>
          <t>0                      QB 0331000C  63</t>
        </is>
      </c>
      <c r="D83" t="inlineStr">
        <is>
          <t>Gravity and the earth / [by] A. H. Cook.</t>
        </is>
      </c>
      <c r="F83" t="inlineStr">
        <is>
          <t>No</t>
        </is>
      </c>
      <c r="G83" t="inlineStr">
        <is>
          <t>1</t>
        </is>
      </c>
      <c r="H83" t="inlineStr">
        <is>
          <t>No</t>
        </is>
      </c>
      <c r="I83" t="inlineStr">
        <is>
          <t>No</t>
        </is>
      </c>
      <c r="J83" t="inlineStr">
        <is>
          <t>0</t>
        </is>
      </c>
      <c r="K83" t="inlineStr">
        <is>
          <t>Cook, Alan H.</t>
        </is>
      </c>
      <c r="L83" t="inlineStr">
        <is>
          <t>London : Wykeham Publications, 1969.</t>
        </is>
      </c>
      <c r="M83" t="inlineStr">
        <is>
          <t>1969</t>
        </is>
      </c>
      <c r="O83" t="inlineStr">
        <is>
          <t>eng</t>
        </is>
      </c>
      <c r="P83" t="inlineStr">
        <is>
          <t>enk</t>
        </is>
      </c>
      <c r="Q83" t="inlineStr">
        <is>
          <t>The Wykeham science series for schools and universities ;6</t>
        </is>
      </c>
      <c r="R83" t="inlineStr">
        <is>
          <t xml:space="preserve">QB </t>
        </is>
      </c>
      <c r="S83" t="n">
        <v>5</v>
      </c>
      <c r="T83" t="n">
        <v>5</v>
      </c>
      <c r="U83" t="inlineStr">
        <is>
          <t>1996-11-24</t>
        </is>
      </c>
      <c r="V83" t="inlineStr">
        <is>
          <t>1996-11-24</t>
        </is>
      </c>
      <c r="W83" t="inlineStr">
        <is>
          <t>1994-11-28</t>
        </is>
      </c>
      <c r="X83" t="inlineStr">
        <is>
          <t>1994-11-28</t>
        </is>
      </c>
      <c r="Y83" t="n">
        <v>498</v>
      </c>
      <c r="Z83" t="n">
        <v>351</v>
      </c>
      <c r="AA83" t="n">
        <v>357</v>
      </c>
      <c r="AB83" t="n">
        <v>4</v>
      </c>
      <c r="AC83" t="n">
        <v>4</v>
      </c>
      <c r="AD83" t="n">
        <v>19</v>
      </c>
      <c r="AE83" t="n">
        <v>19</v>
      </c>
      <c r="AF83" t="n">
        <v>5</v>
      </c>
      <c r="AG83" t="n">
        <v>5</v>
      </c>
      <c r="AH83" t="n">
        <v>5</v>
      </c>
      <c r="AI83" t="n">
        <v>5</v>
      </c>
      <c r="AJ83" t="n">
        <v>9</v>
      </c>
      <c r="AK83" t="n">
        <v>9</v>
      </c>
      <c r="AL83" t="n">
        <v>3</v>
      </c>
      <c r="AM83" t="n">
        <v>3</v>
      </c>
      <c r="AN83" t="n">
        <v>0</v>
      </c>
      <c r="AO83" t="n">
        <v>0</v>
      </c>
      <c r="AP83" t="inlineStr">
        <is>
          <t>No</t>
        </is>
      </c>
      <c r="AQ83" t="inlineStr">
        <is>
          <t>Yes</t>
        </is>
      </c>
      <c r="AR83">
        <f>HYPERLINK("http://catalog.hathitrust.org/Record/001476442","HathiTrust Record")</f>
        <v/>
      </c>
      <c r="AS83">
        <f>HYPERLINK("https://creighton-primo.hosted.exlibrisgroup.com/primo-explore/search?tab=default_tab&amp;search_scope=EVERYTHING&amp;vid=01CRU&amp;lang=en_US&amp;offset=0&amp;query=any,contains,991000615939702656","Catalog Record")</f>
        <v/>
      </c>
      <c r="AT83">
        <f>HYPERLINK("http://www.worldcat.org/oclc/101672","WorldCat Record")</f>
        <v/>
      </c>
      <c r="AU83" t="inlineStr">
        <is>
          <t>1172308:eng</t>
        </is>
      </c>
      <c r="AV83" t="inlineStr">
        <is>
          <t>101672</t>
        </is>
      </c>
      <c r="AW83" t="inlineStr">
        <is>
          <t>991000615939702656</t>
        </is>
      </c>
      <c r="AX83" t="inlineStr">
        <is>
          <t>991000615939702656</t>
        </is>
      </c>
      <c r="AY83" t="inlineStr">
        <is>
          <t>2261349250002656</t>
        </is>
      </c>
      <c r="AZ83" t="inlineStr">
        <is>
          <t>BOOK</t>
        </is>
      </c>
      <c r="BB83" t="inlineStr">
        <is>
          <t>9780851090702</t>
        </is>
      </c>
      <c r="BC83" t="inlineStr">
        <is>
          <t>32285001967941</t>
        </is>
      </c>
      <c r="BD83" t="inlineStr">
        <is>
          <t>893884579</t>
        </is>
      </c>
    </row>
    <row r="84">
      <c r="A84" t="inlineStr">
        <is>
          <t>No</t>
        </is>
      </c>
      <c r="B84" t="inlineStr">
        <is>
          <t>QB331 .N37 1982</t>
        </is>
      </c>
      <c r="C84" t="inlineStr">
        <is>
          <t>0                      QB 0331000N  37          1982</t>
        </is>
      </c>
      <c r="D84" t="inlineStr">
        <is>
          <t>The lighter side of gravity / Jayant V. Narlikar.</t>
        </is>
      </c>
      <c r="F84" t="inlineStr">
        <is>
          <t>No</t>
        </is>
      </c>
      <c r="G84" t="inlineStr">
        <is>
          <t>1</t>
        </is>
      </c>
      <c r="H84" t="inlineStr">
        <is>
          <t>No</t>
        </is>
      </c>
      <c r="I84" t="inlineStr">
        <is>
          <t>No</t>
        </is>
      </c>
      <c r="J84" t="inlineStr">
        <is>
          <t>0</t>
        </is>
      </c>
      <c r="K84" t="inlineStr">
        <is>
          <t>Narlikar, Jayant Vishnu, 1938-</t>
        </is>
      </c>
      <c r="L84" t="inlineStr">
        <is>
          <t>San Francisco : W.H. Freeman, c1982.</t>
        </is>
      </c>
      <c r="M84" t="inlineStr">
        <is>
          <t>1982</t>
        </is>
      </c>
      <c r="O84" t="inlineStr">
        <is>
          <t>eng</t>
        </is>
      </c>
      <c r="P84" t="inlineStr">
        <is>
          <t>cau</t>
        </is>
      </c>
      <c r="R84" t="inlineStr">
        <is>
          <t xml:space="preserve">QB </t>
        </is>
      </c>
      <c r="S84" t="n">
        <v>12</v>
      </c>
      <c r="T84" t="n">
        <v>12</v>
      </c>
      <c r="U84" t="inlineStr">
        <is>
          <t>1996-11-24</t>
        </is>
      </c>
      <c r="V84" t="inlineStr">
        <is>
          <t>1996-11-24</t>
        </is>
      </c>
      <c r="W84" t="inlineStr">
        <is>
          <t>1992-11-18</t>
        </is>
      </c>
      <c r="X84" t="inlineStr">
        <is>
          <t>1992-11-18</t>
        </is>
      </c>
      <c r="Y84" t="n">
        <v>891</v>
      </c>
      <c r="Z84" t="n">
        <v>754</v>
      </c>
      <c r="AA84" t="n">
        <v>960</v>
      </c>
      <c r="AB84" t="n">
        <v>5</v>
      </c>
      <c r="AC84" t="n">
        <v>6</v>
      </c>
      <c r="AD84" t="n">
        <v>20</v>
      </c>
      <c r="AE84" t="n">
        <v>31</v>
      </c>
      <c r="AF84" t="n">
        <v>9</v>
      </c>
      <c r="AG84" t="n">
        <v>12</v>
      </c>
      <c r="AH84" t="n">
        <v>3</v>
      </c>
      <c r="AI84" t="n">
        <v>7</v>
      </c>
      <c r="AJ84" t="n">
        <v>7</v>
      </c>
      <c r="AK84" t="n">
        <v>13</v>
      </c>
      <c r="AL84" t="n">
        <v>4</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HYPERLINK("https://creighton-primo.hosted.exlibrisgroup.com/primo-explore/search?tab=default_tab&amp;search_scope=EVERYTHING&amp;vid=01CRU&amp;lang=en_US&amp;offset=0&amp;query=any,contains,991005193049702656","Catalog Record")</f>
        <v/>
      </c>
      <c r="AT84">
        <f>HYPERLINK("http://www.worldcat.org/oclc/8031953","WorldCat Record")</f>
        <v/>
      </c>
      <c r="AU84" t="inlineStr">
        <is>
          <t>447278:eng</t>
        </is>
      </c>
      <c r="AV84" t="inlineStr">
        <is>
          <t>8031953</t>
        </is>
      </c>
      <c r="AW84" t="inlineStr">
        <is>
          <t>991005193049702656</t>
        </is>
      </c>
      <c r="AX84" t="inlineStr">
        <is>
          <t>991005193049702656</t>
        </is>
      </c>
      <c r="AY84" t="inlineStr">
        <is>
          <t>2259588460002656</t>
        </is>
      </c>
      <c r="AZ84" t="inlineStr">
        <is>
          <t>BOOK</t>
        </is>
      </c>
      <c r="BB84" t="inlineStr">
        <is>
          <t>9780716713432</t>
        </is>
      </c>
      <c r="BC84" t="inlineStr">
        <is>
          <t>32285005174221</t>
        </is>
      </c>
      <c r="BD84" t="inlineStr">
        <is>
          <t>893896034</t>
        </is>
      </c>
    </row>
    <row r="85">
      <c r="A85" t="inlineStr">
        <is>
          <t>No</t>
        </is>
      </c>
      <c r="B85" t="inlineStr">
        <is>
          <t>QB331 .T7313 1983</t>
        </is>
      </c>
      <c r="C85" t="inlineStr">
        <is>
          <t>0                      QB 0331000T  7313        1983</t>
        </is>
      </c>
      <c r="D85" t="inlineStr">
        <is>
          <t>Gravity / Chuji Tsuboi.</t>
        </is>
      </c>
      <c r="F85" t="inlineStr">
        <is>
          <t>No</t>
        </is>
      </c>
      <c r="G85" t="inlineStr">
        <is>
          <t>1</t>
        </is>
      </c>
      <c r="H85" t="inlineStr">
        <is>
          <t>No</t>
        </is>
      </c>
      <c r="I85" t="inlineStr">
        <is>
          <t>No</t>
        </is>
      </c>
      <c r="J85" t="inlineStr">
        <is>
          <t>0</t>
        </is>
      </c>
      <c r="K85" t="inlineStr">
        <is>
          <t>Tsuboi, Chūji, 1902-1982.</t>
        </is>
      </c>
      <c r="L85" t="inlineStr">
        <is>
          <t>London ; Boston : G. Allen &amp; Unwin, 1983.</t>
        </is>
      </c>
      <c r="M85" t="inlineStr">
        <is>
          <t>1983</t>
        </is>
      </c>
      <c r="O85" t="inlineStr">
        <is>
          <t>eng</t>
        </is>
      </c>
      <c r="P85" t="inlineStr">
        <is>
          <t>enk</t>
        </is>
      </c>
      <c r="R85" t="inlineStr">
        <is>
          <t xml:space="preserve">QB </t>
        </is>
      </c>
      <c r="S85" t="n">
        <v>12</v>
      </c>
      <c r="T85" t="n">
        <v>12</v>
      </c>
      <c r="U85" t="inlineStr">
        <is>
          <t>2009-04-06</t>
        </is>
      </c>
      <c r="V85" t="inlineStr">
        <is>
          <t>2009-04-06</t>
        </is>
      </c>
      <c r="W85" t="inlineStr">
        <is>
          <t>1992-11-18</t>
        </is>
      </c>
      <c r="X85" t="inlineStr">
        <is>
          <t>1992-11-18</t>
        </is>
      </c>
      <c r="Y85" t="n">
        <v>454</v>
      </c>
      <c r="Z85" t="n">
        <v>348</v>
      </c>
      <c r="AA85" t="n">
        <v>350</v>
      </c>
      <c r="AB85" t="n">
        <v>4</v>
      </c>
      <c r="AC85" t="n">
        <v>4</v>
      </c>
      <c r="AD85" t="n">
        <v>16</v>
      </c>
      <c r="AE85" t="n">
        <v>16</v>
      </c>
      <c r="AF85" t="n">
        <v>7</v>
      </c>
      <c r="AG85" t="n">
        <v>7</v>
      </c>
      <c r="AH85" t="n">
        <v>4</v>
      </c>
      <c r="AI85" t="n">
        <v>4</v>
      </c>
      <c r="AJ85" t="n">
        <v>6</v>
      </c>
      <c r="AK85" t="n">
        <v>6</v>
      </c>
      <c r="AL85" t="n">
        <v>3</v>
      </c>
      <c r="AM85" t="n">
        <v>3</v>
      </c>
      <c r="AN85" t="n">
        <v>0</v>
      </c>
      <c r="AO85" t="n">
        <v>0</v>
      </c>
      <c r="AP85" t="inlineStr">
        <is>
          <t>No</t>
        </is>
      </c>
      <c r="AQ85" t="inlineStr">
        <is>
          <t>Yes</t>
        </is>
      </c>
      <c r="AR85">
        <f>HYPERLINK("http://catalog.hathitrust.org/Record/000107666","HathiTrust Record")</f>
        <v/>
      </c>
      <c r="AS85">
        <f>HYPERLINK("https://creighton-primo.hosted.exlibrisgroup.com/primo-explore/search?tab=default_tab&amp;search_scope=EVERYTHING&amp;vid=01CRU&amp;lang=en_US&amp;offset=0&amp;query=any,contains,991000037079702656","Catalog Record")</f>
        <v/>
      </c>
      <c r="AT85">
        <f>HYPERLINK("http://www.worldcat.org/oclc/8627979","WorldCat Record")</f>
        <v/>
      </c>
      <c r="AU85" t="inlineStr">
        <is>
          <t>32567117:eng</t>
        </is>
      </c>
      <c r="AV85" t="inlineStr">
        <is>
          <t>8627979</t>
        </is>
      </c>
      <c r="AW85" t="inlineStr">
        <is>
          <t>991000037079702656</t>
        </is>
      </c>
      <c r="AX85" t="inlineStr">
        <is>
          <t>991000037079702656</t>
        </is>
      </c>
      <c r="AY85" t="inlineStr">
        <is>
          <t>2261505820002656</t>
        </is>
      </c>
      <c r="AZ85" t="inlineStr">
        <is>
          <t>BOOK</t>
        </is>
      </c>
      <c r="BB85" t="inlineStr">
        <is>
          <t>9780045510733</t>
        </is>
      </c>
      <c r="BC85" t="inlineStr">
        <is>
          <t>32285001432490</t>
        </is>
      </c>
      <c r="BD85" t="inlineStr">
        <is>
          <t>893877737</t>
        </is>
      </c>
    </row>
    <row r="86">
      <c r="A86" t="inlineStr">
        <is>
          <t>No</t>
        </is>
      </c>
      <c r="B86" t="inlineStr">
        <is>
          <t>QB331 .W47</t>
        </is>
      </c>
      <c r="C86" t="inlineStr">
        <is>
          <t>0                      QB 0331000W  47</t>
        </is>
      </c>
      <c r="D86" t="inlineStr">
        <is>
          <t>Gravity, particles, and astrophysics : a review of modern theories of gravity and G-variability, and their relation to elementary particle physics and astrophysics / Paul S. Wesson.</t>
        </is>
      </c>
      <c r="F86" t="inlineStr">
        <is>
          <t>No</t>
        </is>
      </c>
      <c r="G86" t="inlineStr">
        <is>
          <t>1</t>
        </is>
      </c>
      <c r="H86" t="inlineStr">
        <is>
          <t>No</t>
        </is>
      </c>
      <c r="I86" t="inlineStr">
        <is>
          <t>No</t>
        </is>
      </c>
      <c r="J86" t="inlineStr">
        <is>
          <t>0</t>
        </is>
      </c>
      <c r="K86" t="inlineStr">
        <is>
          <t>Wesson, Paul S.</t>
        </is>
      </c>
      <c r="L86" t="inlineStr">
        <is>
          <t>Dordrecht, Holland ; Boston : D. Reidel ; Hingham, MA : distributed in the U.S.A. and Canada by Kluwer Boston, c1980.</t>
        </is>
      </c>
      <c r="M86" t="inlineStr">
        <is>
          <t>1980</t>
        </is>
      </c>
      <c r="O86" t="inlineStr">
        <is>
          <t>eng</t>
        </is>
      </c>
      <c r="P86" t="inlineStr">
        <is>
          <t xml:space="preserve">ne </t>
        </is>
      </c>
      <c r="Q86" t="inlineStr">
        <is>
          <t>Astrophysics and space science library ; v. 79</t>
        </is>
      </c>
      <c r="R86" t="inlineStr">
        <is>
          <t xml:space="preserve">QB </t>
        </is>
      </c>
      <c r="S86" t="n">
        <v>6</v>
      </c>
      <c r="T86" t="n">
        <v>6</v>
      </c>
      <c r="U86" t="inlineStr">
        <is>
          <t>2009-04-06</t>
        </is>
      </c>
      <c r="V86" t="inlineStr">
        <is>
          <t>2009-04-06</t>
        </is>
      </c>
      <c r="W86" t="inlineStr">
        <is>
          <t>1992-11-18</t>
        </is>
      </c>
      <c r="X86" t="inlineStr">
        <is>
          <t>1992-11-18</t>
        </is>
      </c>
      <c r="Y86" t="n">
        <v>292</v>
      </c>
      <c r="Z86" t="n">
        <v>180</v>
      </c>
      <c r="AA86" t="n">
        <v>193</v>
      </c>
      <c r="AB86" t="n">
        <v>2</v>
      </c>
      <c r="AC86" t="n">
        <v>2</v>
      </c>
      <c r="AD86" t="n">
        <v>6</v>
      </c>
      <c r="AE86" t="n">
        <v>6</v>
      </c>
      <c r="AF86" t="n">
        <v>3</v>
      </c>
      <c r="AG86" t="n">
        <v>3</v>
      </c>
      <c r="AH86" t="n">
        <v>2</v>
      </c>
      <c r="AI86" t="n">
        <v>2</v>
      </c>
      <c r="AJ86" t="n">
        <v>3</v>
      </c>
      <c r="AK86" t="n">
        <v>3</v>
      </c>
      <c r="AL86" t="n">
        <v>1</v>
      </c>
      <c r="AM86" t="n">
        <v>1</v>
      </c>
      <c r="AN86" t="n">
        <v>0</v>
      </c>
      <c r="AO86" t="n">
        <v>0</v>
      </c>
      <c r="AP86" t="inlineStr">
        <is>
          <t>No</t>
        </is>
      </c>
      <c r="AQ86" t="inlineStr">
        <is>
          <t>Yes</t>
        </is>
      </c>
      <c r="AR86">
        <f>HYPERLINK("http://catalog.hathitrust.org/Record/000181995","HathiTrust Record")</f>
        <v/>
      </c>
      <c r="AS86">
        <f>HYPERLINK("https://creighton-primo.hosted.exlibrisgroup.com/primo-explore/search?tab=default_tab&amp;search_scope=EVERYTHING&amp;vid=01CRU&amp;lang=en_US&amp;offset=0&amp;query=any,contains,991004955029702656","Catalog Record")</f>
        <v/>
      </c>
      <c r="AT86">
        <f>HYPERLINK("http://www.worldcat.org/oclc/6277682","WorldCat Record")</f>
        <v/>
      </c>
      <c r="AU86" t="inlineStr">
        <is>
          <t>364475948:eng</t>
        </is>
      </c>
      <c r="AV86" t="inlineStr">
        <is>
          <t>6277682</t>
        </is>
      </c>
      <c r="AW86" t="inlineStr">
        <is>
          <t>991004955029702656</t>
        </is>
      </c>
      <c r="AX86" t="inlineStr">
        <is>
          <t>991004955029702656</t>
        </is>
      </c>
      <c r="AY86" t="inlineStr">
        <is>
          <t>2268752510002656</t>
        </is>
      </c>
      <c r="AZ86" t="inlineStr">
        <is>
          <t>BOOK</t>
        </is>
      </c>
      <c r="BB86" t="inlineStr">
        <is>
          <t>9789027710833</t>
        </is>
      </c>
      <c r="BC86" t="inlineStr">
        <is>
          <t>32285001432508</t>
        </is>
      </c>
      <c r="BD86" t="inlineStr">
        <is>
          <t>893883149</t>
        </is>
      </c>
    </row>
    <row r="87">
      <c r="A87" t="inlineStr">
        <is>
          <t>No</t>
        </is>
      </c>
      <c r="B87" t="inlineStr">
        <is>
          <t>QB334 .W49 1990</t>
        </is>
      </c>
      <c r="C87" t="inlineStr">
        <is>
          <t>0                      QB 0334000W  49          1990</t>
        </is>
      </c>
      <c r="D87" t="inlineStr">
        <is>
          <t>A journey into gravity and spacetime / John Archibald Wheeler.</t>
        </is>
      </c>
      <c r="F87" t="inlineStr">
        <is>
          <t>No</t>
        </is>
      </c>
      <c r="G87" t="inlineStr">
        <is>
          <t>1</t>
        </is>
      </c>
      <c r="H87" t="inlineStr">
        <is>
          <t>No</t>
        </is>
      </c>
      <c r="I87" t="inlineStr">
        <is>
          <t>No</t>
        </is>
      </c>
      <c r="J87" t="inlineStr">
        <is>
          <t>0</t>
        </is>
      </c>
      <c r="K87" t="inlineStr">
        <is>
          <t>Wheeler, John Archibald, 1911-2008.</t>
        </is>
      </c>
      <c r="L87" t="inlineStr">
        <is>
          <t>New York : Scientific American Library : Distributed by W. H. Freeman and Co., c1990.</t>
        </is>
      </c>
      <c r="M87" t="inlineStr">
        <is>
          <t>1990</t>
        </is>
      </c>
      <c r="O87" t="inlineStr">
        <is>
          <t>eng</t>
        </is>
      </c>
      <c r="P87" t="inlineStr">
        <is>
          <t>nyu</t>
        </is>
      </c>
      <c r="Q87" t="inlineStr">
        <is>
          <t>Scientific American Library series ; no. 31</t>
        </is>
      </c>
      <c r="R87" t="inlineStr">
        <is>
          <t xml:space="preserve">QB </t>
        </is>
      </c>
      <c r="S87" t="n">
        <v>8</v>
      </c>
      <c r="T87" t="n">
        <v>8</v>
      </c>
      <c r="U87" t="inlineStr">
        <is>
          <t>2009-04-06</t>
        </is>
      </c>
      <c r="V87" t="inlineStr">
        <is>
          <t>2009-04-06</t>
        </is>
      </c>
      <c r="W87" t="inlineStr">
        <is>
          <t>1991-04-03</t>
        </is>
      </c>
      <c r="X87" t="inlineStr">
        <is>
          <t>1991-04-03</t>
        </is>
      </c>
      <c r="Y87" t="n">
        <v>1231</v>
      </c>
      <c r="Z87" t="n">
        <v>1059</v>
      </c>
      <c r="AA87" t="n">
        <v>1115</v>
      </c>
      <c r="AB87" t="n">
        <v>8</v>
      </c>
      <c r="AC87" t="n">
        <v>8</v>
      </c>
      <c r="AD87" t="n">
        <v>40</v>
      </c>
      <c r="AE87" t="n">
        <v>41</v>
      </c>
      <c r="AF87" t="n">
        <v>15</v>
      </c>
      <c r="AG87" t="n">
        <v>16</v>
      </c>
      <c r="AH87" t="n">
        <v>8</v>
      </c>
      <c r="AI87" t="n">
        <v>8</v>
      </c>
      <c r="AJ87" t="n">
        <v>22</v>
      </c>
      <c r="AK87" t="n">
        <v>22</v>
      </c>
      <c r="AL87" t="n">
        <v>7</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HYPERLINK("https://creighton-primo.hosted.exlibrisgroup.com/primo-explore/search?tab=default_tab&amp;search_scope=EVERYTHING&amp;vid=01CRU&amp;lang=en_US&amp;offset=0&amp;query=any,contains,991001585749702656","Catalog Record")</f>
        <v/>
      </c>
      <c r="AT87">
        <f>HYPERLINK("http://www.worldcat.org/oclc/20528681","WorldCat Record")</f>
        <v/>
      </c>
      <c r="AU87" t="inlineStr">
        <is>
          <t>134891647:eng</t>
        </is>
      </c>
      <c r="AV87" t="inlineStr">
        <is>
          <t>20528681</t>
        </is>
      </c>
      <c r="AW87" t="inlineStr">
        <is>
          <t>991001585749702656</t>
        </is>
      </c>
      <c r="AX87" t="inlineStr">
        <is>
          <t>991001585749702656</t>
        </is>
      </c>
      <c r="AY87" t="inlineStr">
        <is>
          <t>2264440710002656</t>
        </is>
      </c>
      <c r="AZ87" t="inlineStr">
        <is>
          <t>BOOK</t>
        </is>
      </c>
      <c r="BB87" t="inlineStr">
        <is>
          <t>9780716750161</t>
        </is>
      </c>
      <c r="BC87" t="inlineStr">
        <is>
          <t>32285000514579</t>
        </is>
      </c>
      <c r="BD87" t="inlineStr">
        <is>
          <t>893621478</t>
        </is>
      </c>
    </row>
    <row r="88">
      <c r="A88" t="inlineStr">
        <is>
          <t>No</t>
        </is>
      </c>
      <c r="B88" t="inlineStr">
        <is>
          <t>QB341 .D38</t>
        </is>
      </c>
      <c r="C88" t="inlineStr">
        <is>
          <t>0                      QB 0341000D  38</t>
        </is>
      </c>
      <c r="D88" t="inlineStr">
        <is>
          <t>The search for gravity waves / P. C. W. Davies.</t>
        </is>
      </c>
      <c r="F88" t="inlineStr">
        <is>
          <t>No</t>
        </is>
      </c>
      <c r="G88" t="inlineStr">
        <is>
          <t>1</t>
        </is>
      </c>
      <c r="H88" t="inlineStr">
        <is>
          <t>No</t>
        </is>
      </c>
      <c r="I88" t="inlineStr">
        <is>
          <t>No</t>
        </is>
      </c>
      <c r="J88" t="inlineStr">
        <is>
          <t>0</t>
        </is>
      </c>
      <c r="K88" t="inlineStr">
        <is>
          <t>Davies, P. C. W.</t>
        </is>
      </c>
      <c r="L88" t="inlineStr">
        <is>
          <t>Cambridge [Eng.] ; New York : Cambridge University Press, 1980.</t>
        </is>
      </c>
      <c r="M88" t="inlineStr">
        <is>
          <t>1980</t>
        </is>
      </c>
      <c r="O88" t="inlineStr">
        <is>
          <t>eng</t>
        </is>
      </c>
      <c r="P88" t="inlineStr">
        <is>
          <t>enk</t>
        </is>
      </c>
      <c r="R88" t="inlineStr">
        <is>
          <t xml:space="preserve">QB </t>
        </is>
      </c>
      <c r="S88" t="n">
        <v>9</v>
      </c>
      <c r="T88" t="n">
        <v>9</v>
      </c>
      <c r="U88" t="inlineStr">
        <is>
          <t>2005-04-26</t>
        </is>
      </c>
      <c r="V88" t="inlineStr">
        <is>
          <t>2005-04-26</t>
        </is>
      </c>
      <c r="W88" t="inlineStr">
        <is>
          <t>1992-02-19</t>
        </is>
      </c>
      <c r="X88" t="inlineStr">
        <is>
          <t>1992-02-19</t>
        </is>
      </c>
      <c r="Y88" t="n">
        <v>727</v>
      </c>
      <c r="Z88" t="n">
        <v>566</v>
      </c>
      <c r="AA88" t="n">
        <v>572</v>
      </c>
      <c r="AB88" t="n">
        <v>7</v>
      </c>
      <c r="AC88" t="n">
        <v>7</v>
      </c>
      <c r="AD88" t="n">
        <v>19</v>
      </c>
      <c r="AE88" t="n">
        <v>19</v>
      </c>
      <c r="AF88" t="n">
        <v>4</v>
      </c>
      <c r="AG88" t="n">
        <v>4</v>
      </c>
      <c r="AH88" t="n">
        <v>4</v>
      </c>
      <c r="AI88" t="n">
        <v>4</v>
      </c>
      <c r="AJ88" t="n">
        <v>8</v>
      </c>
      <c r="AK88" t="n">
        <v>8</v>
      </c>
      <c r="AL88" t="n">
        <v>6</v>
      </c>
      <c r="AM88" t="n">
        <v>6</v>
      </c>
      <c r="AN88" t="n">
        <v>0</v>
      </c>
      <c r="AO88" t="n">
        <v>0</v>
      </c>
      <c r="AP88" t="inlineStr">
        <is>
          <t>No</t>
        </is>
      </c>
      <c r="AQ88" t="inlineStr">
        <is>
          <t>No</t>
        </is>
      </c>
      <c r="AS88">
        <f>HYPERLINK("https://creighton-primo.hosted.exlibrisgroup.com/primo-explore/search?tab=default_tab&amp;search_scope=EVERYTHING&amp;vid=01CRU&amp;lang=en_US&amp;offset=0&amp;query=any,contains,991004948749702656","Catalog Record")</f>
        <v/>
      </c>
      <c r="AT88">
        <f>HYPERLINK("http://www.worldcat.org/oclc/6223524","WorldCat Record")</f>
        <v/>
      </c>
      <c r="AU88" t="inlineStr">
        <is>
          <t>9381628699:eng</t>
        </is>
      </c>
      <c r="AV88" t="inlineStr">
        <is>
          <t>6223524</t>
        </is>
      </c>
      <c r="AW88" t="inlineStr">
        <is>
          <t>991004948749702656</t>
        </is>
      </c>
      <c r="AX88" t="inlineStr">
        <is>
          <t>991004948749702656</t>
        </is>
      </c>
      <c r="AY88" t="inlineStr">
        <is>
          <t>2268412500002656</t>
        </is>
      </c>
      <c r="AZ88" t="inlineStr">
        <is>
          <t>BOOK</t>
        </is>
      </c>
      <c r="BB88" t="inlineStr">
        <is>
          <t>9780521231978</t>
        </is>
      </c>
      <c r="BC88" t="inlineStr">
        <is>
          <t>32285000971464</t>
        </is>
      </c>
      <c r="BD88" t="inlineStr">
        <is>
          <t>893807655</t>
        </is>
      </c>
    </row>
    <row r="89">
      <c r="A89" t="inlineStr">
        <is>
          <t>No</t>
        </is>
      </c>
      <c r="B89" t="inlineStr">
        <is>
          <t>QB35 .K613 1973</t>
        </is>
      </c>
      <c r="C89" t="inlineStr">
        <is>
          <t>0                      QB 0035000K  613         1973</t>
        </is>
      </c>
      <c r="D89" t="inlineStr">
        <is>
          <t>The astronomical revolution : Copernicus, Kepler, Borelli / translated by R. E. W. Maddison.</t>
        </is>
      </c>
      <c r="F89" t="inlineStr">
        <is>
          <t>No</t>
        </is>
      </c>
      <c r="G89" t="inlineStr">
        <is>
          <t>1</t>
        </is>
      </c>
      <c r="H89" t="inlineStr">
        <is>
          <t>No</t>
        </is>
      </c>
      <c r="I89" t="inlineStr">
        <is>
          <t>No</t>
        </is>
      </c>
      <c r="J89" t="inlineStr">
        <is>
          <t>0</t>
        </is>
      </c>
      <c r="K89" t="inlineStr">
        <is>
          <t>Koyré, Alexandre, 1892-1964.</t>
        </is>
      </c>
      <c r="L89" t="inlineStr">
        <is>
          <t>Paris : Hermann ; Ithaca, N.Y. : Cornell University Press, [1973]</t>
        </is>
      </c>
      <c r="M89" t="inlineStr">
        <is>
          <t>1973</t>
        </is>
      </c>
      <c r="O89" t="inlineStr">
        <is>
          <t>eng</t>
        </is>
      </c>
      <c r="P89" t="inlineStr">
        <is>
          <t xml:space="preserve">fr </t>
        </is>
      </c>
      <c r="R89" t="inlineStr">
        <is>
          <t xml:space="preserve">QB </t>
        </is>
      </c>
      <c r="S89" t="n">
        <v>11</v>
      </c>
      <c r="T89" t="n">
        <v>11</v>
      </c>
      <c r="U89" t="inlineStr">
        <is>
          <t>1996-11-03</t>
        </is>
      </c>
      <c r="V89" t="inlineStr">
        <is>
          <t>1996-11-03</t>
        </is>
      </c>
      <c r="W89" t="inlineStr">
        <is>
          <t>1990-04-02</t>
        </is>
      </c>
      <c r="X89" t="inlineStr">
        <is>
          <t>1990-04-02</t>
        </is>
      </c>
      <c r="Y89" t="n">
        <v>585</v>
      </c>
      <c r="Z89" t="n">
        <v>481</v>
      </c>
      <c r="AA89" t="n">
        <v>577</v>
      </c>
      <c r="AB89" t="n">
        <v>3</v>
      </c>
      <c r="AC89" t="n">
        <v>4</v>
      </c>
      <c r="AD89" t="n">
        <v>22</v>
      </c>
      <c r="AE89" t="n">
        <v>27</v>
      </c>
      <c r="AF89" t="n">
        <v>8</v>
      </c>
      <c r="AG89" t="n">
        <v>9</v>
      </c>
      <c r="AH89" t="n">
        <v>5</v>
      </c>
      <c r="AI89" t="n">
        <v>6</v>
      </c>
      <c r="AJ89" t="n">
        <v>12</v>
      </c>
      <c r="AK89" t="n">
        <v>15</v>
      </c>
      <c r="AL89" t="n">
        <v>2</v>
      </c>
      <c r="AM89" t="n">
        <v>3</v>
      </c>
      <c r="AN89" t="n">
        <v>0</v>
      </c>
      <c r="AO89" t="n">
        <v>0</v>
      </c>
      <c r="AP89" t="inlineStr">
        <is>
          <t>No</t>
        </is>
      </c>
      <c r="AQ89" t="inlineStr">
        <is>
          <t>Yes</t>
        </is>
      </c>
      <c r="AR89">
        <f>HYPERLINK("http://catalog.hathitrust.org/Record/004392994","HathiTrust Record")</f>
        <v/>
      </c>
      <c r="AS89">
        <f>HYPERLINK("https://creighton-primo.hosted.exlibrisgroup.com/primo-explore/search?tab=default_tab&amp;search_scope=EVERYTHING&amp;vid=01CRU&amp;lang=en_US&amp;offset=0&amp;query=any,contains,991003205159702656","Catalog Record")</f>
        <v/>
      </c>
      <c r="AT89">
        <f>HYPERLINK("http://www.worldcat.org/oclc/730506","WorldCat Record")</f>
        <v/>
      </c>
      <c r="AU89" t="inlineStr">
        <is>
          <t>1752834:eng</t>
        </is>
      </c>
      <c r="AV89" t="inlineStr">
        <is>
          <t>730506</t>
        </is>
      </c>
      <c r="AW89" t="inlineStr">
        <is>
          <t>991003205159702656</t>
        </is>
      </c>
      <c r="AX89" t="inlineStr">
        <is>
          <t>991003205159702656</t>
        </is>
      </c>
      <c r="AY89" t="inlineStr">
        <is>
          <t>2270477550002656</t>
        </is>
      </c>
      <c r="AZ89" t="inlineStr">
        <is>
          <t>BOOK</t>
        </is>
      </c>
      <c r="BB89" t="inlineStr">
        <is>
          <t>9780801405044</t>
        </is>
      </c>
      <c r="BC89" t="inlineStr">
        <is>
          <t>32285000100072</t>
        </is>
      </c>
      <c r="BD89" t="inlineStr">
        <is>
          <t>893410005</t>
        </is>
      </c>
    </row>
    <row r="90">
      <c r="A90" t="inlineStr">
        <is>
          <t>No</t>
        </is>
      </c>
      <c r="B90" t="inlineStr">
        <is>
          <t>QB35 .L82 1960</t>
        </is>
      </c>
      <c r="C90" t="inlineStr">
        <is>
          <t>0                      QB 0035000L  82          1960</t>
        </is>
      </c>
      <c r="D90" t="inlineStr">
        <is>
          <t>Pioneers of science : and the development of their scientific theories.</t>
        </is>
      </c>
      <c r="F90" t="inlineStr">
        <is>
          <t>No</t>
        </is>
      </c>
      <c r="G90" t="inlineStr">
        <is>
          <t>1</t>
        </is>
      </c>
      <c r="H90" t="inlineStr">
        <is>
          <t>No</t>
        </is>
      </c>
      <c r="I90" t="inlineStr">
        <is>
          <t>No</t>
        </is>
      </c>
      <c r="J90" t="inlineStr">
        <is>
          <t>0</t>
        </is>
      </c>
      <c r="K90" t="inlineStr">
        <is>
          <t>Lodge, Oliver, Sir, 1851-1940.</t>
        </is>
      </c>
      <c r="L90" t="inlineStr">
        <is>
          <t>New York : Dover Publications, [1960]</t>
        </is>
      </c>
      <c r="M90" t="inlineStr">
        <is>
          <t>1960</t>
        </is>
      </c>
      <c r="O90" t="inlineStr">
        <is>
          <t>eng</t>
        </is>
      </c>
      <c r="P90" t="inlineStr">
        <is>
          <t>nyu</t>
        </is>
      </c>
      <c r="R90" t="inlineStr">
        <is>
          <t xml:space="preserve">QB </t>
        </is>
      </c>
      <c r="S90" t="n">
        <v>7</v>
      </c>
      <c r="T90" t="n">
        <v>7</v>
      </c>
      <c r="U90" t="inlineStr">
        <is>
          <t>1998-12-01</t>
        </is>
      </c>
      <c r="V90" t="inlineStr">
        <is>
          <t>1998-12-01</t>
        </is>
      </c>
      <c r="W90" t="inlineStr">
        <is>
          <t>1994-11-28</t>
        </is>
      </c>
      <c r="X90" t="inlineStr">
        <is>
          <t>1994-11-28</t>
        </is>
      </c>
      <c r="Y90" t="n">
        <v>469</v>
      </c>
      <c r="Z90" t="n">
        <v>409</v>
      </c>
      <c r="AA90" t="n">
        <v>417</v>
      </c>
      <c r="AB90" t="n">
        <v>3</v>
      </c>
      <c r="AC90" t="n">
        <v>3</v>
      </c>
      <c r="AD90" t="n">
        <v>16</v>
      </c>
      <c r="AE90" t="n">
        <v>16</v>
      </c>
      <c r="AF90" t="n">
        <v>7</v>
      </c>
      <c r="AG90" t="n">
        <v>7</v>
      </c>
      <c r="AH90" t="n">
        <v>2</v>
      </c>
      <c r="AI90" t="n">
        <v>2</v>
      </c>
      <c r="AJ90" t="n">
        <v>7</v>
      </c>
      <c r="AK90" t="n">
        <v>7</v>
      </c>
      <c r="AL90" t="n">
        <v>2</v>
      </c>
      <c r="AM90" t="n">
        <v>2</v>
      </c>
      <c r="AN90" t="n">
        <v>0</v>
      </c>
      <c r="AO90" t="n">
        <v>0</v>
      </c>
      <c r="AP90" t="inlineStr">
        <is>
          <t>Yes</t>
        </is>
      </c>
      <c r="AQ90" t="inlineStr">
        <is>
          <t>No</t>
        </is>
      </c>
      <c r="AR90">
        <f>HYPERLINK("http://catalog.hathitrust.org/Record/004392998","HathiTrust Record")</f>
        <v/>
      </c>
      <c r="AS90">
        <f>HYPERLINK("https://creighton-primo.hosted.exlibrisgroup.com/primo-explore/search?tab=default_tab&amp;search_scope=EVERYTHING&amp;vid=01CRU&amp;lang=en_US&amp;offset=0&amp;query=any,contains,991000390319702656","Catalog Record")</f>
        <v/>
      </c>
      <c r="AT90">
        <f>HYPERLINK("http://www.worldcat.org/oclc/10543769","WorldCat Record")</f>
        <v/>
      </c>
      <c r="AU90" t="inlineStr">
        <is>
          <t>3817975076:eng</t>
        </is>
      </c>
      <c r="AV90" t="inlineStr">
        <is>
          <t>10543769</t>
        </is>
      </c>
      <c r="AW90" t="inlineStr">
        <is>
          <t>991000390319702656</t>
        </is>
      </c>
      <c r="AX90" t="inlineStr">
        <is>
          <t>991000390319702656</t>
        </is>
      </c>
      <c r="AY90" t="inlineStr">
        <is>
          <t>2267601910002656</t>
        </is>
      </c>
      <c r="AZ90" t="inlineStr">
        <is>
          <t>BOOK</t>
        </is>
      </c>
      <c r="BC90" t="inlineStr">
        <is>
          <t>32285001967966</t>
        </is>
      </c>
      <c r="BD90" t="inlineStr">
        <is>
          <t>893496172</t>
        </is>
      </c>
    </row>
    <row r="91">
      <c r="A91" t="inlineStr">
        <is>
          <t>No</t>
        </is>
      </c>
      <c r="B91" t="inlineStr">
        <is>
          <t>QB35 .M55 2005</t>
        </is>
      </c>
      <c r="C91" t="inlineStr">
        <is>
          <t>0                      QB 0035000M  55          2005</t>
        </is>
      </c>
      <c r="D91" t="inlineStr">
        <is>
          <t>Empire of the stars : obsession, friendship, and betrayal in the quest for black holes / Arthur I. Miller.</t>
        </is>
      </c>
      <c r="F91" t="inlineStr">
        <is>
          <t>No</t>
        </is>
      </c>
      <c r="G91" t="inlineStr">
        <is>
          <t>1</t>
        </is>
      </c>
      <c r="H91" t="inlineStr">
        <is>
          <t>No</t>
        </is>
      </c>
      <c r="I91" t="inlineStr">
        <is>
          <t>No</t>
        </is>
      </c>
      <c r="J91" t="inlineStr">
        <is>
          <t>0</t>
        </is>
      </c>
      <c r="K91" t="inlineStr">
        <is>
          <t>Miller, Arthur I.</t>
        </is>
      </c>
      <c r="L91" t="inlineStr">
        <is>
          <t>Boston : Houghton Mifflin, 2005.</t>
        </is>
      </c>
      <c r="M91" t="inlineStr">
        <is>
          <t>2005</t>
        </is>
      </c>
      <c r="O91" t="inlineStr">
        <is>
          <t>eng</t>
        </is>
      </c>
      <c r="P91" t="inlineStr">
        <is>
          <t>mau</t>
        </is>
      </c>
      <c r="R91" t="inlineStr">
        <is>
          <t xml:space="preserve">QB </t>
        </is>
      </c>
      <c r="S91" t="n">
        <v>1</v>
      </c>
      <c r="T91" t="n">
        <v>1</v>
      </c>
      <c r="U91" t="inlineStr">
        <is>
          <t>2005-05-17</t>
        </is>
      </c>
      <c r="V91" t="inlineStr">
        <is>
          <t>2005-05-17</t>
        </is>
      </c>
      <c r="W91" t="inlineStr">
        <is>
          <t>2005-05-17</t>
        </is>
      </c>
      <c r="X91" t="inlineStr">
        <is>
          <t>2005-05-17</t>
        </is>
      </c>
      <c r="Y91" t="n">
        <v>972</v>
      </c>
      <c r="Z91" t="n">
        <v>901</v>
      </c>
      <c r="AA91" t="n">
        <v>921</v>
      </c>
      <c r="AB91" t="n">
        <v>10</v>
      </c>
      <c r="AC91" t="n">
        <v>10</v>
      </c>
      <c r="AD91" t="n">
        <v>26</v>
      </c>
      <c r="AE91" t="n">
        <v>26</v>
      </c>
      <c r="AF91" t="n">
        <v>10</v>
      </c>
      <c r="AG91" t="n">
        <v>10</v>
      </c>
      <c r="AH91" t="n">
        <v>3</v>
      </c>
      <c r="AI91" t="n">
        <v>3</v>
      </c>
      <c r="AJ91" t="n">
        <v>12</v>
      </c>
      <c r="AK91" t="n">
        <v>12</v>
      </c>
      <c r="AL91" t="n">
        <v>7</v>
      </c>
      <c r="AM91" t="n">
        <v>7</v>
      </c>
      <c r="AN91" t="n">
        <v>0</v>
      </c>
      <c r="AO91" t="n">
        <v>0</v>
      </c>
      <c r="AP91" t="inlineStr">
        <is>
          <t>No</t>
        </is>
      </c>
      <c r="AQ91" t="inlineStr">
        <is>
          <t>No</t>
        </is>
      </c>
      <c r="AS91">
        <f>HYPERLINK("https://creighton-primo.hosted.exlibrisgroup.com/primo-explore/search?tab=default_tab&amp;search_scope=EVERYTHING&amp;vid=01CRU&amp;lang=en_US&amp;offset=0&amp;query=any,contains,991004531369702656","Catalog Record")</f>
        <v/>
      </c>
      <c r="AT91">
        <f>HYPERLINK("http://www.worldcat.org/oclc/57243361","WorldCat Record")</f>
        <v/>
      </c>
      <c r="AU91" t="inlineStr">
        <is>
          <t>864148441:eng</t>
        </is>
      </c>
      <c r="AV91" t="inlineStr">
        <is>
          <t>57243361</t>
        </is>
      </c>
      <c r="AW91" t="inlineStr">
        <is>
          <t>991004531369702656</t>
        </is>
      </c>
      <c r="AX91" t="inlineStr">
        <is>
          <t>991004531369702656</t>
        </is>
      </c>
      <c r="AY91" t="inlineStr">
        <is>
          <t>2258502930002656</t>
        </is>
      </c>
      <c r="AZ91" t="inlineStr">
        <is>
          <t>BOOK</t>
        </is>
      </c>
      <c r="BB91" t="inlineStr">
        <is>
          <t>9780618341511</t>
        </is>
      </c>
      <c r="BC91" t="inlineStr">
        <is>
          <t>32285005038327</t>
        </is>
      </c>
      <c r="BD91" t="inlineStr">
        <is>
          <t>893235618</t>
        </is>
      </c>
    </row>
    <row r="92">
      <c r="A92" t="inlineStr">
        <is>
          <t>No</t>
        </is>
      </c>
      <c r="B92" t="inlineStr">
        <is>
          <t>QB351 .C65 1989</t>
        </is>
      </c>
      <c r="C92" t="inlineStr">
        <is>
          <t>0                      QB 0351000C  65          1989</t>
        </is>
      </c>
      <c r="D92" t="inlineStr">
        <is>
          <t>The foundations of celestial mechanics / by George W. Collins II.</t>
        </is>
      </c>
      <c r="F92" t="inlineStr">
        <is>
          <t>No</t>
        </is>
      </c>
      <c r="G92" t="inlineStr">
        <is>
          <t>1</t>
        </is>
      </c>
      <c r="H92" t="inlineStr">
        <is>
          <t>No</t>
        </is>
      </c>
      <c r="I92" t="inlineStr">
        <is>
          <t>No</t>
        </is>
      </c>
      <c r="J92" t="inlineStr">
        <is>
          <t>0</t>
        </is>
      </c>
      <c r="K92" t="inlineStr">
        <is>
          <t>Collins, George W. (George William), 1937-</t>
        </is>
      </c>
      <c r="L92" t="inlineStr">
        <is>
          <t>Tucson : Pachart Pub. House, c1989.</t>
        </is>
      </c>
      <c r="M92" t="inlineStr">
        <is>
          <t>1989</t>
        </is>
      </c>
      <c r="O92" t="inlineStr">
        <is>
          <t>eng</t>
        </is>
      </c>
      <c r="P92" t="inlineStr">
        <is>
          <t>azu</t>
        </is>
      </c>
      <c r="Q92" t="inlineStr">
        <is>
          <t>Astronomy and astrophysics series ; 16</t>
        </is>
      </c>
      <c r="R92" t="inlineStr">
        <is>
          <t xml:space="preserve">QB </t>
        </is>
      </c>
      <c r="S92" t="n">
        <v>5</v>
      </c>
      <c r="T92" t="n">
        <v>5</v>
      </c>
      <c r="U92" t="inlineStr">
        <is>
          <t>1996-09-30</t>
        </is>
      </c>
      <c r="V92" t="inlineStr">
        <is>
          <t>1996-09-30</t>
        </is>
      </c>
      <c r="W92" t="inlineStr">
        <is>
          <t>1990-07-25</t>
        </is>
      </c>
      <c r="X92" t="inlineStr">
        <is>
          <t>1990-07-25</t>
        </is>
      </c>
      <c r="Y92" t="n">
        <v>114</v>
      </c>
      <c r="Z92" t="n">
        <v>84</v>
      </c>
      <c r="AA92" t="n">
        <v>103</v>
      </c>
      <c r="AB92" t="n">
        <v>3</v>
      </c>
      <c r="AC92" t="n">
        <v>3</v>
      </c>
      <c r="AD92" t="n">
        <v>5</v>
      </c>
      <c r="AE92" t="n">
        <v>7</v>
      </c>
      <c r="AF92" t="n">
        <v>0</v>
      </c>
      <c r="AG92" t="n">
        <v>1</v>
      </c>
      <c r="AH92" t="n">
        <v>2</v>
      </c>
      <c r="AI92" t="n">
        <v>4</v>
      </c>
      <c r="AJ92" t="n">
        <v>2</v>
      </c>
      <c r="AK92" t="n">
        <v>3</v>
      </c>
      <c r="AL92" t="n">
        <v>2</v>
      </c>
      <c r="AM92" t="n">
        <v>2</v>
      </c>
      <c r="AN92" t="n">
        <v>0</v>
      </c>
      <c r="AO92" t="n">
        <v>0</v>
      </c>
      <c r="AP92" t="inlineStr">
        <is>
          <t>No</t>
        </is>
      </c>
      <c r="AQ92" t="inlineStr">
        <is>
          <t>Yes</t>
        </is>
      </c>
      <c r="AR92">
        <f>HYPERLINK("http://catalog.hathitrust.org/Record/002490372","HathiTrust Record")</f>
        <v/>
      </c>
      <c r="AS92">
        <f>HYPERLINK("https://creighton-primo.hosted.exlibrisgroup.com/primo-explore/search?tab=default_tab&amp;search_scope=EVERYTHING&amp;vid=01CRU&amp;lang=en_US&amp;offset=0&amp;query=any,contains,991001476989702656","Catalog Record")</f>
        <v/>
      </c>
      <c r="AT92">
        <f>HYPERLINK("http://www.worldcat.org/oclc/19581251","WorldCat Record")</f>
        <v/>
      </c>
      <c r="AU92" t="inlineStr">
        <is>
          <t>18600534:eng</t>
        </is>
      </c>
      <c r="AV92" t="inlineStr">
        <is>
          <t>19581251</t>
        </is>
      </c>
      <c r="AW92" t="inlineStr">
        <is>
          <t>991001476989702656</t>
        </is>
      </c>
      <c r="AX92" t="inlineStr">
        <is>
          <t>991001476989702656</t>
        </is>
      </c>
      <c r="AY92" t="inlineStr">
        <is>
          <t>2266675330002656</t>
        </is>
      </c>
      <c r="AZ92" t="inlineStr">
        <is>
          <t>BOOK</t>
        </is>
      </c>
      <c r="BB92" t="inlineStr">
        <is>
          <t>9780881260090</t>
        </is>
      </c>
      <c r="BC92" t="inlineStr">
        <is>
          <t>32285000240233</t>
        </is>
      </c>
      <c r="BD92" t="inlineStr">
        <is>
          <t>893503443</t>
        </is>
      </c>
    </row>
    <row r="93">
      <c r="A93" t="inlineStr">
        <is>
          <t>No</t>
        </is>
      </c>
      <c r="B93" t="inlineStr">
        <is>
          <t>QB351 .D3</t>
        </is>
      </c>
      <c r="C93" t="inlineStr">
        <is>
          <t>0                      QB 0351000D  3</t>
        </is>
      </c>
      <c r="D93" t="inlineStr">
        <is>
          <t>Fundamentals of celestial mechanics.</t>
        </is>
      </c>
      <c r="F93" t="inlineStr">
        <is>
          <t>No</t>
        </is>
      </c>
      <c r="G93" t="inlineStr">
        <is>
          <t>1</t>
        </is>
      </c>
      <c r="H93" t="inlineStr">
        <is>
          <t>No</t>
        </is>
      </c>
      <c r="I93" t="inlineStr">
        <is>
          <t>No</t>
        </is>
      </c>
      <c r="J93" t="inlineStr">
        <is>
          <t>0</t>
        </is>
      </c>
      <c r="K93" t="inlineStr">
        <is>
          <t>Danby, J. M. A.</t>
        </is>
      </c>
      <c r="L93" t="inlineStr">
        <is>
          <t>New York : Macmillan, [1962]</t>
        </is>
      </c>
      <c r="M93" t="inlineStr">
        <is>
          <t>1962</t>
        </is>
      </c>
      <c r="O93" t="inlineStr">
        <is>
          <t>eng</t>
        </is>
      </c>
      <c r="P93" t="inlineStr">
        <is>
          <t>nyu</t>
        </is>
      </c>
      <c r="R93" t="inlineStr">
        <is>
          <t xml:space="preserve">QB </t>
        </is>
      </c>
      <c r="S93" t="n">
        <v>1</v>
      </c>
      <c r="T93" t="n">
        <v>1</v>
      </c>
      <c r="U93" t="inlineStr">
        <is>
          <t>2000-07-31</t>
        </is>
      </c>
      <c r="V93" t="inlineStr">
        <is>
          <t>2000-07-31</t>
        </is>
      </c>
      <c r="W93" t="inlineStr">
        <is>
          <t>1993-04-27</t>
        </is>
      </c>
      <c r="X93" t="inlineStr">
        <is>
          <t>1993-04-27</t>
        </is>
      </c>
      <c r="Y93" t="n">
        <v>523</v>
      </c>
      <c r="Z93" t="n">
        <v>443</v>
      </c>
      <c r="AA93" t="n">
        <v>538</v>
      </c>
      <c r="AB93" t="n">
        <v>3</v>
      </c>
      <c r="AC93" t="n">
        <v>3</v>
      </c>
      <c r="AD93" t="n">
        <v>19</v>
      </c>
      <c r="AE93" t="n">
        <v>23</v>
      </c>
      <c r="AF93" t="n">
        <v>8</v>
      </c>
      <c r="AG93" t="n">
        <v>10</v>
      </c>
      <c r="AH93" t="n">
        <v>4</v>
      </c>
      <c r="AI93" t="n">
        <v>7</v>
      </c>
      <c r="AJ93" t="n">
        <v>9</v>
      </c>
      <c r="AK93" t="n">
        <v>11</v>
      </c>
      <c r="AL93" t="n">
        <v>2</v>
      </c>
      <c r="AM93" t="n">
        <v>2</v>
      </c>
      <c r="AN93" t="n">
        <v>0</v>
      </c>
      <c r="AO93" t="n">
        <v>0</v>
      </c>
      <c r="AP93" t="inlineStr">
        <is>
          <t>No</t>
        </is>
      </c>
      <c r="AQ93" t="inlineStr">
        <is>
          <t>No</t>
        </is>
      </c>
      <c r="AR93">
        <f>HYPERLINK("http://catalog.hathitrust.org/Record/001990310","HathiTrust Record")</f>
        <v/>
      </c>
      <c r="AS93">
        <f>HYPERLINK("https://creighton-primo.hosted.exlibrisgroup.com/primo-explore/search?tab=default_tab&amp;search_scope=EVERYTHING&amp;vid=01CRU&amp;lang=en_US&amp;offset=0&amp;query=any,contains,991003228099702656","Catalog Record")</f>
        <v/>
      </c>
      <c r="AT93">
        <f>HYPERLINK("http://www.worldcat.org/oclc/753277","WorldCat Record")</f>
        <v/>
      </c>
      <c r="AU93" t="inlineStr">
        <is>
          <t>1604834:eng</t>
        </is>
      </c>
      <c r="AV93" t="inlineStr">
        <is>
          <t>753277</t>
        </is>
      </c>
      <c r="AW93" t="inlineStr">
        <is>
          <t>991003228099702656</t>
        </is>
      </c>
      <c r="AX93" t="inlineStr">
        <is>
          <t>991003228099702656</t>
        </is>
      </c>
      <c r="AY93" t="inlineStr">
        <is>
          <t>2270390800002656</t>
        </is>
      </c>
      <c r="AZ93" t="inlineStr">
        <is>
          <t>BOOK</t>
        </is>
      </c>
      <c r="BC93" t="inlineStr">
        <is>
          <t>32285001627511</t>
        </is>
      </c>
      <c r="BD93" t="inlineStr">
        <is>
          <t>893598385</t>
        </is>
      </c>
    </row>
    <row r="94">
      <c r="A94" t="inlineStr">
        <is>
          <t>No</t>
        </is>
      </c>
      <c r="B94" t="inlineStr">
        <is>
          <t>QB351 .H26 V. 2 PT. 1</t>
        </is>
      </c>
      <c r="C94" t="inlineStr">
        <is>
          <t>0                      QB 0351000H  26                                                      V. 2 PT. 1</t>
        </is>
      </c>
      <c r="D94" t="inlineStr">
        <is>
          <t>Celestial mechanics.</t>
        </is>
      </c>
      <c r="E94" t="inlineStr">
        <is>
          <t>V. 2 PT. 1*</t>
        </is>
      </c>
      <c r="F94" t="inlineStr">
        <is>
          <t>Yes</t>
        </is>
      </c>
      <c r="G94" t="inlineStr">
        <is>
          <t>1</t>
        </is>
      </c>
      <c r="H94" t="inlineStr">
        <is>
          <t>No</t>
        </is>
      </c>
      <c r="I94" t="inlineStr">
        <is>
          <t>No</t>
        </is>
      </c>
      <c r="J94" t="inlineStr">
        <is>
          <t>0</t>
        </is>
      </c>
      <c r="K94" t="inlineStr">
        <is>
          <t>Hagihara, Yūsuke, 1897-1979.</t>
        </is>
      </c>
      <c r="L94" t="inlineStr">
        <is>
          <t>Cambridge, Mass., MIT Press [1970- ]</t>
        </is>
      </c>
      <c r="M94" t="inlineStr">
        <is>
          <t>1970</t>
        </is>
      </c>
      <c r="O94" t="inlineStr">
        <is>
          <t>eng</t>
        </is>
      </c>
      <c r="P94" t="inlineStr">
        <is>
          <t>mau</t>
        </is>
      </c>
      <c r="R94" t="inlineStr">
        <is>
          <t xml:space="preserve">QB </t>
        </is>
      </c>
      <c r="S94" t="n">
        <v>1</v>
      </c>
      <c r="T94" t="n">
        <v>1</v>
      </c>
      <c r="U94" t="inlineStr">
        <is>
          <t>2001-04-11</t>
        </is>
      </c>
      <c r="V94" t="inlineStr">
        <is>
          <t>2001-04-11</t>
        </is>
      </c>
      <c r="W94" t="inlineStr">
        <is>
          <t>1997-05-02</t>
        </is>
      </c>
      <c r="X94" t="inlineStr">
        <is>
          <t>1997-05-02</t>
        </is>
      </c>
      <c r="Y94" t="n">
        <v>379</v>
      </c>
      <c r="Z94" t="n">
        <v>293</v>
      </c>
      <c r="AA94" t="n">
        <v>296</v>
      </c>
      <c r="AB94" t="n">
        <v>3</v>
      </c>
      <c r="AC94" t="n">
        <v>3</v>
      </c>
      <c r="AD94" t="n">
        <v>10</v>
      </c>
      <c r="AE94" t="n">
        <v>10</v>
      </c>
      <c r="AF94" t="n">
        <v>1</v>
      </c>
      <c r="AG94" t="n">
        <v>1</v>
      </c>
      <c r="AH94" t="n">
        <v>2</v>
      </c>
      <c r="AI94" t="n">
        <v>2</v>
      </c>
      <c r="AJ94" t="n">
        <v>7</v>
      </c>
      <c r="AK94" t="n">
        <v>7</v>
      </c>
      <c r="AL94" t="n">
        <v>2</v>
      </c>
      <c r="AM94" t="n">
        <v>2</v>
      </c>
      <c r="AN94" t="n">
        <v>0</v>
      </c>
      <c r="AO94" t="n">
        <v>0</v>
      </c>
      <c r="AP94" t="inlineStr">
        <is>
          <t>No</t>
        </is>
      </c>
      <c r="AQ94" t="inlineStr">
        <is>
          <t>Yes</t>
        </is>
      </c>
      <c r="AR94">
        <f>HYPERLINK("http://catalog.hathitrust.org/Record/000319541","HathiTrust Record")</f>
        <v/>
      </c>
      <c r="AS94">
        <f>HYPERLINK("https://creighton-primo.hosted.exlibrisgroup.com/primo-explore/search?tab=default_tab&amp;search_scope=EVERYTHING&amp;vid=01CRU&amp;lang=en_US&amp;offset=0&amp;query=any,contains,991000615519702656","Catalog Record")</f>
        <v/>
      </c>
      <c r="AT94">
        <f>HYPERLINK("http://www.worldcat.org/oclc/101594","WorldCat Record")</f>
        <v/>
      </c>
      <c r="AU94" t="inlineStr">
        <is>
          <t>3855301669:eng</t>
        </is>
      </c>
      <c r="AV94" t="inlineStr">
        <is>
          <t>101594</t>
        </is>
      </c>
      <c r="AW94" t="inlineStr">
        <is>
          <t>991000615519702656</t>
        </is>
      </c>
      <c r="AX94" t="inlineStr">
        <is>
          <t>991000615519702656</t>
        </is>
      </c>
      <c r="AY94" t="inlineStr">
        <is>
          <t>2261301710002656</t>
        </is>
      </c>
      <c r="AZ94" t="inlineStr">
        <is>
          <t>BOOK</t>
        </is>
      </c>
      <c r="BB94" t="inlineStr">
        <is>
          <t>9780262080378</t>
        </is>
      </c>
      <c r="BC94" t="inlineStr">
        <is>
          <t>32285002640455</t>
        </is>
      </c>
      <c r="BD94" t="inlineStr">
        <is>
          <t>893438429</t>
        </is>
      </c>
    </row>
    <row r="95">
      <c r="A95" t="inlineStr">
        <is>
          <t>No</t>
        </is>
      </c>
      <c r="B95" t="inlineStr">
        <is>
          <t>QB351 .H26 V. 2 PT. 2</t>
        </is>
      </c>
      <c r="C95" t="inlineStr">
        <is>
          <t>0                      QB 0351000H  26                                                      V. 2 PT. 2</t>
        </is>
      </c>
      <c r="D95" t="inlineStr">
        <is>
          <t>Celestial mechanics.</t>
        </is>
      </c>
      <c r="E95" t="inlineStr">
        <is>
          <t>V. 2 PT. 2*</t>
        </is>
      </c>
      <c r="F95" t="inlineStr">
        <is>
          <t>Yes</t>
        </is>
      </c>
      <c r="G95" t="inlineStr">
        <is>
          <t>1</t>
        </is>
      </c>
      <c r="H95" t="inlineStr">
        <is>
          <t>No</t>
        </is>
      </c>
      <c r="I95" t="inlineStr">
        <is>
          <t>No</t>
        </is>
      </c>
      <c r="J95" t="inlineStr">
        <is>
          <t>0</t>
        </is>
      </c>
      <c r="K95" t="inlineStr">
        <is>
          <t>Hagihara, Yūsuke, 1897-1979.</t>
        </is>
      </c>
      <c r="L95" t="inlineStr">
        <is>
          <t>Cambridge, Mass., MIT Press [1970- ]</t>
        </is>
      </c>
      <c r="M95" t="inlineStr">
        <is>
          <t>1970</t>
        </is>
      </c>
      <c r="O95" t="inlineStr">
        <is>
          <t>eng</t>
        </is>
      </c>
      <c r="P95" t="inlineStr">
        <is>
          <t>mau</t>
        </is>
      </c>
      <c r="R95" t="inlineStr">
        <is>
          <t xml:space="preserve">QB </t>
        </is>
      </c>
      <c r="S95" t="n">
        <v>0</v>
      </c>
      <c r="T95" t="n">
        <v>1</v>
      </c>
      <c r="V95" t="inlineStr">
        <is>
          <t>2001-04-11</t>
        </is>
      </c>
      <c r="W95" t="inlineStr">
        <is>
          <t>1997-05-02</t>
        </is>
      </c>
      <c r="X95" t="inlineStr">
        <is>
          <t>1997-05-02</t>
        </is>
      </c>
      <c r="Y95" t="n">
        <v>379</v>
      </c>
      <c r="Z95" t="n">
        <v>293</v>
      </c>
      <c r="AA95" t="n">
        <v>296</v>
      </c>
      <c r="AB95" t="n">
        <v>3</v>
      </c>
      <c r="AC95" t="n">
        <v>3</v>
      </c>
      <c r="AD95" t="n">
        <v>10</v>
      </c>
      <c r="AE95" t="n">
        <v>10</v>
      </c>
      <c r="AF95" t="n">
        <v>1</v>
      </c>
      <c r="AG95" t="n">
        <v>1</v>
      </c>
      <c r="AH95" t="n">
        <v>2</v>
      </c>
      <c r="AI95" t="n">
        <v>2</v>
      </c>
      <c r="AJ95" t="n">
        <v>7</v>
      </c>
      <c r="AK95" t="n">
        <v>7</v>
      </c>
      <c r="AL95" t="n">
        <v>2</v>
      </c>
      <c r="AM95" t="n">
        <v>2</v>
      </c>
      <c r="AN95" t="n">
        <v>0</v>
      </c>
      <c r="AO95" t="n">
        <v>0</v>
      </c>
      <c r="AP95" t="inlineStr">
        <is>
          <t>No</t>
        </is>
      </c>
      <c r="AQ95" t="inlineStr">
        <is>
          <t>Yes</t>
        </is>
      </c>
      <c r="AR95">
        <f>HYPERLINK("http://catalog.hathitrust.org/Record/000319541","HathiTrust Record")</f>
        <v/>
      </c>
      <c r="AS95">
        <f>HYPERLINK("https://creighton-primo.hosted.exlibrisgroup.com/primo-explore/search?tab=default_tab&amp;search_scope=EVERYTHING&amp;vid=01CRU&amp;lang=en_US&amp;offset=0&amp;query=any,contains,991000615519702656","Catalog Record")</f>
        <v/>
      </c>
      <c r="AT95">
        <f>HYPERLINK("http://www.worldcat.org/oclc/101594","WorldCat Record")</f>
        <v/>
      </c>
      <c r="AU95" t="inlineStr">
        <is>
          <t>3855301669:eng</t>
        </is>
      </c>
      <c r="AV95" t="inlineStr">
        <is>
          <t>101594</t>
        </is>
      </c>
      <c r="AW95" t="inlineStr">
        <is>
          <t>991000615519702656</t>
        </is>
      </c>
      <c r="AX95" t="inlineStr">
        <is>
          <t>991000615519702656</t>
        </is>
      </c>
      <c r="AY95" t="inlineStr">
        <is>
          <t>2261301710002656</t>
        </is>
      </c>
      <c r="AZ95" t="inlineStr">
        <is>
          <t>BOOK</t>
        </is>
      </c>
      <c r="BB95" t="inlineStr">
        <is>
          <t>9780262080378</t>
        </is>
      </c>
      <c r="BC95" t="inlineStr">
        <is>
          <t>32285002640463</t>
        </is>
      </c>
      <c r="BD95" t="inlineStr">
        <is>
          <t>893438430</t>
        </is>
      </c>
    </row>
    <row r="96">
      <c r="A96" t="inlineStr">
        <is>
          <t>No</t>
        </is>
      </c>
      <c r="B96" t="inlineStr">
        <is>
          <t>QB351 .H26 V. 3 PT. 1</t>
        </is>
      </c>
      <c r="C96" t="inlineStr">
        <is>
          <t>0                      QB 0351000H  26                                                      V. 3 PT. 1</t>
        </is>
      </c>
      <c r="D96" t="inlineStr">
        <is>
          <t>Celestial mechanics.</t>
        </is>
      </c>
      <c r="E96" t="inlineStr">
        <is>
          <t>V. 3 PT. 1*</t>
        </is>
      </c>
      <c r="F96" t="inlineStr">
        <is>
          <t>Yes</t>
        </is>
      </c>
      <c r="G96" t="inlineStr">
        <is>
          <t>1</t>
        </is>
      </c>
      <c r="H96" t="inlineStr">
        <is>
          <t>No</t>
        </is>
      </c>
      <c r="I96" t="inlineStr">
        <is>
          <t>No</t>
        </is>
      </c>
      <c r="J96" t="inlineStr">
        <is>
          <t>0</t>
        </is>
      </c>
      <c r="K96" t="inlineStr">
        <is>
          <t>Hagihara, Yūsuke, 1897-1979.</t>
        </is>
      </c>
      <c r="L96" t="inlineStr">
        <is>
          <t>Cambridge, Mass., MIT Press [1970- ]</t>
        </is>
      </c>
      <c r="M96" t="inlineStr">
        <is>
          <t>1970</t>
        </is>
      </c>
      <c r="O96" t="inlineStr">
        <is>
          <t>eng</t>
        </is>
      </c>
      <c r="P96" t="inlineStr">
        <is>
          <t>mau</t>
        </is>
      </c>
      <c r="R96" t="inlineStr">
        <is>
          <t xml:space="preserve">QB </t>
        </is>
      </c>
      <c r="S96" t="n">
        <v>0</v>
      </c>
      <c r="T96" t="n">
        <v>1</v>
      </c>
      <c r="V96" t="inlineStr">
        <is>
          <t>2001-04-11</t>
        </is>
      </c>
      <c r="W96" t="inlineStr">
        <is>
          <t>1997-05-02</t>
        </is>
      </c>
      <c r="X96" t="inlineStr">
        <is>
          <t>1997-05-02</t>
        </is>
      </c>
      <c r="Y96" t="n">
        <v>379</v>
      </c>
      <c r="Z96" t="n">
        <v>293</v>
      </c>
      <c r="AA96" t="n">
        <v>296</v>
      </c>
      <c r="AB96" t="n">
        <v>3</v>
      </c>
      <c r="AC96" t="n">
        <v>3</v>
      </c>
      <c r="AD96" t="n">
        <v>10</v>
      </c>
      <c r="AE96" t="n">
        <v>10</v>
      </c>
      <c r="AF96" t="n">
        <v>1</v>
      </c>
      <c r="AG96" t="n">
        <v>1</v>
      </c>
      <c r="AH96" t="n">
        <v>2</v>
      </c>
      <c r="AI96" t="n">
        <v>2</v>
      </c>
      <c r="AJ96" t="n">
        <v>7</v>
      </c>
      <c r="AK96" t="n">
        <v>7</v>
      </c>
      <c r="AL96" t="n">
        <v>2</v>
      </c>
      <c r="AM96" t="n">
        <v>2</v>
      </c>
      <c r="AN96" t="n">
        <v>0</v>
      </c>
      <c r="AO96" t="n">
        <v>0</v>
      </c>
      <c r="AP96" t="inlineStr">
        <is>
          <t>No</t>
        </is>
      </c>
      <c r="AQ96" t="inlineStr">
        <is>
          <t>Yes</t>
        </is>
      </c>
      <c r="AR96">
        <f>HYPERLINK("http://catalog.hathitrust.org/Record/000319541","HathiTrust Record")</f>
        <v/>
      </c>
      <c r="AS96">
        <f>HYPERLINK("https://creighton-primo.hosted.exlibrisgroup.com/primo-explore/search?tab=default_tab&amp;search_scope=EVERYTHING&amp;vid=01CRU&amp;lang=en_US&amp;offset=0&amp;query=any,contains,991000615519702656","Catalog Record")</f>
        <v/>
      </c>
      <c r="AT96">
        <f>HYPERLINK("http://www.worldcat.org/oclc/101594","WorldCat Record")</f>
        <v/>
      </c>
      <c r="AU96" t="inlineStr">
        <is>
          <t>3855301669:eng</t>
        </is>
      </c>
      <c r="AV96" t="inlineStr">
        <is>
          <t>101594</t>
        </is>
      </c>
      <c r="AW96" t="inlineStr">
        <is>
          <t>991000615519702656</t>
        </is>
      </c>
      <c r="AX96" t="inlineStr">
        <is>
          <t>991000615519702656</t>
        </is>
      </c>
      <c r="AY96" t="inlineStr">
        <is>
          <t>2261301710002656</t>
        </is>
      </c>
      <c r="AZ96" t="inlineStr">
        <is>
          <t>BOOK</t>
        </is>
      </c>
      <c r="BB96" t="inlineStr">
        <is>
          <t>9780262080378</t>
        </is>
      </c>
      <c r="BC96" t="inlineStr">
        <is>
          <t>32285002640471</t>
        </is>
      </c>
      <c r="BD96" t="inlineStr">
        <is>
          <t>893438428</t>
        </is>
      </c>
    </row>
    <row r="97">
      <c r="A97" t="inlineStr">
        <is>
          <t>No</t>
        </is>
      </c>
      <c r="B97" t="inlineStr">
        <is>
          <t>QB351 .H26 V. 3 PT. 2</t>
        </is>
      </c>
      <c r="C97" t="inlineStr">
        <is>
          <t>0                      QB 0351000H  26                                                      V. 3 PT. 2</t>
        </is>
      </c>
      <c r="D97" t="inlineStr">
        <is>
          <t>Celestial mechanics.</t>
        </is>
      </c>
      <c r="E97" t="inlineStr">
        <is>
          <t>V. 3 PT. 2*</t>
        </is>
      </c>
      <c r="F97" t="inlineStr">
        <is>
          <t>Yes</t>
        </is>
      </c>
      <c r="G97" t="inlineStr">
        <is>
          <t>1</t>
        </is>
      </c>
      <c r="H97" t="inlineStr">
        <is>
          <t>No</t>
        </is>
      </c>
      <c r="I97" t="inlineStr">
        <is>
          <t>No</t>
        </is>
      </c>
      <c r="J97" t="inlineStr">
        <is>
          <t>0</t>
        </is>
      </c>
      <c r="K97" t="inlineStr">
        <is>
          <t>Hagihara, Yūsuke, 1897-1979.</t>
        </is>
      </c>
      <c r="L97" t="inlineStr">
        <is>
          <t>Cambridge, Mass., MIT Press [1970- ]</t>
        </is>
      </c>
      <c r="M97" t="inlineStr">
        <is>
          <t>1970</t>
        </is>
      </c>
      <c r="O97" t="inlineStr">
        <is>
          <t>eng</t>
        </is>
      </c>
      <c r="P97" t="inlineStr">
        <is>
          <t>mau</t>
        </is>
      </c>
      <c r="R97" t="inlineStr">
        <is>
          <t xml:space="preserve">QB </t>
        </is>
      </c>
      <c r="S97" t="n">
        <v>0</v>
      </c>
      <c r="T97" t="n">
        <v>1</v>
      </c>
      <c r="V97" t="inlineStr">
        <is>
          <t>2001-04-11</t>
        </is>
      </c>
      <c r="W97" t="inlineStr">
        <is>
          <t>1997-05-02</t>
        </is>
      </c>
      <c r="X97" t="inlineStr">
        <is>
          <t>1997-05-02</t>
        </is>
      </c>
      <c r="Y97" t="n">
        <v>379</v>
      </c>
      <c r="Z97" t="n">
        <v>293</v>
      </c>
      <c r="AA97" t="n">
        <v>296</v>
      </c>
      <c r="AB97" t="n">
        <v>3</v>
      </c>
      <c r="AC97" t="n">
        <v>3</v>
      </c>
      <c r="AD97" t="n">
        <v>10</v>
      </c>
      <c r="AE97" t="n">
        <v>10</v>
      </c>
      <c r="AF97" t="n">
        <v>1</v>
      </c>
      <c r="AG97" t="n">
        <v>1</v>
      </c>
      <c r="AH97" t="n">
        <v>2</v>
      </c>
      <c r="AI97" t="n">
        <v>2</v>
      </c>
      <c r="AJ97" t="n">
        <v>7</v>
      </c>
      <c r="AK97" t="n">
        <v>7</v>
      </c>
      <c r="AL97" t="n">
        <v>2</v>
      </c>
      <c r="AM97" t="n">
        <v>2</v>
      </c>
      <c r="AN97" t="n">
        <v>0</v>
      </c>
      <c r="AO97" t="n">
        <v>0</v>
      </c>
      <c r="AP97" t="inlineStr">
        <is>
          <t>No</t>
        </is>
      </c>
      <c r="AQ97" t="inlineStr">
        <is>
          <t>Yes</t>
        </is>
      </c>
      <c r="AR97">
        <f>HYPERLINK("http://catalog.hathitrust.org/Record/000319541","HathiTrust Record")</f>
        <v/>
      </c>
      <c r="AS97">
        <f>HYPERLINK("https://creighton-primo.hosted.exlibrisgroup.com/primo-explore/search?tab=default_tab&amp;search_scope=EVERYTHING&amp;vid=01CRU&amp;lang=en_US&amp;offset=0&amp;query=any,contains,991000615519702656","Catalog Record")</f>
        <v/>
      </c>
      <c r="AT97">
        <f>HYPERLINK("http://www.worldcat.org/oclc/101594","WorldCat Record")</f>
        <v/>
      </c>
      <c r="AU97" t="inlineStr">
        <is>
          <t>3855301669:eng</t>
        </is>
      </c>
      <c r="AV97" t="inlineStr">
        <is>
          <t>101594</t>
        </is>
      </c>
      <c r="AW97" t="inlineStr">
        <is>
          <t>991000615519702656</t>
        </is>
      </c>
      <c r="AX97" t="inlineStr">
        <is>
          <t>991000615519702656</t>
        </is>
      </c>
      <c r="AY97" t="inlineStr">
        <is>
          <t>2261301710002656</t>
        </is>
      </c>
      <c r="AZ97" t="inlineStr">
        <is>
          <t>BOOK</t>
        </is>
      </c>
      <c r="BB97" t="inlineStr">
        <is>
          <t>9780262080378</t>
        </is>
      </c>
      <c r="BC97" t="inlineStr">
        <is>
          <t>32285002640489</t>
        </is>
      </c>
      <c r="BD97" t="inlineStr">
        <is>
          <t>893407364</t>
        </is>
      </c>
    </row>
    <row r="98">
      <c r="A98" t="inlineStr">
        <is>
          <t>No</t>
        </is>
      </c>
      <c r="B98" t="inlineStr">
        <is>
          <t>QB351 .H26 V. 4 PT. 1</t>
        </is>
      </c>
      <c r="C98" t="inlineStr">
        <is>
          <t>0                      QB 0351000H  26                                                      V. 4 PT. 1</t>
        </is>
      </c>
      <c r="D98" t="inlineStr">
        <is>
          <t>Celestial mechanics.</t>
        </is>
      </c>
      <c r="E98" t="inlineStr">
        <is>
          <t>V. 4 PT. 1*</t>
        </is>
      </c>
      <c r="F98" t="inlineStr">
        <is>
          <t>Yes</t>
        </is>
      </c>
      <c r="G98" t="inlineStr">
        <is>
          <t>1</t>
        </is>
      </c>
      <c r="H98" t="inlineStr">
        <is>
          <t>No</t>
        </is>
      </c>
      <c r="I98" t="inlineStr">
        <is>
          <t>No</t>
        </is>
      </c>
      <c r="J98" t="inlineStr">
        <is>
          <t>0</t>
        </is>
      </c>
      <c r="K98" t="inlineStr">
        <is>
          <t>Hagihara, Yūsuke, 1897-1979.</t>
        </is>
      </c>
      <c r="L98" t="inlineStr">
        <is>
          <t>Cambridge, Mass., MIT Press [1970- ]</t>
        </is>
      </c>
      <c r="M98" t="inlineStr">
        <is>
          <t>1970</t>
        </is>
      </c>
      <c r="O98" t="inlineStr">
        <is>
          <t>eng</t>
        </is>
      </c>
      <c r="P98" t="inlineStr">
        <is>
          <t>mau</t>
        </is>
      </c>
      <c r="R98" t="inlineStr">
        <is>
          <t xml:space="preserve">QB </t>
        </is>
      </c>
      <c r="S98" t="n">
        <v>0</v>
      </c>
      <c r="T98" t="n">
        <v>1</v>
      </c>
      <c r="V98" t="inlineStr">
        <is>
          <t>2001-04-11</t>
        </is>
      </c>
      <c r="W98" t="inlineStr">
        <is>
          <t>1997-05-02</t>
        </is>
      </c>
      <c r="X98" t="inlineStr">
        <is>
          <t>1997-05-02</t>
        </is>
      </c>
      <c r="Y98" t="n">
        <v>379</v>
      </c>
      <c r="Z98" t="n">
        <v>293</v>
      </c>
      <c r="AA98" t="n">
        <v>296</v>
      </c>
      <c r="AB98" t="n">
        <v>3</v>
      </c>
      <c r="AC98" t="n">
        <v>3</v>
      </c>
      <c r="AD98" t="n">
        <v>10</v>
      </c>
      <c r="AE98" t="n">
        <v>10</v>
      </c>
      <c r="AF98" t="n">
        <v>1</v>
      </c>
      <c r="AG98" t="n">
        <v>1</v>
      </c>
      <c r="AH98" t="n">
        <v>2</v>
      </c>
      <c r="AI98" t="n">
        <v>2</v>
      </c>
      <c r="AJ98" t="n">
        <v>7</v>
      </c>
      <c r="AK98" t="n">
        <v>7</v>
      </c>
      <c r="AL98" t="n">
        <v>2</v>
      </c>
      <c r="AM98" t="n">
        <v>2</v>
      </c>
      <c r="AN98" t="n">
        <v>0</v>
      </c>
      <c r="AO98" t="n">
        <v>0</v>
      </c>
      <c r="AP98" t="inlineStr">
        <is>
          <t>No</t>
        </is>
      </c>
      <c r="AQ98" t="inlineStr">
        <is>
          <t>Yes</t>
        </is>
      </c>
      <c r="AR98">
        <f>HYPERLINK("http://catalog.hathitrust.org/Record/000319541","HathiTrust Record")</f>
        <v/>
      </c>
      <c r="AS98">
        <f>HYPERLINK("https://creighton-primo.hosted.exlibrisgroup.com/primo-explore/search?tab=default_tab&amp;search_scope=EVERYTHING&amp;vid=01CRU&amp;lang=en_US&amp;offset=0&amp;query=any,contains,991000615519702656","Catalog Record")</f>
        <v/>
      </c>
      <c r="AT98">
        <f>HYPERLINK("http://www.worldcat.org/oclc/101594","WorldCat Record")</f>
        <v/>
      </c>
      <c r="AU98" t="inlineStr">
        <is>
          <t>3855301669:eng</t>
        </is>
      </c>
      <c r="AV98" t="inlineStr">
        <is>
          <t>101594</t>
        </is>
      </c>
      <c r="AW98" t="inlineStr">
        <is>
          <t>991000615519702656</t>
        </is>
      </c>
      <c r="AX98" t="inlineStr">
        <is>
          <t>991000615519702656</t>
        </is>
      </c>
      <c r="AY98" t="inlineStr">
        <is>
          <t>2261301710002656</t>
        </is>
      </c>
      <c r="AZ98" t="inlineStr">
        <is>
          <t>BOOK</t>
        </is>
      </c>
      <c r="BB98" t="inlineStr">
        <is>
          <t>9780262080378</t>
        </is>
      </c>
      <c r="BC98" t="inlineStr">
        <is>
          <t>32285002640497</t>
        </is>
      </c>
      <c r="BD98" t="inlineStr">
        <is>
          <t>893419627</t>
        </is>
      </c>
    </row>
    <row r="99">
      <c r="A99" t="inlineStr">
        <is>
          <t>No</t>
        </is>
      </c>
      <c r="B99" t="inlineStr">
        <is>
          <t>QB351 .H26 V. 4 PT. 2</t>
        </is>
      </c>
      <c r="C99" t="inlineStr">
        <is>
          <t>0                      QB 0351000H  26                                                      V. 4 PT. 2</t>
        </is>
      </c>
      <c r="D99" t="inlineStr">
        <is>
          <t>Celestial mechanics.</t>
        </is>
      </c>
      <c r="E99" t="inlineStr">
        <is>
          <t>V. 4 PT. 2*</t>
        </is>
      </c>
      <c r="F99" t="inlineStr">
        <is>
          <t>Yes</t>
        </is>
      </c>
      <c r="G99" t="inlineStr">
        <is>
          <t>1</t>
        </is>
      </c>
      <c r="H99" t="inlineStr">
        <is>
          <t>No</t>
        </is>
      </c>
      <c r="I99" t="inlineStr">
        <is>
          <t>No</t>
        </is>
      </c>
      <c r="J99" t="inlineStr">
        <is>
          <t>0</t>
        </is>
      </c>
      <c r="K99" t="inlineStr">
        <is>
          <t>Hagihara, Yūsuke, 1897-1979.</t>
        </is>
      </c>
      <c r="L99" t="inlineStr">
        <is>
          <t>Cambridge, Mass., MIT Press [1970- ]</t>
        </is>
      </c>
      <c r="M99" t="inlineStr">
        <is>
          <t>1970</t>
        </is>
      </c>
      <c r="O99" t="inlineStr">
        <is>
          <t>eng</t>
        </is>
      </c>
      <c r="P99" t="inlineStr">
        <is>
          <t>mau</t>
        </is>
      </c>
      <c r="R99" t="inlineStr">
        <is>
          <t xml:space="preserve">QB </t>
        </is>
      </c>
      <c r="S99" t="n">
        <v>0</v>
      </c>
      <c r="T99" t="n">
        <v>1</v>
      </c>
      <c r="V99" t="inlineStr">
        <is>
          <t>2001-04-11</t>
        </is>
      </c>
      <c r="W99" t="inlineStr">
        <is>
          <t>1997-05-02</t>
        </is>
      </c>
      <c r="X99" t="inlineStr">
        <is>
          <t>1997-05-02</t>
        </is>
      </c>
      <c r="Y99" t="n">
        <v>379</v>
      </c>
      <c r="Z99" t="n">
        <v>293</v>
      </c>
      <c r="AA99" t="n">
        <v>296</v>
      </c>
      <c r="AB99" t="n">
        <v>3</v>
      </c>
      <c r="AC99" t="n">
        <v>3</v>
      </c>
      <c r="AD99" t="n">
        <v>10</v>
      </c>
      <c r="AE99" t="n">
        <v>10</v>
      </c>
      <c r="AF99" t="n">
        <v>1</v>
      </c>
      <c r="AG99" t="n">
        <v>1</v>
      </c>
      <c r="AH99" t="n">
        <v>2</v>
      </c>
      <c r="AI99" t="n">
        <v>2</v>
      </c>
      <c r="AJ99" t="n">
        <v>7</v>
      </c>
      <c r="AK99" t="n">
        <v>7</v>
      </c>
      <c r="AL99" t="n">
        <v>2</v>
      </c>
      <c r="AM99" t="n">
        <v>2</v>
      </c>
      <c r="AN99" t="n">
        <v>0</v>
      </c>
      <c r="AO99" t="n">
        <v>0</v>
      </c>
      <c r="AP99" t="inlineStr">
        <is>
          <t>No</t>
        </is>
      </c>
      <c r="AQ99" t="inlineStr">
        <is>
          <t>Yes</t>
        </is>
      </c>
      <c r="AR99">
        <f>HYPERLINK("http://catalog.hathitrust.org/Record/000319541","HathiTrust Record")</f>
        <v/>
      </c>
      <c r="AS99">
        <f>HYPERLINK("https://creighton-primo.hosted.exlibrisgroup.com/primo-explore/search?tab=default_tab&amp;search_scope=EVERYTHING&amp;vid=01CRU&amp;lang=en_US&amp;offset=0&amp;query=any,contains,991000615519702656","Catalog Record")</f>
        <v/>
      </c>
      <c r="AT99">
        <f>HYPERLINK("http://www.worldcat.org/oclc/101594","WorldCat Record")</f>
        <v/>
      </c>
      <c r="AU99" t="inlineStr">
        <is>
          <t>3855301669:eng</t>
        </is>
      </c>
      <c r="AV99" t="inlineStr">
        <is>
          <t>101594</t>
        </is>
      </c>
      <c r="AW99" t="inlineStr">
        <is>
          <t>991000615519702656</t>
        </is>
      </c>
      <c r="AX99" t="inlineStr">
        <is>
          <t>991000615519702656</t>
        </is>
      </c>
      <c r="AY99" t="inlineStr">
        <is>
          <t>2261301710002656</t>
        </is>
      </c>
      <c r="AZ99" t="inlineStr">
        <is>
          <t>BOOK</t>
        </is>
      </c>
      <c r="BB99" t="inlineStr">
        <is>
          <t>9780262080378</t>
        </is>
      </c>
      <c r="BC99" t="inlineStr">
        <is>
          <t>32285002640505</t>
        </is>
      </c>
      <c r="BD99" t="inlineStr">
        <is>
          <t>893407363</t>
        </is>
      </c>
    </row>
    <row r="100">
      <c r="A100" t="inlineStr">
        <is>
          <t>No</t>
        </is>
      </c>
      <c r="B100" t="inlineStr">
        <is>
          <t>QB351 .H26 V. 5 PT. 1</t>
        </is>
      </c>
      <c r="C100" t="inlineStr">
        <is>
          <t>0                      QB 0351000H  26                                                      V. 5 PT. 1</t>
        </is>
      </c>
      <c r="D100" t="inlineStr">
        <is>
          <t>Celestial mechanics.</t>
        </is>
      </c>
      <c r="E100" t="inlineStr">
        <is>
          <t>V. 5 PT. 1*</t>
        </is>
      </c>
      <c r="F100" t="inlineStr">
        <is>
          <t>Yes</t>
        </is>
      </c>
      <c r="G100" t="inlineStr">
        <is>
          <t>1</t>
        </is>
      </c>
      <c r="H100" t="inlineStr">
        <is>
          <t>No</t>
        </is>
      </c>
      <c r="I100" t="inlineStr">
        <is>
          <t>No</t>
        </is>
      </c>
      <c r="J100" t="inlineStr">
        <is>
          <t>0</t>
        </is>
      </c>
      <c r="K100" t="inlineStr">
        <is>
          <t>Hagihara, Yūsuke, 1897-1979.</t>
        </is>
      </c>
      <c r="L100" t="inlineStr">
        <is>
          <t>Cambridge, Mass., MIT Press [1970- ]</t>
        </is>
      </c>
      <c r="M100" t="inlineStr">
        <is>
          <t>1970</t>
        </is>
      </c>
      <c r="O100" t="inlineStr">
        <is>
          <t>eng</t>
        </is>
      </c>
      <c r="P100" t="inlineStr">
        <is>
          <t>mau</t>
        </is>
      </c>
      <c r="R100" t="inlineStr">
        <is>
          <t xml:space="preserve">QB </t>
        </is>
      </c>
      <c r="S100" t="n">
        <v>0</v>
      </c>
      <c r="T100" t="n">
        <v>1</v>
      </c>
      <c r="V100" t="inlineStr">
        <is>
          <t>2001-04-11</t>
        </is>
      </c>
      <c r="W100" t="inlineStr">
        <is>
          <t>1997-05-02</t>
        </is>
      </c>
      <c r="X100" t="inlineStr">
        <is>
          <t>1997-05-02</t>
        </is>
      </c>
      <c r="Y100" t="n">
        <v>379</v>
      </c>
      <c r="Z100" t="n">
        <v>293</v>
      </c>
      <c r="AA100" t="n">
        <v>296</v>
      </c>
      <c r="AB100" t="n">
        <v>3</v>
      </c>
      <c r="AC100" t="n">
        <v>3</v>
      </c>
      <c r="AD100" t="n">
        <v>10</v>
      </c>
      <c r="AE100" t="n">
        <v>10</v>
      </c>
      <c r="AF100" t="n">
        <v>1</v>
      </c>
      <c r="AG100" t="n">
        <v>1</v>
      </c>
      <c r="AH100" t="n">
        <v>2</v>
      </c>
      <c r="AI100" t="n">
        <v>2</v>
      </c>
      <c r="AJ100" t="n">
        <v>7</v>
      </c>
      <c r="AK100" t="n">
        <v>7</v>
      </c>
      <c r="AL100" t="n">
        <v>2</v>
      </c>
      <c r="AM100" t="n">
        <v>2</v>
      </c>
      <c r="AN100" t="n">
        <v>0</v>
      </c>
      <c r="AO100" t="n">
        <v>0</v>
      </c>
      <c r="AP100" t="inlineStr">
        <is>
          <t>No</t>
        </is>
      </c>
      <c r="AQ100" t="inlineStr">
        <is>
          <t>Yes</t>
        </is>
      </c>
      <c r="AR100">
        <f>HYPERLINK("http://catalog.hathitrust.org/Record/000319541","HathiTrust Record")</f>
        <v/>
      </c>
      <c r="AS100">
        <f>HYPERLINK("https://creighton-primo.hosted.exlibrisgroup.com/primo-explore/search?tab=default_tab&amp;search_scope=EVERYTHING&amp;vid=01CRU&amp;lang=en_US&amp;offset=0&amp;query=any,contains,991000615519702656","Catalog Record")</f>
        <v/>
      </c>
      <c r="AT100">
        <f>HYPERLINK("http://www.worldcat.org/oclc/101594","WorldCat Record")</f>
        <v/>
      </c>
      <c r="AU100" t="inlineStr">
        <is>
          <t>3855301669:eng</t>
        </is>
      </c>
      <c r="AV100" t="inlineStr">
        <is>
          <t>101594</t>
        </is>
      </c>
      <c r="AW100" t="inlineStr">
        <is>
          <t>991000615519702656</t>
        </is>
      </c>
      <c r="AX100" t="inlineStr">
        <is>
          <t>991000615519702656</t>
        </is>
      </c>
      <c r="AY100" t="inlineStr">
        <is>
          <t>2261301710002656</t>
        </is>
      </c>
      <c r="AZ100" t="inlineStr">
        <is>
          <t>BOOK</t>
        </is>
      </c>
      <c r="BB100" t="inlineStr">
        <is>
          <t>9780262080378</t>
        </is>
      </c>
      <c r="BC100" t="inlineStr">
        <is>
          <t>32285002640513</t>
        </is>
      </c>
      <c r="BD100" t="inlineStr">
        <is>
          <t>893413518</t>
        </is>
      </c>
    </row>
    <row r="101">
      <c r="A101" t="inlineStr">
        <is>
          <t>No</t>
        </is>
      </c>
      <c r="B101" t="inlineStr">
        <is>
          <t>QB351 .H26 V. 5 PT. 2</t>
        </is>
      </c>
      <c r="C101" t="inlineStr">
        <is>
          <t>0                      QB 0351000H  26                                                      V. 5 PT. 2</t>
        </is>
      </c>
      <c r="D101" t="inlineStr">
        <is>
          <t>Celestial mechanics.</t>
        </is>
      </c>
      <c r="E101" t="inlineStr">
        <is>
          <t>V. 5 PT. 2*</t>
        </is>
      </c>
      <c r="F101" t="inlineStr">
        <is>
          <t>Yes</t>
        </is>
      </c>
      <c r="G101" t="inlineStr">
        <is>
          <t>1</t>
        </is>
      </c>
      <c r="H101" t="inlineStr">
        <is>
          <t>No</t>
        </is>
      </c>
      <c r="I101" t="inlineStr">
        <is>
          <t>No</t>
        </is>
      </c>
      <c r="J101" t="inlineStr">
        <is>
          <t>0</t>
        </is>
      </c>
      <c r="K101" t="inlineStr">
        <is>
          <t>Hagihara, Yūsuke, 1897-1979.</t>
        </is>
      </c>
      <c r="L101" t="inlineStr">
        <is>
          <t>Cambridge, Mass., MIT Press [1970- ]</t>
        </is>
      </c>
      <c r="M101" t="inlineStr">
        <is>
          <t>1970</t>
        </is>
      </c>
      <c r="O101" t="inlineStr">
        <is>
          <t>eng</t>
        </is>
      </c>
      <c r="P101" t="inlineStr">
        <is>
          <t>mau</t>
        </is>
      </c>
      <c r="R101" t="inlineStr">
        <is>
          <t xml:space="preserve">QB </t>
        </is>
      </c>
      <c r="S101" t="n">
        <v>0</v>
      </c>
      <c r="T101" t="n">
        <v>1</v>
      </c>
      <c r="V101" t="inlineStr">
        <is>
          <t>2001-04-11</t>
        </is>
      </c>
      <c r="W101" t="inlineStr">
        <is>
          <t>1997-05-02</t>
        </is>
      </c>
      <c r="X101" t="inlineStr">
        <is>
          <t>1997-05-02</t>
        </is>
      </c>
      <c r="Y101" t="n">
        <v>379</v>
      </c>
      <c r="Z101" t="n">
        <v>293</v>
      </c>
      <c r="AA101" t="n">
        <v>296</v>
      </c>
      <c r="AB101" t="n">
        <v>3</v>
      </c>
      <c r="AC101" t="n">
        <v>3</v>
      </c>
      <c r="AD101" t="n">
        <v>10</v>
      </c>
      <c r="AE101" t="n">
        <v>10</v>
      </c>
      <c r="AF101" t="n">
        <v>1</v>
      </c>
      <c r="AG101" t="n">
        <v>1</v>
      </c>
      <c r="AH101" t="n">
        <v>2</v>
      </c>
      <c r="AI101" t="n">
        <v>2</v>
      </c>
      <c r="AJ101" t="n">
        <v>7</v>
      </c>
      <c r="AK101" t="n">
        <v>7</v>
      </c>
      <c r="AL101" t="n">
        <v>2</v>
      </c>
      <c r="AM101" t="n">
        <v>2</v>
      </c>
      <c r="AN101" t="n">
        <v>0</v>
      </c>
      <c r="AO101" t="n">
        <v>0</v>
      </c>
      <c r="AP101" t="inlineStr">
        <is>
          <t>No</t>
        </is>
      </c>
      <c r="AQ101" t="inlineStr">
        <is>
          <t>Yes</t>
        </is>
      </c>
      <c r="AR101">
        <f>HYPERLINK("http://catalog.hathitrust.org/Record/000319541","HathiTrust Record")</f>
        <v/>
      </c>
      <c r="AS101">
        <f>HYPERLINK("https://creighton-primo.hosted.exlibrisgroup.com/primo-explore/search?tab=default_tab&amp;search_scope=EVERYTHING&amp;vid=01CRU&amp;lang=en_US&amp;offset=0&amp;query=any,contains,991000615519702656","Catalog Record")</f>
        <v/>
      </c>
      <c r="AT101">
        <f>HYPERLINK("http://www.worldcat.org/oclc/101594","WorldCat Record")</f>
        <v/>
      </c>
      <c r="AU101" t="inlineStr">
        <is>
          <t>3855301669:eng</t>
        </is>
      </c>
      <c r="AV101" t="inlineStr">
        <is>
          <t>101594</t>
        </is>
      </c>
      <c r="AW101" t="inlineStr">
        <is>
          <t>991000615519702656</t>
        </is>
      </c>
      <c r="AX101" t="inlineStr">
        <is>
          <t>991000615519702656</t>
        </is>
      </c>
      <c r="AY101" t="inlineStr">
        <is>
          <t>2261301710002656</t>
        </is>
      </c>
      <c r="AZ101" t="inlineStr">
        <is>
          <t>BOOK</t>
        </is>
      </c>
      <c r="BB101" t="inlineStr">
        <is>
          <t>9780262080378</t>
        </is>
      </c>
      <c r="BC101" t="inlineStr">
        <is>
          <t>32285002640521</t>
        </is>
      </c>
      <c r="BD101" t="inlineStr">
        <is>
          <t>893419626</t>
        </is>
      </c>
    </row>
    <row r="102">
      <c r="A102" t="inlineStr">
        <is>
          <t>No</t>
        </is>
      </c>
      <c r="B102" t="inlineStr">
        <is>
          <t>QB351 .H26 v..., pt...</t>
        </is>
      </c>
      <c r="C102" t="inlineStr">
        <is>
          <t>0                      QB 0351000H  26                                                      v..., pt...</t>
        </is>
      </c>
      <c r="D102" t="inlineStr">
        <is>
          <t>Celestial mechanics.</t>
        </is>
      </c>
      <c r="E102" t="inlineStr">
        <is>
          <t>v..., pt...*</t>
        </is>
      </c>
      <c r="F102" t="inlineStr">
        <is>
          <t>Yes</t>
        </is>
      </c>
      <c r="G102" t="inlineStr">
        <is>
          <t>1</t>
        </is>
      </c>
      <c r="H102" t="inlineStr">
        <is>
          <t>No</t>
        </is>
      </c>
      <c r="I102" t="inlineStr">
        <is>
          <t>No</t>
        </is>
      </c>
      <c r="J102" t="inlineStr">
        <is>
          <t>0</t>
        </is>
      </c>
      <c r="K102" t="inlineStr">
        <is>
          <t>Hagihara, Yūsuke, 1897-1979.</t>
        </is>
      </c>
      <c r="L102" t="inlineStr">
        <is>
          <t>Cambridge, Mass., MIT Press [1970- ]</t>
        </is>
      </c>
      <c r="M102" t="inlineStr">
        <is>
          <t>1970</t>
        </is>
      </c>
      <c r="O102" t="inlineStr">
        <is>
          <t>eng</t>
        </is>
      </c>
      <c r="P102" t="inlineStr">
        <is>
          <t>mau</t>
        </is>
      </c>
      <c r="R102" t="inlineStr">
        <is>
          <t xml:space="preserve">QB </t>
        </is>
      </c>
      <c r="S102" t="n">
        <v>0</v>
      </c>
      <c r="T102" t="n">
        <v>1</v>
      </c>
      <c r="V102" t="inlineStr">
        <is>
          <t>2001-04-11</t>
        </is>
      </c>
      <c r="W102" t="inlineStr">
        <is>
          <t>1997-05-02</t>
        </is>
      </c>
      <c r="X102" t="inlineStr">
        <is>
          <t>1997-05-02</t>
        </is>
      </c>
      <c r="Y102" t="n">
        <v>379</v>
      </c>
      <c r="Z102" t="n">
        <v>293</v>
      </c>
      <c r="AA102" t="n">
        <v>296</v>
      </c>
      <c r="AB102" t="n">
        <v>3</v>
      </c>
      <c r="AC102" t="n">
        <v>3</v>
      </c>
      <c r="AD102" t="n">
        <v>10</v>
      </c>
      <c r="AE102" t="n">
        <v>10</v>
      </c>
      <c r="AF102" t="n">
        <v>1</v>
      </c>
      <c r="AG102" t="n">
        <v>1</v>
      </c>
      <c r="AH102" t="n">
        <v>2</v>
      </c>
      <c r="AI102" t="n">
        <v>2</v>
      </c>
      <c r="AJ102" t="n">
        <v>7</v>
      </c>
      <c r="AK102" t="n">
        <v>7</v>
      </c>
      <c r="AL102" t="n">
        <v>2</v>
      </c>
      <c r="AM102" t="n">
        <v>2</v>
      </c>
      <c r="AN102" t="n">
        <v>0</v>
      </c>
      <c r="AO102" t="n">
        <v>0</v>
      </c>
      <c r="AP102" t="inlineStr">
        <is>
          <t>No</t>
        </is>
      </c>
      <c r="AQ102" t="inlineStr">
        <is>
          <t>Yes</t>
        </is>
      </c>
      <c r="AR102">
        <f>HYPERLINK("http://catalog.hathitrust.org/Record/000319541","HathiTrust Record")</f>
        <v/>
      </c>
      <c r="AS102">
        <f>HYPERLINK("https://creighton-primo.hosted.exlibrisgroup.com/primo-explore/search?tab=default_tab&amp;search_scope=EVERYTHING&amp;vid=01CRU&amp;lang=en_US&amp;offset=0&amp;query=any,contains,991000615519702656","Catalog Record")</f>
        <v/>
      </c>
      <c r="AT102">
        <f>HYPERLINK("http://www.worldcat.org/oclc/101594","WorldCat Record")</f>
        <v/>
      </c>
      <c r="AU102" t="inlineStr">
        <is>
          <t>3855301669:eng</t>
        </is>
      </c>
      <c r="AV102" t="inlineStr">
        <is>
          <t>101594</t>
        </is>
      </c>
      <c r="AW102" t="inlineStr">
        <is>
          <t>991000615519702656</t>
        </is>
      </c>
      <c r="AX102" t="inlineStr">
        <is>
          <t>991000615519702656</t>
        </is>
      </c>
      <c r="AY102" t="inlineStr">
        <is>
          <t>2261301710002656</t>
        </is>
      </c>
      <c r="AZ102" t="inlineStr">
        <is>
          <t>BOOK</t>
        </is>
      </c>
      <c r="BB102" t="inlineStr">
        <is>
          <t>9780262080378</t>
        </is>
      </c>
      <c r="BC102" t="inlineStr">
        <is>
          <t>32285002640448</t>
        </is>
      </c>
      <c r="BD102" t="inlineStr">
        <is>
          <t>893438431</t>
        </is>
      </c>
    </row>
    <row r="103">
      <c r="A103" t="inlineStr">
        <is>
          <t>No</t>
        </is>
      </c>
      <c r="B103" t="inlineStr">
        <is>
          <t>QB351 .P48 1993</t>
        </is>
      </c>
      <c r="C103" t="inlineStr">
        <is>
          <t>0                      QB 0351000P  48          1993</t>
        </is>
      </c>
      <c r="D103" t="inlineStr">
        <is>
          <t>Newton's clock : chaos in the solar system / Ivars Peterson.</t>
        </is>
      </c>
      <c r="F103" t="inlineStr">
        <is>
          <t>No</t>
        </is>
      </c>
      <c r="G103" t="inlineStr">
        <is>
          <t>1</t>
        </is>
      </c>
      <c r="H103" t="inlineStr">
        <is>
          <t>No</t>
        </is>
      </c>
      <c r="I103" t="inlineStr">
        <is>
          <t>No</t>
        </is>
      </c>
      <c r="J103" t="inlineStr">
        <is>
          <t>0</t>
        </is>
      </c>
      <c r="K103" t="inlineStr">
        <is>
          <t>Peterson, Ivars.</t>
        </is>
      </c>
      <c r="L103" t="inlineStr">
        <is>
          <t>New York : W.H. Freeman and Co., c1993.</t>
        </is>
      </c>
      <c r="M103" t="inlineStr">
        <is>
          <t>1993</t>
        </is>
      </c>
      <c r="O103" t="inlineStr">
        <is>
          <t>eng</t>
        </is>
      </c>
      <c r="P103" t="inlineStr">
        <is>
          <t>nyu</t>
        </is>
      </c>
      <c r="R103" t="inlineStr">
        <is>
          <t xml:space="preserve">QB </t>
        </is>
      </c>
      <c r="S103" t="n">
        <v>4</v>
      </c>
      <c r="T103" t="n">
        <v>4</v>
      </c>
      <c r="U103" t="inlineStr">
        <is>
          <t>1997-11-15</t>
        </is>
      </c>
      <c r="V103" t="inlineStr">
        <is>
          <t>1997-11-15</t>
        </is>
      </c>
      <c r="W103" t="inlineStr">
        <is>
          <t>1996-02-08</t>
        </is>
      </c>
      <c r="X103" t="inlineStr">
        <is>
          <t>1996-02-08</t>
        </is>
      </c>
      <c r="Y103" t="n">
        <v>1178</v>
      </c>
      <c r="Z103" t="n">
        <v>1018</v>
      </c>
      <c r="AA103" t="n">
        <v>1026</v>
      </c>
      <c r="AB103" t="n">
        <v>6</v>
      </c>
      <c r="AC103" t="n">
        <v>6</v>
      </c>
      <c r="AD103" t="n">
        <v>32</v>
      </c>
      <c r="AE103" t="n">
        <v>32</v>
      </c>
      <c r="AF103" t="n">
        <v>11</v>
      </c>
      <c r="AG103" t="n">
        <v>11</v>
      </c>
      <c r="AH103" t="n">
        <v>8</v>
      </c>
      <c r="AI103" t="n">
        <v>8</v>
      </c>
      <c r="AJ103" t="n">
        <v>15</v>
      </c>
      <c r="AK103" t="n">
        <v>15</v>
      </c>
      <c r="AL103" t="n">
        <v>5</v>
      </c>
      <c r="AM103" t="n">
        <v>5</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HYPERLINK("https://creighton-primo.hosted.exlibrisgroup.com/primo-explore/search?tab=default_tab&amp;search_scope=EVERYTHING&amp;vid=01CRU&amp;lang=en_US&amp;offset=0&amp;query=any,contains,991002151959702656","Catalog Record")</f>
        <v/>
      </c>
      <c r="AT103">
        <f>HYPERLINK("http://www.worldcat.org/oclc/27727301","WorldCat Record")</f>
        <v/>
      </c>
      <c r="AU103" t="inlineStr">
        <is>
          <t>348759:eng</t>
        </is>
      </c>
      <c r="AV103" t="inlineStr">
        <is>
          <t>27727301</t>
        </is>
      </c>
      <c r="AW103" t="inlineStr">
        <is>
          <t>991002151959702656</t>
        </is>
      </c>
      <c r="AX103" t="inlineStr">
        <is>
          <t>991002151959702656</t>
        </is>
      </c>
      <c r="AY103" t="inlineStr">
        <is>
          <t>2264323360002656</t>
        </is>
      </c>
      <c r="AZ103" t="inlineStr">
        <is>
          <t>BOOK</t>
        </is>
      </c>
      <c r="BB103" t="inlineStr">
        <is>
          <t>9780716723967</t>
        </is>
      </c>
      <c r="BC103" t="inlineStr">
        <is>
          <t>32285002128592</t>
        </is>
      </c>
      <c r="BD103" t="inlineStr">
        <is>
          <t>893879555</t>
        </is>
      </c>
    </row>
    <row r="104">
      <c r="A104" t="inlineStr">
        <is>
          <t>No</t>
        </is>
      </c>
      <c r="B104" t="inlineStr">
        <is>
          <t>QB351 .S75</t>
        </is>
      </c>
      <c r="C104" t="inlineStr">
        <is>
          <t>0                      QB 0351000S  75</t>
        </is>
      </c>
      <c r="D104" t="inlineStr">
        <is>
          <t>An introduction to celestial mechanics.</t>
        </is>
      </c>
      <c r="F104" t="inlineStr">
        <is>
          <t>No</t>
        </is>
      </c>
      <c r="G104" t="inlineStr">
        <is>
          <t>1</t>
        </is>
      </c>
      <c r="H104" t="inlineStr">
        <is>
          <t>No</t>
        </is>
      </c>
      <c r="I104" t="inlineStr">
        <is>
          <t>No</t>
        </is>
      </c>
      <c r="J104" t="inlineStr">
        <is>
          <t>0</t>
        </is>
      </c>
      <c r="K104" t="inlineStr">
        <is>
          <t>Sterne, Theodore E.</t>
        </is>
      </c>
      <c r="L104" t="inlineStr">
        <is>
          <t>New York, Interscience Publishers, 1960.</t>
        </is>
      </c>
      <c r="M104" t="inlineStr">
        <is>
          <t>1960</t>
        </is>
      </c>
      <c r="O104" t="inlineStr">
        <is>
          <t>eng</t>
        </is>
      </c>
      <c r="P104" t="inlineStr">
        <is>
          <t>___</t>
        </is>
      </c>
      <c r="Q104" t="inlineStr">
        <is>
          <t>Interscience tracts on physics and astronomy ; 9</t>
        </is>
      </c>
      <c r="R104" t="inlineStr">
        <is>
          <t xml:space="preserve">QB </t>
        </is>
      </c>
      <c r="S104" t="n">
        <v>6</v>
      </c>
      <c r="T104" t="n">
        <v>6</v>
      </c>
      <c r="U104" t="inlineStr">
        <is>
          <t>1995-08-28</t>
        </is>
      </c>
      <c r="V104" t="inlineStr">
        <is>
          <t>1995-08-28</t>
        </is>
      </c>
      <c r="W104" t="inlineStr">
        <is>
          <t>1992-11-18</t>
        </is>
      </c>
      <c r="X104" t="inlineStr">
        <is>
          <t>1992-11-18</t>
        </is>
      </c>
      <c r="Y104" t="n">
        <v>503</v>
      </c>
      <c r="Z104" t="n">
        <v>375</v>
      </c>
      <c r="AA104" t="n">
        <v>384</v>
      </c>
      <c r="AB104" t="n">
        <v>3</v>
      </c>
      <c r="AC104" t="n">
        <v>3</v>
      </c>
      <c r="AD104" t="n">
        <v>13</v>
      </c>
      <c r="AE104" t="n">
        <v>13</v>
      </c>
      <c r="AF104" t="n">
        <v>5</v>
      </c>
      <c r="AG104" t="n">
        <v>5</v>
      </c>
      <c r="AH104" t="n">
        <v>1</v>
      </c>
      <c r="AI104" t="n">
        <v>1</v>
      </c>
      <c r="AJ104" t="n">
        <v>9</v>
      </c>
      <c r="AK104" t="n">
        <v>9</v>
      </c>
      <c r="AL104" t="n">
        <v>1</v>
      </c>
      <c r="AM104" t="n">
        <v>1</v>
      </c>
      <c r="AN104" t="n">
        <v>0</v>
      </c>
      <c r="AO104" t="n">
        <v>0</v>
      </c>
      <c r="AP104" t="inlineStr">
        <is>
          <t>Yes</t>
        </is>
      </c>
      <c r="AQ104" t="inlineStr">
        <is>
          <t>No</t>
        </is>
      </c>
      <c r="AR104">
        <f>HYPERLINK("http://catalog.hathitrust.org/Record/001476493","HathiTrust Record")</f>
        <v/>
      </c>
      <c r="AS104">
        <f>HYPERLINK("https://creighton-primo.hosted.exlibrisgroup.com/primo-explore/search?tab=default_tab&amp;search_scope=EVERYTHING&amp;vid=01CRU&amp;lang=en_US&amp;offset=0&amp;query=any,contains,991002930849702656","Catalog Record")</f>
        <v/>
      </c>
      <c r="AT104">
        <f>HYPERLINK("http://www.worldcat.org/oclc/530860","WorldCat Record")</f>
        <v/>
      </c>
      <c r="AU104" t="inlineStr">
        <is>
          <t>1544163:eng</t>
        </is>
      </c>
      <c r="AV104" t="inlineStr">
        <is>
          <t>530860</t>
        </is>
      </c>
      <c r="AW104" t="inlineStr">
        <is>
          <t>991002930849702656</t>
        </is>
      </c>
      <c r="AX104" t="inlineStr">
        <is>
          <t>991002930849702656</t>
        </is>
      </c>
      <c r="AY104" t="inlineStr">
        <is>
          <t>2266525020002656</t>
        </is>
      </c>
      <c r="AZ104" t="inlineStr">
        <is>
          <t>BOOK</t>
        </is>
      </c>
      <c r="BC104" t="inlineStr">
        <is>
          <t>32285001432698</t>
        </is>
      </c>
      <c r="BD104" t="inlineStr">
        <is>
          <t>893786763</t>
        </is>
      </c>
    </row>
    <row r="105">
      <c r="A105" t="inlineStr">
        <is>
          <t>No</t>
        </is>
      </c>
      <c r="B105" t="inlineStr">
        <is>
          <t>QB351 .T34 1985</t>
        </is>
      </c>
      <c r="C105" t="inlineStr">
        <is>
          <t>0                      QB 0351000T  34          1985</t>
        </is>
      </c>
      <c r="D105" t="inlineStr">
        <is>
          <t>Celestial mechanics : a computational guide for the practitioner / Laurence G. Taff.</t>
        </is>
      </c>
      <c r="F105" t="inlineStr">
        <is>
          <t>No</t>
        </is>
      </c>
      <c r="G105" t="inlineStr">
        <is>
          <t>1</t>
        </is>
      </c>
      <c r="H105" t="inlineStr">
        <is>
          <t>No</t>
        </is>
      </c>
      <c r="I105" t="inlineStr">
        <is>
          <t>No</t>
        </is>
      </c>
      <c r="J105" t="inlineStr">
        <is>
          <t>0</t>
        </is>
      </c>
      <c r="K105" t="inlineStr">
        <is>
          <t>Taff, Laurence G., 1947-</t>
        </is>
      </c>
      <c r="L105" t="inlineStr">
        <is>
          <t>New York : Wiley, c1985.</t>
        </is>
      </c>
      <c r="M105" t="inlineStr">
        <is>
          <t>1985</t>
        </is>
      </c>
      <c r="O105" t="inlineStr">
        <is>
          <t>eng</t>
        </is>
      </c>
      <c r="P105" t="inlineStr">
        <is>
          <t>nyu</t>
        </is>
      </c>
      <c r="R105" t="inlineStr">
        <is>
          <t xml:space="preserve">QB </t>
        </is>
      </c>
      <c r="S105" t="n">
        <v>8</v>
      </c>
      <c r="T105" t="n">
        <v>8</v>
      </c>
      <c r="U105" t="inlineStr">
        <is>
          <t>2009-04-09</t>
        </is>
      </c>
      <c r="V105" t="inlineStr">
        <is>
          <t>2009-04-09</t>
        </is>
      </c>
      <c r="W105" t="inlineStr">
        <is>
          <t>1990-07-09</t>
        </is>
      </c>
      <c r="X105" t="inlineStr">
        <is>
          <t>1990-07-09</t>
        </is>
      </c>
      <c r="Y105" t="n">
        <v>459</v>
      </c>
      <c r="Z105" t="n">
        <v>377</v>
      </c>
      <c r="AA105" t="n">
        <v>379</v>
      </c>
      <c r="AB105" t="n">
        <v>4</v>
      </c>
      <c r="AC105" t="n">
        <v>4</v>
      </c>
      <c r="AD105" t="n">
        <v>13</v>
      </c>
      <c r="AE105" t="n">
        <v>13</v>
      </c>
      <c r="AF105" t="n">
        <v>4</v>
      </c>
      <c r="AG105" t="n">
        <v>4</v>
      </c>
      <c r="AH105" t="n">
        <v>5</v>
      </c>
      <c r="AI105" t="n">
        <v>5</v>
      </c>
      <c r="AJ105" t="n">
        <v>6</v>
      </c>
      <c r="AK105" t="n">
        <v>6</v>
      </c>
      <c r="AL105" t="n">
        <v>3</v>
      </c>
      <c r="AM105" t="n">
        <v>3</v>
      </c>
      <c r="AN105" t="n">
        <v>0</v>
      </c>
      <c r="AO105" t="n">
        <v>0</v>
      </c>
      <c r="AP105" t="inlineStr">
        <is>
          <t>No</t>
        </is>
      </c>
      <c r="AQ105" t="inlineStr">
        <is>
          <t>Yes</t>
        </is>
      </c>
      <c r="AR105">
        <f>HYPERLINK("http://catalog.hathitrust.org/Record/000458491","HathiTrust Record")</f>
        <v/>
      </c>
      <c r="AS105">
        <f>HYPERLINK("https://creighton-primo.hosted.exlibrisgroup.com/primo-explore/search?tab=default_tab&amp;search_scope=EVERYTHING&amp;vid=01CRU&amp;lang=en_US&amp;offset=0&amp;query=any,contains,991000509089702656","Catalog Record")</f>
        <v/>
      </c>
      <c r="AT105">
        <f>HYPERLINK("http://www.worldcat.org/oclc/11234163","WorldCat Record")</f>
        <v/>
      </c>
      <c r="AU105" t="inlineStr">
        <is>
          <t>793344820:eng</t>
        </is>
      </c>
      <c r="AV105" t="inlineStr">
        <is>
          <t>11234163</t>
        </is>
      </c>
      <c r="AW105" t="inlineStr">
        <is>
          <t>991000509089702656</t>
        </is>
      </c>
      <c r="AX105" t="inlineStr">
        <is>
          <t>991000509089702656</t>
        </is>
      </c>
      <c r="AY105" t="inlineStr">
        <is>
          <t>2257794590002656</t>
        </is>
      </c>
      <c r="AZ105" t="inlineStr">
        <is>
          <t>BOOK</t>
        </is>
      </c>
      <c r="BB105" t="inlineStr">
        <is>
          <t>9780471893165</t>
        </is>
      </c>
      <c r="BC105" t="inlineStr">
        <is>
          <t>32285000222207</t>
        </is>
      </c>
      <c r="BD105" t="inlineStr">
        <is>
          <t>893225046</t>
        </is>
      </c>
    </row>
    <row r="106">
      <c r="A106" t="inlineStr">
        <is>
          <t>No</t>
        </is>
      </c>
      <c r="B106" t="inlineStr">
        <is>
          <t>QB355 .B68 1991</t>
        </is>
      </c>
      <c r="C106" t="inlineStr">
        <is>
          <t>0                      QB 0355000B  68          1991</t>
        </is>
      </c>
      <c r="D106" t="inlineStr">
        <is>
          <t>Methods of orbit determination for the microcomputer / Dan L. Boulet.</t>
        </is>
      </c>
      <c r="F106" t="inlineStr">
        <is>
          <t>No</t>
        </is>
      </c>
      <c r="G106" t="inlineStr">
        <is>
          <t>1</t>
        </is>
      </c>
      <c r="H106" t="inlineStr">
        <is>
          <t>No</t>
        </is>
      </c>
      <c r="I106" t="inlineStr">
        <is>
          <t>No</t>
        </is>
      </c>
      <c r="J106" t="inlineStr">
        <is>
          <t>0</t>
        </is>
      </c>
      <c r="K106" t="inlineStr">
        <is>
          <t>Boulet, Dan L.</t>
        </is>
      </c>
      <c r="L106" t="inlineStr">
        <is>
          <t>Richmond, Va. : Willmann-Bell, Inc., c1991.</t>
        </is>
      </c>
      <c r="M106" t="inlineStr">
        <is>
          <t>1991</t>
        </is>
      </c>
      <c r="N106" t="inlineStr">
        <is>
          <t>1st English ed.</t>
        </is>
      </c>
      <c r="O106" t="inlineStr">
        <is>
          <t>eng</t>
        </is>
      </c>
      <c r="P106" t="inlineStr">
        <is>
          <t>vau</t>
        </is>
      </c>
      <c r="R106" t="inlineStr">
        <is>
          <t xml:space="preserve">QB </t>
        </is>
      </c>
      <c r="S106" t="n">
        <v>2</v>
      </c>
      <c r="T106" t="n">
        <v>2</v>
      </c>
      <c r="U106" t="inlineStr">
        <is>
          <t>2007-09-05</t>
        </is>
      </c>
      <c r="V106" t="inlineStr">
        <is>
          <t>2007-09-05</t>
        </is>
      </c>
      <c r="W106" t="inlineStr">
        <is>
          <t>1993-02-09</t>
        </is>
      </c>
      <c r="X106" t="inlineStr">
        <is>
          <t>1993-02-09</t>
        </is>
      </c>
      <c r="Y106" t="n">
        <v>164</v>
      </c>
      <c r="Z106" t="n">
        <v>139</v>
      </c>
      <c r="AA106" t="n">
        <v>140</v>
      </c>
      <c r="AB106" t="n">
        <v>4</v>
      </c>
      <c r="AC106" t="n">
        <v>4</v>
      </c>
      <c r="AD106" t="n">
        <v>8</v>
      </c>
      <c r="AE106" t="n">
        <v>8</v>
      </c>
      <c r="AF106" t="n">
        <v>3</v>
      </c>
      <c r="AG106" t="n">
        <v>3</v>
      </c>
      <c r="AH106" t="n">
        <v>0</v>
      </c>
      <c r="AI106" t="n">
        <v>0</v>
      </c>
      <c r="AJ106" t="n">
        <v>3</v>
      </c>
      <c r="AK106" t="n">
        <v>3</v>
      </c>
      <c r="AL106" t="n">
        <v>3</v>
      </c>
      <c r="AM106" t="n">
        <v>3</v>
      </c>
      <c r="AN106" t="n">
        <v>0</v>
      </c>
      <c r="AO106" t="n">
        <v>0</v>
      </c>
      <c r="AP106" t="inlineStr">
        <is>
          <t>No</t>
        </is>
      </c>
      <c r="AQ106" t="inlineStr">
        <is>
          <t>Yes</t>
        </is>
      </c>
      <c r="AR106">
        <f>HYPERLINK("http://catalog.hathitrust.org/Record/002525279","HathiTrust Record")</f>
        <v/>
      </c>
      <c r="AS106">
        <f>HYPERLINK("https://creighton-primo.hosted.exlibrisgroup.com/primo-explore/search?tab=default_tab&amp;search_scope=EVERYTHING&amp;vid=01CRU&amp;lang=en_US&amp;offset=0&amp;query=any,contains,991001855869702656","Catalog Record")</f>
        <v/>
      </c>
      <c r="AT106">
        <f>HYPERLINK("http://www.worldcat.org/oclc/23287041","WorldCat Record")</f>
        <v/>
      </c>
      <c r="AU106" t="inlineStr">
        <is>
          <t>934302:eng</t>
        </is>
      </c>
      <c r="AV106" t="inlineStr">
        <is>
          <t>23287041</t>
        </is>
      </c>
      <c r="AW106" t="inlineStr">
        <is>
          <t>991001855869702656</t>
        </is>
      </c>
      <c r="AX106" t="inlineStr">
        <is>
          <t>991001855869702656</t>
        </is>
      </c>
      <c r="AY106" t="inlineStr">
        <is>
          <t>2272033120002656</t>
        </is>
      </c>
      <c r="AZ106" t="inlineStr">
        <is>
          <t>BOOK</t>
        </is>
      </c>
      <c r="BB106" t="inlineStr">
        <is>
          <t>9780943396347</t>
        </is>
      </c>
      <c r="BC106" t="inlineStr">
        <is>
          <t>32285001495216</t>
        </is>
      </c>
      <c r="BD106" t="inlineStr">
        <is>
          <t>893534726</t>
        </is>
      </c>
    </row>
    <row r="107">
      <c r="A107" t="inlineStr">
        <is>
          <t>No</t>
        </is>
      </c>
      <c r="B107" t="inlineStr">
        <is>
          <t>QB355 .P78 1976</t>
        </is>
      </c>
      <c r="C107" t="inlineStr">
        <is>
          <t>0                      QB 0355000P  78          1976</t>
        </is>
      </c>
      <c r="D107" t="inlineStr">
        <is>
          <t>Celestial mechanics / by Harry Pollard.</t>
        </is>
      </c>
      <c r="F107" t="inlineStr">
        <is>
          <t>No</t>
        </is>
      </c>
      <c r="G107" t="inlineStr">
        <is>
          <t>1</t>
        </is>
      </c>
      <c r="H107" t="inlineStr">
        <is>
          <t>No</t>
        </is>
      </c>
      <c r="I107" t="inlineStr">
        <is>
          <t>No</t>
        </is>
      </c>
      <c r="J107" t="inlineStr">
        <is>
          <t>0</t>
        </is>
      </c>
      <c r="K107" t="inlineStr">
        <is>
          <t>Pollard, Harry, 1919-1985.</t>
        </is>
      </c>
      <c r="L107" t="inlineStr">
        <is>
          <t>[Washington] : Mathematical Association of America, c1976.</t>
        </is>
      </c>
      <c r="M107" t="inlineStr">
        <is>
          <t>1976</t>
        </is>
      </c>
      <c r="O107" t="inlineStr">
        <is>
          <t>eng</t>
        </is>
      </c>
      <c r="P107" t="inlineStr">
        <is>
          <t>dcu</t>
        </is>
      </c>
      <c r="Q107" t="inlineStr">
        <is>
          <t>The Carus mathematical monographs ; no. 18</t>
        </is>
      </c>
      <c r="R107" t="inlineStr">
        <is>
          <t xml:space="preserve">QB </t>
        </is>
      </c>
      <c r="S107" t="n">
        <v>1</v>
      </c>
      <c r="T107" t="n">
        <v>1</v>
      </c>
      <c r="U107" t="inlineStr">
        <is>
          <t>2001-06-14</t>
        </is>
      </c>
      <c r="V107" t="inlineStr">
        <is>
          <t>2001-06-14</t>
        </is>
      </c>
      <c r="W107" t="inlineStr">
        <is>
          <t>2001-06-14</t>
        </is>
      </c>
      <c r="X107" t="inlineStr">
        <is>
          <t>2001-06-14</t>
        </is>
      </c>
      <c r="Y107" t="n">
        <v>553</v>
      </c>
      <c r="Z107" t="n">
        <v>443</v>
      </c>
      <c r="AA107" t="n">
        <v>507</v>
      </c>
      <c r="AB107" t="n">
        <v>3</v>
      </c>
      <c r="AC107" t="n">
        <v>4</v>
      </c>
      <c r="AD107" t="n">
        <v>23</v>
      </c>
      <c r="AE107" t="n">
        <v>26</v>
      </c>
      <c r="AF107" t="n">
        <v>6</v>
      </c>
      <c r="AG107" t="n">
        <v>8</v>
      </c>
      <c r="AH107" t="n">
        <v>7</v>
      </c>
      <c r="AI107" t="n">
        <v>8</v>
      </c>
      <c r="AJ107" t="n">
        <v>13</v>
      </c>
      <c r="AK107" t="n">
        <v>13</v>
      </c>
      <c r="AL107" t="n">
        <v>2</v>
      </c>
      <c r="AM107" t="n">
        <v>3</v>
      </c>
      <c r="AN107" t="n">
        <v>0</v>
      </c>
      <c r="AO107" t="n">
        <v>0</v>
      </c>
      <c r="AP107" t="inlineStr">
        <is>
          <t>No</t>
        </is>
      </c>
      <c r="AQ107" t="inlineStr">
        <is>
          <t>Yes</t>
        </is>
      </c>
      <c r="AR107">
        <f>HYPERLINK("http://catalog.hathitrust.org/Record/000039268","HathiTrust Record")</f>
        <v/>
      </c>
      <c r="AS107">
        <f>HYPERLINK("https://creighton-primo.hosted.exlibrisgroup.com/primo-explore/search?tab=default_tab&amp;search_scope=EVERYTHING&amp;vid=01CRU&amp;lang=en_US&amp;offset=0&amp;query=any,contains,991003553739702656","Catalog Record")</f>
        <v/>
      </c>
      <c r="AT107">
        <f>HYPERLINK("http://www.worldcat.org/oclc/2862987","WorldCat Record")</f>
        <v/>
      </c>
      <c r="AU107" t="inlineStr">
        <is>
          <t>3944201300:eng</t>
        </is>
      </c>
      <c r="AV107" t="inlineStr">
        <is>
          <t>2862987</t>
        </is>
      </c>
      <c r="AW107" t="inlineStr">
        <is>
          <t>991003553739702656</t>
        </is>
      </c>
      <c r="AX107" t="inlineStr">
        <is>
          <t>991003553739702656</t>
        </is>
      </c>
      <c r="AY107" t="inlineStr">
        <is>
          <t>2268238510002656</t>
        </is>
      </c>
      <c r="AZ107" t="inlineStr">
        <is>
          <t>BOOK</t>
        </is>
      </c>
      <c r="BB107" t="inlineStr">
        <is>
          <t>9780883850190</t>
        </is>
      </c>
      <c r="BC107" t="inlineStr">
        <is>
          <t>32285004327655</t>
        </is>
      </c>
      <c r="BD107" t="inlineStr">
        <is>
          <t>893717785</t>
        </is>
      </c>
    </row>
    <row r="108">
      <c r="A108" t="inlineStr">
        <is>
          <t>No</t>
        </is>
      </c>
      <c r="B108" t="inlineStr">
        <is>
          <t>QB355 .R68</t>
        </is>
      </c>
      <c r="C108" t="inlineStr">
        <is>
          <t>0                      QB 0355000R  68</t>
        </is>
      </c>
      <c r="D108" t="inlineStr">
        <is>
          <t>Orbital motion / A. E. Roy.</t>
        </is>
      </c>
      <c r="F108" t="inlineStr">
        <is>
          <t>No</t>
        </is>
      </c>
      <c r="G108" t="inlineStr">
        <is>
          <t>1</t>
        </is>
      </c>
      <c r="H108" t="inlineStr">
        <is>
          <t>No</t>
        </is>
      </c>
      <c r="I108" t="inlineStr">
        <is>
          <t>No</t>
        </is>
      </c>
      <c r="J108" t="inlineStr">
        <is>
          <t>0</t>
        </is>
      </c>
      <c r="K108" t="inlineStr">
        <is>
          <t>Roy, A. E. (Archie E.), 1924-2012.</t>
        </is>
      </c>
      <c r="L108" t="inlineStr">
        <is>
          <t>New York : Wiley, c1978.</t>
        </is>
      </c>
      <c r="M108" t="inlineStr">
        <is>
          <t>1978</t>
        </is>
      </c>
      <c r="O108" t="inlineStr">
        <is>
          <t>eng</t>
        </is>
      </c>
      <c r="P108" t="inlineStr">
        <is>
          <t>nyu</t>
        </is>
      </c>
      <c r="R108" t="inlineStr">
        <is>
          <t xml:space="preserve">QB </t>
        </is>
      </c>
      <c r="S108" t="n">
        <v>3</v>
      </c>
      <c r="T108" t="n">
        <v>3</v>
      </c>
      <c r="U108" t="inlineStr">
        <is>
          <t>1998-11-20</t>
        </is>
      </c>
      <c r="V108" t="inlineStr">
        <is>
          <t>1998-11-20</t>
        </is>
      </c>
      <c r="W108" t="inlineStr">
        <is>
          <t>1997-05-02</t>
        </is>
      </c>
      <c r="X108" t="inlineStr">
        <is>
          <t>1997-05-02</t>
        </is>
      </c>
      <c r="Y108" t="n">
        <v>193</v>
      </c>
      <c r="Z108" t="n">
        <v>177</v>
      </c>
      <c r="AA108" t="n">
        <v>461</v>
      </c>
      <c r="AB108" t="n">
        <v>1</v>
      </c>
      <c r="AC108" t="n">
        <v>3</v>
      </c>
      <c r="AD108" t="n">
        <v>4</v>
      </c>
      <c r="AE108" t="n">
        <v>15</v>
      </c>
      <c r="AF108" t="n">
        <v>2</v>
      </c>
      <c r="AG108" t="n">
        <v>5</v>
      </c>
      <c r="AH108" t="n">
        <v>1</v>
      </c>
      <c r="AI108" t="n">
        <v>5</v>
      </c>
      <c r="AJ108" t="n">
        <v>2</v>
      </c>
      <c r="AK108" t="n">
        <v>8</v>
      </c>
      <c r="AL108" t="n">
        <v>0</v>
      </c>
      <c r="AM108" t="n">
        <v>2</v>
      </c>
      <c r="AN108" t="n">
        <v>0</v>
      </c>
      <c r="AO108" t="n">
        <v>0</v>
      </c>
      <c r="AP108" t="inlineStr">
        <is>
          <t>No</t>
        </is>
      </c>
      <c r="AQ108" t="inlineStr">
        <is>
          <t>Yes</t>
        </is>
      </c>
      <c r="AR108">
        <f>HYPERLINK("http://catalog.hathitrust.org/Record/000294615","HathiTrust Record")</f>
        <v/>
      </c>
      <c r="AS108">
        <f>HYPERLINK("https://creighton-primo.hosted.exlibrisgroup.com/primo-explore/search?tab=default_tab&amp;search_scope=EVERYTHING&amp;vid=01CRU&amp;lang=en_US&amp;offset=0&amp;query=any,contains,991004373099702656","Catalog Record")</f>
        <v/>
      </c>
      <c r="AT108">
        <f>HYPERLINK("http://www.worldcat.org/oclc/3202661","WorldCat Record")</f>
        <v/>
      </c>
      <c r="AU108" t="inlineStr">
        <is>
          <t>1041582:eng</t>
        </is>
      </c>
      <c r="AV108" t="inlineStr">
        <is>
          <t>3202661</t>
        </is>
      </c>
      <c r="AW108" t="inlineStr">
        <is>
          <t>991004373099702656</t>
        </is>
      </c>
      <c r="AX108" t="inlineStr">
        <is>
          <t>991004373099702656</t>
        </is>
      </c>
      <c r="AY108" t="inlineStr">
        <is>
          <t>2270284590002656</t>
        </is>
      </c>
      <c r="AZ108" t="inlineStr">
        <is>
          <t>BOOK</t>
        </is>
      </c>
      <c r="BB108" t="inlineStr">
        <is>
          <t>9780470992517</t>
        </is>
      </c>
      <c r="BC108" t="inlineStr">
        <is>
          <t>32285002640687</t>
        </is>
      </c>
      <c r="BD108" t="inlineStr">
        <is>
          <t>893241344</t>
        </is>
      </c>
    </row>
    <row r="109">
      <c r="A109" t="inlineStr">
        <is>
          <t>No</t>
        </is>
      </c>
      <c r="B109" t="inlineStr">
        <is>
          <t>QB355 .S974 1998</t>
        </is>
      </c>
      <c r="C109" t="inlineStr">
        <is>
          <t>0                      QB 0355000S  974         1998</t>
        </is>
      </c>
      <c r="D109" t="inlineStr">
        <is>
          <t>Adventures in celestial mechanics / Victor G. Szebehely, Hans Mark.</t>
        </is>
      </c>
      <c r="F109" t="inlineStr">
        <is>
          <t>No</t>
        </is>
      </c>
      <c r="G109" t="inlineStr">
        <is>
          <t>1</t>
        </is>
      </c>
      <c r="H109" t="inlineStr">
        <is>
          <t>No</t>
        </is>
      </c>
      <c r="I109" t="inlineStr">
        <is>
          <t>No</t>
        </is>
      </c>
      <c r="J109" t="inlineStr">
        <is>
          <t>0</t>
        </is>
      </c>
      <c r="K109" t="inlineStr">
        <is>
          <t>Szebehely, Victor G., 1921-</t>
        </is>
      </c>
      <c r="L109" t="inlineStr">
        <is>
          <t>New York : J. Wiley, c1998.</t>
        </is>
      </c>
      <c r="M109" t="inlineStr">
        <is>
          <t>1998</t>
        </is>
      </c>
      <c r="N109" t="inlineStr">
        <is>
          <t>2nd ed.</t>
        </is>
      </c>
      <c r="O109" t="inlineStr">
        <is>
          <t>eng</t>
        </is>
      </c>
      <c r="P109" t="inlineStr">
        <is>
          <t>nyu</t>
        </is>
      </c>
      <c r="R109" t="inlineStr">
        <is>
          <t xml:space="preserve">QB </t>
        </is>
      </c>
      <c r="S109" t="n">
        <v>2</v>
      </c>
      <c r="T109" t="n">
        <v>2</v>
      </c>
      <c r="U109" t="inlineStr">
        <is>
          <t>2009-03-05</t>
        </is>
      </c>
      <c r="V109" t="inlineStr">
        <is>
          <t>2009-03-05</t>
        </is>
      </c>
      <c r="W109" t="inlineStr">
        <is>
          <t>1999-03-25</t>
        </is>
      </c>
      <c r="X109" t="inlineStr">
        <is>
          <t>1999-03-25</t>
        </is>
      </c>
      <c r="Y109" t="n">
        <v>273</v>
      </c>
      <c r="Z109" t="n">
        <v>206</v>
      </c>
      <c r="AA109" t="n">
        <v>425</v>
      </c>
      <c r="AB109" t="n">
        <v>2</v>
      </c>
      <c r="AC109" t="n">
        <v>3</v>
      </c>
      <c r="AD109" t="n">
        <v>11</v>
      </c>
      <c r="AE109" t="n">
        <v>17</v>
      </c>
      <c r="AF109" t="n">
        <v>2</v>
      </c>
      <c r="AG109" t="n">
        <v>5</v>
      </c>
      <c r="AH109" t="n">
        <v>4</v>
      </c>
      <c r="AI109" t="n">
        <v>4</v>
      </c>
      <c r="AJ109" t="n">
        <v>6</v>
      </c>
      <c r="AK109" t="n">
        <v>10</v>
      </c>
      <c r="AL109" t="n">
        <v>1</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HYPERLINK("https://creighton-primo.hosted.exlibrisgroup.com/primo-explore/search?tab=default_tab&amp;search_scope=EVERYTHING&amp;vid=01CRU&amp;lang=en_US&amp;offset=0&amp;query=any,contains,991002785629702656","Catalog Record")</f>
        <v/>
      </c>
      <c r="AT109">
        <f>HYPERLINK("http://www.worldcat.org/oclc/36573836","WorldCat Record")</f>
        <v/>
      </c>
      <c r="AU109" t="inlineStr">
        <is>
          <t>26127:eng</t>
        </is>
      </c>
      <c r="AV109" t="inlineStr">
        <is>
          <t>36573836</t>
        </is>
      </c>
      <c r="AW109" t="inlineStr">
        <is>
          <t>991002785629702656</t>
        </is>
      </c>
      <c r="AX109" t="inlineStr">
        <is>
          <t>991002785629702656</t>
        </is>
      </c>
      <c r="AY109" t="inlineStr">
        <is>
          <t>2266304890002656</t>
        </is>
      </c>
      <c r="AZ109" t="inlineStr">
        <is>
          <t>BOOK</t>
        </is>
      </c>
      <c r="BB109" t="inlineStr">
        <is>
          <t>9780471133179</t>
        </is>
      </c>
      <c r="BC109" t="inlineStr">
        <is>
          <t>32285003546289</t>
        </is>
      </c>
      <c r="BD109" t="inlineStr">
        <is>
          <t>893251610</t>
        </is>
      </c>
    </row>
    <row r="110">
      <c r="A110" t="inlineStr">
        <is>
          <t>No</t>
        </is>
      </c>
      <c r="B110" t="inlineStr">
        <is>
          <t>QB36.B8 D7</t>
        </is>
      </c>
      <c r="C110" t="inlineStr">
        <is>
          <t>0                      QB 0036000B  8                  D  7</t>
        </is>
      </c>
      <c r="D110" t="inlineStr">
        <is>
          <t>Tycho Brahe : a picture of scientific life and work in the sixteenth century.</t>
        </is>
      </c>
      <c r="F110" t="inlineStr">
        <is>
          <t>No</t>
        </is>
      </c>
      <c r="G110" t="inlineStr">
        <is>
          <t>1</t>
        </is>
      </c>
      <c r="H110" t="inlineStr">
        <is>
          <t>No</t>
        </is>
      </c>
      <c r="I110" t="inlineStr">
        <is>
          <t>No</t>
        </is>
      </c>
      <c r="J110" t="inlineStr">
        <is>
          <t>0</t>
        </is>
      </c>
      <c r="K110" t="inlineStr">
        <is>
          <t>Dreyer, J. L. E. (John Louis Emil), 1852-1926.</t>
        </is>
      </c>
      <c r="L110" t="inlineStr">
        <is>
          <t>New York : Dover Publications, [1963]</t>
        </is>
      </c>
      <c r="M110" t="inlineStr">
        <is>
          <t>1963</t>
        </is>
      </c>
      <c r="O110" t="inlineStr">
        <is>
          <t>eng</t>
        </is>
      </c>
      <c r="P110" t="inlineStr">
        <is>
          <t>nyu</t>
        </is>
      </c>
      <c r="R110" t="inlineStr">
        <is>
          <t xml:space="preserve">QB </t>
        </is>
      </c>
      <c r="S110" t="n">
        <v>11</v>
      </c>
      <c r="T110" t="n">
        <v>11</v>
      </c>
      <c r="U110" t="inlineStr">
        <is>
          <t>2007-11-12</t>
        </is>
      </c>
      <c r="V110" t="inlineStr">
        <is>
          <t>2007-11-12</t>
        </is>
      </c>
      <c r="W110" t="inlineStr">
        <is>
          <t>1994-11-30</t>
        </is>
      </c>
      <c r="X110" t="inlineStr">
        <is>
          <t>1994-11-30</t>
        </is>
      </c>
      <c r="Y110" t="n">
        <v>512</v>
      </c>
      <c r="Z110" t="n">
        <v>439</v>
      </c>
      <c r="AA110" t="n">
        <v>453</v>
      </c>
      <c r="AB110" t="n">
        <v>6</v>
      </c>
      <c r="AC110" t="n">
        <v>6</v>
      </c>
      <c r="AD110" t="n">
        <v>19</v>
      </c>
      <c r="AE110" t="n">
        <v>19</v>
      </c>
      <c r="AF110" t="n">
        <v>4</v>
      </c>
      <c r="AG110" t="n">
        <v>4</v>
      </c>
      <c r="AH110" t="n">
        <v>4</v>
      </c>
      <c r="AI110" t="n">
        <v>4</v>
      </c>
      <c r="AJ110" t="n">
        <v>10</v>
      </c>
      <c r="AK110" t="n">
        <v>10</v>
      </c>
      <c r="AL110" t="n">
        <v>5</v>
      </c>
      <c r="AM110" t="n">
        <v>5</v>
      </c>
      <c r="AN110" t="n">
        <v>0</v>
      </c>
      <c r="AO110" t="n">
        <v>0</v>
      </c>
      <c r="AP110" t="inlineStr">
        <is>
          <t>No</t>
        </is>
      </c>
      <c r="AQ110" t="inlineStr">
        <is>
          <t>No</t>
        </is>
      </c>
      <c r="AR110">
        <f>HYPERLINK("http://catalog.hathitrust.org/Record/001475564","HathiTrust Record")</f>
        <v/>
      </c>
      <c r="AS110">
        <f>HYPERLINK("https://creighton-primo.hosted.exlibrisgroup.com/primo-explore/search?tab=default_tab&amp;search_scope=EVERYTHING&amp;vid=01CRU&amp;lang=en_US&amp;offset=0&amp;query=any,contains,991002929279702656","Catalog Record")</f>
        <v/>
      </c>
      <c r="AT110">
        <f>HYPERLINK("http://www.worldcat.org/oclc/530360","WorldCat Record")</f>
        <v/>
      </c>
      <c r="AU110" t="inlineStr">
        <is>
          <t>8909908423:eng</t>
        </is>
      </c>
      <c r="AV110" t="inlineStr">
        <is>
          <t>530360</t>
        </is>
      </c>
      <c r="AW110" t="inlineStr">
        <is>
          <t>991002929279702656</t>
        </is>
      </c>
      <c r="AX110" t="inlineStr">
        <is>
          <t>991002929279702656</t>
        </is>
      </c>
      <c r="AY110" t="inlineStr">
        <is>
          <t>2266610050002656</t>
        </is>
      </c>
      <c r="AZ110" t="inlineStr">
        <is>
          <t>BOOK</t>
        </is>
      </c>
      <c r="BC110" t="inlineStr">
        <is>
          <t>32285001968998</t>
        </is>
      </c>
      <c r="BD110" t="inlineStr">
        <is>
          <t>893717103</t>
        </is>
      </c>
    </row>
    <row r="111">
      <c r="A111" t="inlineStr">
        <is>
          <t>No</t>
        </is>
      </c>
      <c r="B111" t="inlineStr">
        <is>
          <t>QB36.B8 F47 2002</t>
        </is>
      </c>
      <c r="C111" t="inlineStr">
        <is>
          <t>0                      QB 0036000B  8                  F  47          2002</t>
        </is>
      </c>
      <c r="D111" t="inlineStr">
        <is>
          <t>Tycho &amp; Kepler : the unlikely partnership that forever changed our understanding of the heavens / Kitty Ferguson.</t>
        </is>
      </c>
      <c r="F111" t="inlineStr">
        <is>
          <t>No</t>
        </is>
      </c>
      <c r="G111" t="inlineStr">
        <is>
          <t>1</t>
        </is>
      </c>
      <c r="H111" t="inlineStr">
        <is>
          <t>No</t>
        </is>
      </c>
      <c r="I111" t="inlineStr">
        <is>
          <t>No</t>
        </is>
      </c>
      <c r="J111" t="inlineStr">
        <is>
          <t>0</t>
        </is>
      </c>
      <c r="K111" t="inlineStr">
        <is>
          <t>Ferguson, Kitty.</t>
        </is>
      </c>
      <c r="L111" t="inlineStr">
        <is>
          <t>New York : Walker &amp; Co., c2002.</t>
        </is>
      </c>
      <c r="M111" t="inlineStr">
        <is>
          <t>2002</t>
        </is>
      </c>
      <c r="O111" t="inlineStr">
        <is>
          <t>eng</t>
        </is>
      </c>
      <c r="P111" t="inlineStr">
        <is>
          <t>nyu</t>
        </is>
      </c>
      <c r="R111" t="inlineStr">
        <is>
          <t xml:space="preserve">QB </t>
        </is>
      </c>
      <c r="S111" t="n">
        <v>4</v>
      </c>
      <c r="T111" t="n">
        <v>4</v>
      </c>
      <c r="U111" t="inlineStr">
        <is>
          <t>2007-10-02</t>
        </is>
      </c>
      <c r="V111" t="inlineStr">
        <is>
          <t>2007-10-02</t>
        </is>
      </c>
      <c r="W111" t="inlineStr">
        <is>
          <t>2005-03-15</t>
        </is>
      </c>
      <c r="X111" t="inlineStr">
        <is>
          <t>2005-03-15</t>
        </is>
      </c>
      <c r="Y111" t="n">
        <v>1059</v>
      </c>
      <c r="Z111" t="n">
        <v>993</v>
      </c>
      <c r="AA111" t="n">
        <v>1057</v>
      </c>
      <c r="AB111" t="n">
        <v>9</v>
      </c>
      <c r="AC111" t="n">
        <v>9</v>
      </c>
      <c r="AD111" t="n">
        <v>33</v>
      </c>
      <c r="AE111" t="n">
        <v>33</v>
      </c>
      <c r="AF111" t="n">
        <v>13</v>
      </c>
      <c r="AG111" t="n">
        <v>13</v>
      </c>
      <c r="AH111" t="n">
        <v>8</v>
      </c>
      <c r="AI111" t="n">
        <v>8</v>
      </c>
      <c r="AJ111" t="n">
        <v>14</v>
      </c>
      <c r="AK111" t="n">
        <v>14</v>
      </c>
      <c r="AL111" t="n">
        <v>6</v>
      </c>
      <c r="AM111" t="n">
        <v>6</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HYPERLINK("https://creighton-primo.hosted.exlibrisgroup.com/primo-explore/search?tab=default_tab&amp;search_scope=EVERYTHING&amp;vid=01CRU&amp;lang=en_US&amp;offset=0&amp;query=any,contains,991004470909702656","Catalog Record")</f>
        <v/>
      </c>
      <c r="AT111">
        <f>HYPERLINK("http://www.worldcat.org/oclc/50410222","WorldCat Record")</f>
        <v/>
      </c>
      <c r="AU111" t="inlineStr">
        <is>
          <t>364510811:eng</t>
        </is>
      </c>
      <c r="AV111" t="inlineStr">
        <is>
          <t>50410222</t>
        </is>
      </c>
      <c r="AW111" t="inlineStr">
        <is>
          <t>991004470909702656</t>
        </is>
      </c>
      <c r="AX111" t="inlineStr">
        <is>
          <t>991004470909702656</t>
        </is>
      </c>
      <c r="AY111" t="inlineStr">
        <is>
          <t>2262259590002656</t>
        </is>
      </c>
      <c r="AZ111" t="inlineStr">
        <is>
          <t>BOOK</t>
        </is>
      </c>
      <c r="BB111" t="inlineStr">
        <is>
          <t>9780802713902</t>
        </is>
      </c>
      <c r="BC111" t="inlineStr">
        <is>
          <t>32285005041396</t>
        </is>
      </c>
      <c r="BD111" t="inlineStr">
        <is>
          <t>893700283</t>
        </is>
      </c>
    </row>
    <row r="112">
      <c r="A112" t="inlineStr">
        <is>
          <t>No</t>
        </is>
      </c>
      <c r="B112" t="inlineStr">
        <is>
          <t>QB36.B8 G2</t>
        </is>
      </c>
      <c r="C112" t="inlineStr">
        <is>
          <t>0                      QB 0036000B  8                  G  2</t>
        </is>
      </c>
      <c r="D112" t="inlineStr">
        <is>
          <t>The life and times of Tycho Brahe.</t>
        </is>
      </c>
      <c r="F112" t="inlineStr">
        <is>
          <t>No</t>
        </is>
      </c>
      <c r="G112" t="inlineStr">
        <is>
          <t>1</t>
        </is>
      </c>
      <c r="H112" t="inlineStr">
        <is>
          <t>No</t>
        </is>
      </c>
      <c r="I112" t="inlineStr">
        <is>
          <t>No</t>
        </is>
      </c>
      <c r="J112" t="inlineStr">
        <is>
          <t>0</t>
        </is>
      </c>
      <c r="K112" t="inlineStr">
        <is>
          <t>Gade, John A. (John Allyne), 1875-1955.</t>
        </is>
      </c>
      <c r="L112" t="inlineStr">
        <is>
          <t>Princeton : Princeton Univ. Press for the American-Scandinavian Foundation, New York, 1947.</t>
        </is>
      </c>
      <c r="M112" t="inlineStr">
        <is>
          <t>1947</t>
        </is>
      </c>
      <c r="O112" t="inlineStr">
        <is>
          <t>eng</t>
        </is>
      </c>
      <c r="P112" t="inlineStr">
        <is>
          <t>nju</t>
        </is>
      </c>
      <c r="R112" t="inlineStr">
        <is>
          <t xml:space="preserve">QB </t>
        </is>
      </c>
      <c r="S112" t="n">
        <v>15</v>
      </c>
      <c r="T112" t="n">
        <v>15</v>
      </c>
      <c r="U112" t="inlineStr">
        <is>
          <t>2007-12-03</t>
        </is>
      </c>
      <c r="V112" t="inlineStr">
        <is>
          <t>2007-12-03</t>
        </is>
      </c>
      <c r="W112" t="inlineStr">
        <is>
          <t>1994-11-28</t>
        </is>
      </c>
      <c r="X112" t="inlineStr">
        <is>
          <t>1994-11-28</t>
        </is>
      </c>
      <c r="Y112" t="n">
        <v>562</v>
      </c>
      <c r="Z112" t="n">
        <v>508</v>
      </c>
      <c r="AA112" t="n">
        <v>636</v>
      </c>
      <c r="AB112" t="n">
        <v>2</v>
      </c>
      <c r="AC112" t="n">
        <v>2</v>
      </c>
      <c r="AD112" t="n">
        <v>21</v>
      </c>
      <c r="AE112" t="n">
        <v>27</v>
      </c>
      <c r="AF112" t="n">
        <v>5</v>
      </c>
      <c r="AG112" t="n">
        <v>8</v>
      </c>
      <c r="AH112" t="n">
        <v>7</v>
      </c>
      <c r="AI112" t="n">
        <v>9</v>
      </c>
      <c r="AJ112" t="n">
        <v>12</v>
      </c>
      <c r="AK112" t="n">
        <v>15</v>
      </c>
      <c r="AL112" t="n">
        <v>1</v>
      </c>
      <c r="AM112" t="n">
        <v>1</v>
      </c>
      <c r="AN112" t="n">
        <v>0</v>
      </c>
      <c r="AO112" t="n">
        <v>0</v>
      </c>
      <c r="AP112" t="inlineStr">
        <is>
          <t>No</t>
        </is>
      </c>
      <c r="AQ112" t="inlineStr">
        <is>
          <t>Yes</t>
        </is>
      </c>
      <c r="AR112">
        <f>HYPERLINK("http://catalog.hathitrust.org/Record/007417671","HathiTrust Record")</f>
        <v/>
      </c>
      <c r="AS112">
        <f>HYPERLINK("https://creighton-primo.hosted.exlibrisgroup.com/primo-explore/search?tab=default_tab&amp;search_scope=EVERYTHING&amp;vid=01CRU&amp;lang=en_US&amp;offset=0&amp;query=any,contains,991002929459702656","Catalog Record")</f>
        <v/>
      </c>
      <c r="AT112">
        <f>HYPERLINK("http://www.worldcat.org/oclc/530422","WorldCat Record")</f>
        <v/>
      </c>
      <c r="AU112" t="inlineStr">
        <is>
          <t>48081394:eng</t>
        </is>
      </c>
      <c r="AV112" t="inlineStr">
        <is>
          <t>530422</t>
        </is>
      </c>
      <c r="AW112" t="inlineStr">
        <is>
          <t>991002929459702656</t>
        </is>
      </c>
      <c r="AX112" t="inlineStr">
        <is>
          <t>991002929459702656</t>
        </is>
      </c>
      <c r="AY112" t="inlineStr">
        <is>
          <t>2266474750002656</t>
        </is>
      </c>
      <c r="AZ112" t="inlineStr">
        <is>
          <t>BOOK</t>
        </is>
      </c>
      <c r="BC112" t="inlineStr">
        <is>
          <t>32285001967958</t>
        </is>
      </c>
      <c r="BD112" t="inlineStr">
        <is>
          <t>893717104</t>
        </is>
      </c>
    </row>
    <row r="113">
      <c r="A113" t="inlineStr">
        <is>
          <t>No</t>
        </is>
      </c>
      <c r="B113" t="inlineStr">
        <is>
          <t>QB36.B8 G55 2004</t>
        </is>
      </c>
      <c r="C113" t="inlineStr">
        <is>
          <t>0                      QB 0036000B  8                  G  55          2004</t>
        </is>
      </c>
      <c r="D113" t="inlineStr">
        <is>
          <t>Heavenly intrigue : Johannes Kepler, Tycho Brahe, and the murder behind one of history's greatest scientific discoveries / Joshua Gilder and Anne-Lee Gilder.</t>
        </is>
      </c>
      <c r="F113" t="inlineStr">
        <is>
          <t>No</t>
        </is>
      </c>
      <c r="G113" t="inlineStr">
        <is>
          <t>1</t>
        </is>
      </c>
      <c r="H113" t="inlineStr">
        <is>
          <t>No</t>
        </is>
      </c>
      <c r="I113" t="inlineStr">
        <is>
          <t>No</t>
        </is>
      </c>
      <c r="J113" t="inlineStr">
        <is>
          <t>0</t>
        </is>
      </c>
      <c r="K113" t="inlineStr">
        <is>
          <t>Gilder, Joshua.</t>
        </is>
      </c>
      <c r="L113" t="inlineStr">
        <is>
          <t>New York : Doubleday : 2004.</t>
        </is>
      </c>
      <c r="M113" t="inlineStr">
        <is>
          <t>2004</t>
        </is>
      </c>
      <c r="N113" t="inlineStr">
        <is>
          <t>1st ed.</t>
        </is>
      </c>
      <c r="O113" t="inlineStr">
        <is>
          <t>eng</t>
        </is>
      </c>
      <c r="P113" t="inlineStr">
        <is>
          <t>nyu</t>
        </is>
      </c>
      <c r="R113" t="inlineStr">
        <is>
          <t xml:space="preserve">QB </t>
        </is>
      </c>
      <c r="S113" t="n">
        <v>3</v>
      </c>
      <c r="T113" t="n">
        <v>3</v>
      </c>
      <c r="U113" t="inlineStr">
        <is>
          <t>2007-04-22</t>
        </is>
      </c>
      <c r="V113" t="inlineStr">
        <is>
          <t>2007-04-22</t>
        </is>
      </c>
      <c r="W113" t="inlineStr">
        <is>
          <t>2005-04-25</t>
        </is>
      </c>
      <c r="X113" t="inlineStr">
        <is>
          <t>2005-04-25</t>
        </is>
      </c>
      <c r="Y113" t="n">
        <v>636</v>
      </c>
      <c r="Z113" t="n">
        <v>594</v>
      </c>
      <c r="AA113" t="n">
        <v>665</v>
      </c>
      <c r="AB113" t="n">
        <v>8</v>
      </c>
      <c r="AC113" t="n">
        <v>10</v>
      </c>
      <c r="AD113" t="n">
        <v>17</v>
      </c>
      <c r="AE113" t="n">
        <v>19</v>
      </c>
      <c r="AF113" t="n">
        <v>6</v>
      </c>
      <c r="AG113" t="n">
        <v>7</v>
      </c>
      <c r="AH113" t="n">
        <v>4</v>
      </c>
      <c r="AI113" t="n">
        <v>4</v>
      </c>
      <c r="AJ113" t="n">
        <v>9</v>
      </c>
      <c r="AK113" t="n">
        <v>9</v>
      </c>
      <c r="AL113" t="n">
        <v>5</v>
      </c>
      <c r="AM113" t="n">
        <v>6</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HYPERLINK("https://creighton-primo.hosted.exlibrisgroup.com/primo-explore/search?tab=default_tab&amp;search_scope=EVERYTHING&amp;vid=01CRU&amp;lang=en_US&amp;offset=0&amp;query=any,contains,991004528109702656","Catalog Record")</f>
        <v/>
      </c>
      <c r="AT113">
        <f>HYPERLINK("http://www.worldcat.org/oclc/53469663","WorldCat Record")</f>
        <v/>
      </c>
      <c r="AU113" t="inlineStr">
        <is>
          <t>11203662:eng</t>
        </is>
      </c>
      <c r="AV113" t="inlineStr">
        <is>
          <t>53469663</t>
        </is>
      </c>
      <c r="AW113" t="inlineStr">
        <is>
          <t>991004528109702656</t>
        </is>
      </c>
      <c r="AX113" t="inlineStr">
        <is>
          <t>991004528109702656</t>
        </is>
      </c>
      <c r="AY113" t="inlineStr">
        <is>
          <t>2259235070002656</t>
        </is>
      </c>
      <c r="AZ113" t="inlineStr">
        <is>
          <t>BOOK</t>
        </is>
      </c>
      <c r="BB113" t="inlineStr">
        <is>
          <t>9780385508445</t>
        </is>
      </c>
      <c r="BC113" t="inlineStr">
        <is>
          <t>32285005033179</t>
        </is>
      </c>
      <c r="BD113" t="inlineStr">
        <is>
          <t>893259823</t>
        </is>
      </c>
    </row>
    <row r="114">
      <c r="A114" t="inlineStr">
        <is>
          <t>No</t>
        </is>
      </c>
      <c r="B114" t="inlineStr">
        <is>
          <t>QB36.B8 T49 1990</t>
        </is>
      </c>
      <c r="C114" t="inlineStr">
        <is>
          <t>0                      QB 0036000B  8                  T  49          1990</t>
        </is>
      </c>
      <c r="D114" t="inlineStr">
        <is>
          <t>The Lord of Uraniborg : a biography of Tycho Brahe / Victor E. Thoren ; with contributions by John R. Christianson.</t>
        </is>
      </c>
      <c r="F114" t="inlineStr">
        <is>
          <t>No</t>
        </is>
      </c>
      <c r="G114" t="inlineStr">
        <is>
          <t>1</t>
        </is>
      </c>
      <c r="H114" t="inlineStr">
        <is>
          <t>No</t>
        </is>
      </c>
      <c r="I114" t="inlineStr">
        <is>
          <t>No</t>
        </is>
      </c>
      <c r="J114" t="inlineStr">
        <is>
          <t>0</t>
        </is>
      </c>
      <c r="K114" t="inlineStr">
        <is>
          <t>Thoren, Victor E.</t>
        </is>
      </c>
      <c r="L114" t="inlineStr">
        <is>
          <t>Cambridge [England] ; New York : Cambridge University Press, 1990.</t>
        </is>
      </c>
      <c r="M114" t="inlineStr">
        <is>
          <t>1990</t>
        </is>
      </c>
      <c r="O114" t="inlineStr">
        <is>
          <t>eng</t>
        </is>
      </c>
      <c r="P114" t="inlineStr">
        <is>
          <t>enk</t>
        </is>
      </c>
      <c r="R114" t="inlineStr">
        <is>
          <t xml:space="preserve">QB </t>
        </is>
      </c>
      <c r="S114" t="n">
        <v>12</v>
      </c>
      <c r="T114" t="n">
        <v>12</v>
      </c>
      <c r="U114" t="inlineStr">
        <is>
          <t>2007-12-03</t>
        </is>
      </c>
      <c r="V114" t="inlineStr">
        <is>
          <t>2007-12-03</t>
        </is>
      </c>
      <c r="W114" t="inlineStr">
        <is>
          <t>1991-11-26</t>
        </is>
      </c>
      <c r="X114" t="inlineStr">
        <is>
          <t>1991-11-26</t>
        </is>
      </c>
      <c r="Y114" t="n">
        <v>519</v>
      </c>
      <c r="Z114" t="n">
        <v>403</v>
      </c>
      <c r="AA114" t="n">
        <v>414</v>
      </c>
      <c r="AB114" t="n">
        <v>2</v>
      </c>
      <c r="AC114" t="n">
        <v>2</v>
      </c>
      <c r="AD114" t="n">
        <v>17</v>
      </c>
      <c r="AE114" t="n">
        <v>17</v>
      </c>
      <c r="AF114" t="n">
        <v>4</v>
      </c>
      <c r="AG114" t="n">
        <v>4</v>
      </c>
      <c r="AH114" t="n">
        <v>7</v>
      </c>
      <c r="AI114" t="n">
        <v>7</v>
      </c>
      <c r="AJ114" t="n">
        <v>10</v>
      </c>
      <c r="AK114" t="n">
        <v>10</v>
      </c>
      <c r="AL114" t="n">
        <v>1</v>
      </c>
      <c r="AM114" t="n">
        <v>1</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HYPERLINK("https://creighton-primo.hosted.exlibrisgroup.com/primo-explore/search?tab=default_tab&amp;search_scope=EVERYTHING&amp;vid=01CRU&amp;lang=en_US&amp;offset=0&amp;query=any,contains,991001653159702656","Catalog Record")</f>
        <v/>
      </c>
      <c r="AT114">
        <f>HYPERLINK("http://www.worldcat.org/oclc/21116731","WorldCat Record")</f>
        <v/>
      </c>
      <c r="AU114" t="inlineStr">
        <is>
          <t>809249120:eng</t>
        </is>
      </c>
      <c r="AV114" t="inlineStr">
        <is>
          <t>21116731</t>
        </is>
      </c>
      <c r="AW114" t="inlineStr">
        <is>
          <t>991001653159702656</t>
        </is>
      </c>
      <c r="AX114" t="inlineStr">
        <is>
          <t>991001653159702656</t>
        </is>
      </c>
      <c r="AY114" t="inlineStr">
        <is>
          <t>2264249810002656</t>
        </is>
      </c>
      <c r="AZ114" t="inlineStr">
        <is>
          <t>BOOK</t>
        </is>
      </c>
      <c r="BB114" t="inlineStr">
        <is>
          <t>9780521351584</t>
        </is>
      </c>
      <c r="BC114" t="inlineStr">
        <is>
          <t>32285000817287</t>
        </is>
      </c>
      <c r="BD114" t="inlineStr">
        <is>
          <t>893715589</t>
        </is>
      </c>
    </row>
    <row r="115">
      <c r="A115" t="inlineStr">
        <is>
          <t>No</t>
        </is>
      </c>
      <c r="B115" t="inlineStr">
        <is>
          <t>QB36.C46 S22 1997</t>
        </is>
      </c>
      <c r="C115" t="inlineStr">
        <is>
          <t>0                      QB 0036000C  46                 S  22          1997</t>
        </is>
      </c>
      <c r="D115" t="inlineStr">
        <is>
          <t>S. Chandrasekhar : the man behind the legend / editor, Kameshwar C. Wali.</t>
        </is>
      </c>
      <c r="F115" t="inlineStr">
        <is>
          <t>No</t>
        </is>
      </c>
      <c r="G115" t="inlineStr">
        <is>
          <t>1</t>
        </is>
      </c>
      <c r="H115" t="inlineStr">
        <is>
          <t>No</t>
        </is>
      </c>
      <c r="I115" t="inlineStr">
        <is>
          <t>No</t>
        </is>
      </c>
      <c r="J115" t="inlineStr">
        <is>
          <t>0</t>
        </is>
      </c>
      <c r="L115" t="inlineStr">
        <is>
          <t>London : Imperial College Press ; Singapore ; River Edge, NJ : Distributed by World Scientific Pub. Co. , 1997.</t>
        </is>
      </c>
      <c r="M115" t="inlineStr">
        <is>
          <t>1997</t>
        </is>
      </c>
      <c r="O115" t="inlineStr">
        <is>
          <t>eng</t>
        </is>
      </c>
      <c r="P115" t="inlineStr">
        <is>
          <t>enk</t>
        </is>
      </c>
      <c r="R115" t="inlineStr">
        <is>
          <t xml:space="preserve">QB </t>
        </is>
      </c>
      <c r="S115" t="n">
        <v>1</v>
      </c>
      <c r="T115" t="n">
        <v>1</v>
      </c>
      <c r="U115" t="inlineStr">
        <is>
          <t>2005-02-21</t>
        </is>
      </c>
      <c r="V115" t="inlineStr">
        <is>
          <t>2005-02-21</t>
        </is>
      </c>
      <c r="W115" t="inlineStr">
        <is>
          <t>1999-03-25</t>
        </is>
      </c>
      <c r="X115" t="inlineStr">
        <is>
          <t>1999-03-25</t>
        </is>
      </c>
      <c r="Y115" t="n">
        <v>134</v>
      </c>
      <c r="Z115" t="n">
        <v>98</v>
      </c>
      <c r="AA115" t="n">
        <v>192</v>
      </c>
      <c r="AB115" t="n">
        <v>2</v>
      </c>
      <c r="AC115" t="n">
        <v>4</v>
      </c>
      <c r="AD115" t="n">
        <v>6</v>
      </c>
      <c r="AE115" t="n">
        <v>11</v>
      </c>
      <c r="AF115" t="n">
        <v>0</v>
      </c>
      <c r="AG115" t="n">
        <v>1</v>
      </c>
      <c r="AH115" t="n">
        <v>1</v>
      </c>
      <c r="AI115" t="n">
        <v>4</v>
      </c>
      <c r="AJ115" t="n">
        <v>5</v>
      </c>
      <c r="AK115" t="n">
        <v>6</v>
      </c>
      <c r="AL115" t="n">
        <v>1</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HYPERLINK("https://creighton-primo.hosted.exlibrisgroup.com/primo-explore/search?tab=default_tab&amp;search_scope=EVERYTHING&amp;vid=01CRU&amp;lang=en_US&amp;offset=0&amp;query=any,contains,991002922889702656","Catalog Record")</f>
        <v/>
      </c>
      <c r="AT115">
        <f>HYPERLINK("http://www.worldcat.org/oclc/38847561","WorldCat Record")</f>
        <v/>
      </c>
      <c r="AU115" t="inlineStr">
        <is>
          <t>961534422:eng</t>
        </is>
      </c>
      <c r="AV115" t="inlineStr">
        <is>
          <t>38847561</t>
        </is>
      </c>
      <c r="AW115" t="inlineStr">
        <is>
          <t>991002922889702656</t>
        </is>
      </c>
      <c r="AX115" t="inlineStr">
        <is>
          <t>991002922889702656</t>
        </is>
      </c>
      <c r="AY115" t="inlineStr">
        <is>
          <t>2257444510002656</t>
        </is>
      </c>
      <c r="AZ115" t="inlineStr">
        <is>
          <t>BOOK</t>
        </is>
      </c>
      <c r="BB115" t="inlineStr">
        <is>
          <t>9781860940385</t>
        </is>
      </c>
      <c r="BC115" t="inlineStr">
        <is>
          <t>32285003546313</t>
        </is>
      </c>
      <c r="BD115" t="inlineStr">
        <is>
          <t>893886905</t>
        </is>
      </c>
    </row>
    <row r="116">
      <c r="A116" t="inlineStr">
        <is>
          <t>No</t>
        </is>
      </c>
      <c r="B116" t="inlineStr">
        <is>
          <t>QB36.C46 W35 1991</t>
        </is>
      </c>
      <c r="C116" t="inlineStr">
        <is>
          <t>0                      QB 0036000C  46                 W  35          1991</t>
        </is>
      </c>
      <c r="D116" t="inlineStr">
        <is>
          <t>Chandra : a biography of S. Chandrasekhar / Kameshwar C. Wali.</t>
        </is>
      </c>
      <c r="F116" t="inlineStr">
        <is>
          <t>No</t>
        </is>
      </c>
      <c r="G116" t="inlineStr">
        <is>
          <t>1</t>
        </is>
      </c>
      <c r="H116" t="inlineStr">
        <is>
          <t>No</t>
        </is>
      </c>
      <c r="I116" t="inlineStr">
        <is>
          <t>No</t>
        </is>
      </c>
      <c r="J116" t="inlineStr">
        <is>
          <t>0</t>
        </is>
      </c>
      <c r="K116" t="inlineStr">
        <is>
          <t>Wali, K. C. (Kameshwar C.)</t>
        </is>
      </c>
      <c r="L116" t="inlineStr">
        <is>
          <t>Chicago : University of Chicago Press, 1991.</t>
        </is>
      </c>
      <c r="M116" t="inlineStr">
        <is>
          <t>1991</t>
        </is>
      </c>
      <c r="O116" t="inlineStr">
        <is>
          <t>eng</t>
        </is>
      </c>
      <c r="P116" t="inlineStr">
        <is>
          <t>ilu</t>
        </is>
      </c>
      <c r="R116" t="inlineStr">
        <is>
          <t xml:space="preserve">QB </t>
        </is>
      </c>
      <c r="S116" t="n">
        <v>6</v>
      </c>
      <c r="T116" t="n">
        <v>6</v>
      </c>
      <c r="U116" t="inlineStr">
        <is>
          <t>2005-02-21</t>
        </is>
      </c>
      <c r="V116" t="inlineStr">
        <is>
          <t>2005-02-21</t>
        </is>
      </c>
      <c r="W116" t="inlineStr">
        <is>
          <t>1991-05-09</t>
        </is>
      </c>
      <c r="X116" t="inlineStr">
        <is>
          <t>1991-05-09</t>
        </is>
      </c>
      <c r="Y116" t="n">
        <v>689</v>
      </c>
      <c r="Z116" t="n">
        <v>578</v>
      </c>
      <c r="AA116" t="n">
        <v>590</v>
      </c>
      <c r="AB116" t="n">
        <v>4</v>
      </c>
      <c r="AC116" t="n">
        <v>4</v>
      </c>
      <c r="AD116" t="n">
        <v>25</v>
      </c>
      <c r="AE116" t="n">
        <v>25</v>
      </c>
      <c r="AF116" t="n">
        <v>9</v>
      </c>
      <c r="AG116" t="n">
        <v>9</v>
      </c>
      <c r="AH116" t="n">
        <v>4</v>
      </c>
      <c r="AI116" t="n">
        <v>4</v>
      </c>
      <c r="AJ116" t="n">
        <v>17</v>
      </c>
      <c r="AK116" t="n">
        <v>17</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HYPERLINK("https://creighton-primo.hosted.exlibrisgroup.com/primo-explore/search?tab=default_tab&amp;search_scope=EVERYTHING&amp;vid=01CRU&amp;lang=en_US&amp;offset=0&amp;query=any,contains,991001672229702656","Catalog Record")</f>
        <v/>
      </c>
      <c r="AT116">
        <f>HYPERLINK("http://www.worldcat.org/oclc/21297960","WorldCat Record")</f>
        <v/>
      </c>
      <c r="AU116" t="inlineStr">
        <is>
          <t>23826557:eng</t>
        </is>
      </c>
      <c r="AV116" t="inlineStr">
        <is>
          <t>21297960</t>
        </is>
      </c>
      <c r="AW116" t="inlineStr">
        <is>
          <t>991001672229702656</t>
        </is>
      </c>
      <c r="AX116" t="inlineStr">
        <is>
          <t>991001672229702656</t>
        </is>
      </c>
      <c r="AY116" t="inlineStr">
        <is>
          <t>2266542140002656</t>
        </is>
      </c>
      <c r="AZ116" t="inlineStr">
        <is>
          <t>BOOK</t>
        </is>
      </c>
      <c r="BB116" t="inlineStr">
        <is>
          <t>9780226870557</t>
        </is>
      </c>
      <c r="BC116" t="inlineStr">
        <is>
          <t>32285000571801</t>
        </is>
      </c>
      <c r="BD116" t="inlineStr">
        <is>
          <t>893226015</t>
        </is>
      </c>
    </row>
    <row r="117">
      <c r="A117" t="inlineStr">
        <is>
          <t>No</t>
        </is>
      </c>
      <c r="B117" t="inlineStr">
        <is>
          <t>QB36.C8 H75 1973</t>
        </is>
      </c>
      <c r="C117" t="inlineStr">
        <is>
          <t>0                      QB 0036000C  8                  H  75          1973</t>
        </is>
      </c>
      <c r="D117" t="inlineStr">
        <is>
          <t>Nicolaus Copernicus : an essay on his life and work.</t>
        </is>
      </c>
      <c r="F117" t="inlineStr">
        <is>
          <t>No</t>
        </is>
      </c>
      <c r="G117" t="inlineStr">
        <is>
          <t>1</t>
        </is>
      </c>
      <c r="H117" t="inlineStr">
        <is>
          <t>No</t>
        </is>
      </c>
      <c r="I117" t="inlineStr">
        <is>
          <t>No</t>
        </is>
      </c>
      <c r="J117" t="inlineStr">
        <is>
          <t>0</t>
        </is>
      </c>
      <c r="K117" t="inlineStr">
        <is>
          <t>Hoyle, Fred, 1915-2001.</t>
        </is>
      </c>
      <c r="L117" t="inlineStr">
        <is>
          <t>New York : Harper &amp; Row, [1973]</t>
        </is>
      </c>
      <c r="M117" t="inlineStr">
        <is>
          <t>1973</t>
        </is>
      </c>
      <c r="N117" t="inlineStr">
        <is>
          <t>[1st U.S. ed.]</t>
        </is>
      </c>
      <c r="O117" t="inlineStr">
        <is>
          <t>eng</t>
        </is>
      </c>
      <c r="P117" t="inlineStr">
        <is>
          <t>nyu</t>
        </is>
      </c>
      <c r="R117" t="inlineStr">
        <is>
          <t xml:space="preserve">QB </t>
        </is>
      </c>
      <c r="S117" t="n">
        <v>7</v>
      </c>
      <c r="T117" t="n">
        <v>7</v>
      </c>
      <c r="U117" t="inlineStr">
        <is>
          <t>1996-10-05</t>
        </is>
      </c>
      <c r="V117" t="inlineStr">
        <is>
          <t>1996-10-05</t>
        </is>
      </c>
      <c r="W117" t="inlineStr">
        <is>
          <t>1994-03-14</t>
        </is>
      </c>
      <c r="X117" t="inlineStr">
        <is>
          <t>1994-03-14</t>
        </is>
      </c>
      <c r="Y117" t="n">
        <v>655</v>
      </c>
      <c r="Z117" t="n">
        <v>611</v>
      </c>
      <c r="AA117" t="n">
        <v>720</v>
      </c>
      <c r="AB117" t="n">
        <v>7</v>
      </c>
      <c r="AC117" t="n">
        <v>7</v>
      </c>
      <c r="AD117" t="n">
        <v>17</v>
      </c>
      <c r="AE117" t="n">
        <v>19</v>
      </c>
      <c r="AF117" t="n">
        <v>3</v>
      </c>
      <c r="AG117" t="n">
        <v>3</v>
      </c>
      <c r="AH117" t="n">
        <v>4</v>
      </c>
      <c r="AI117" t="n">
        <v>4</v>
      </c>
      <c r="AJ117" t="n">
        <v>9</v>
      </c>
      <c r="AK117" t="n">
        <v>11</v>
      </c>
      <c r="AL117" t="n">
        <v>4</v>
      </c>
      <c r="AM117" t="n">
        <v>4</v>
      </c>
      <c r="AN117" t="n">
        <v>0</v>
      </c>
      <c r="AO117" t="n">
        <v>0</v>
      </c>
      <c r="AP117" t="inlineStr">
        <is>
          <t>No</t>
        </is>
      </c>
      <c r="AQ117" t="inlineStr">
        <is>
          <t>Yes</t>
        </is>
      </c>
      <c r="AR117">
        <f>HYPERLINK("http://catalog.hathitrust.org/Record/001483793","HathiTrust Record")</f>
        <v/>
      </c>
      <c r="AS117">
        <f>HYPERLINK("https://creighton-primo.hosted.exlibrisgroup.com/primo-explore/search?tab=default_tab&amp;search_scope=EVERYTHING&amp;vid=01CRU&amp;lang=en_US&amp;offset=0&amp;query=any,contains,991003113689702656","Catalog Record")</f>
        <v/>
      </c>
      <c r="AT117">
        <f>HYPERLINK("http://www.worldcat.org/oclc/658916","WorldCat Record")</f>
        <v/>
      </c>
      <c r="AU117" t="inlineStr">
        <is>
          <t>1711757:eng</t>
        </is>
      </c>
      <c r="AV117" t="inlineStr">
        <is>
          <t>658916</t>
        </is>
      </c>
      <c r="AW117" t="inlineStr">
        <is>
          <t>991003113689702656</t>
        </is>
      </c>
      <c r="AX117" t="inlineStr">
        <is>
          <t>991003113689702656</t>
        </is>
      </c>
      <c r="AY117" t="inlineStr">
        <is>
          <t>2260402700002656</t>
        </is>
      </c>
      <c r="AZ117" t="inlineStr">
        <is>
          <t>BOOK</t>
        </is>
      </c>
      <c r="BB117" t="inlineStr">
        <is>
          <t>9780060119713</t>
        </is>
      </c>
      <c r="BC117" t="inlineStr">
        <is>
          <t>32285001853240</t>
        </is>
      </c>
      <c r="BD117" t="inlineStr">
        <is>
          <t>893342244</t>
        </is>
      </c>
    </row>
    <row r="118">
      <c r="A118" t="inlineStr">
        <is>
          <t>No</t>
        </is>
      </c>
      <c r="B118" t="inlineStr">
        <is>
          <t>QB36.C8 M59</t>
        </is>
      </c>
      <c r="C118" t="inlineStr">
        <is>
          <t>0                      QB 0036000C  8                  M  59</t>
        </is>
      </c>
      <c r="D118" t="inlineStr">
        <is>
          <t>Nicholas Copernicus : a tribute of nations / edited by Stephen P. Mizwa.</t>
        </is>
      </c>
      <c r="F118" t="inlineStr">
        <is>
          <t>No</t>
        </is>
      </c>
      <c r="G118" t="inlineStr">
        <is>
          <t>1</t>
        </is>
      </c>
      <c r="H118" t="inlineStr">
        <is>
          <t>No</t>
        </is>
      </c>
      <c r="I118" t="inlineStr">
        <is>
          <t>No</t>
        </is>
      </c>
      <c r="J118" t="inlineStr">
        <is>
          <t>0</t>
        </is>
      </c>
      <c r="K118" t="inlineStr">
        <is>
          <t>Mizwa, Stephen P. (Stephen Paul), 1892-1971, editor.</t>
        </is>
      </c>
      <c r="L118" t="inlineStr">
        <is>
          <t>New York : The Kosciuszko foundation, 1945.</t>
        </is>
      </c>
      <c r="M118" t="inlineStr">
        <is>
          <t>1945</t>
        </is>
      </c>
      <c r="O118" t="inlineStr">
        <is>
          <t>eng</t>
        </is>
      </c>
      <c r="P118" t="inlineStr">
        <is>
          <t>nyu</t>
        </is>
      </c>
      <c r="R118" t="inlineStr">
        <is>
          <t xml:space="preserve">QB </t>
        </is>
      </c>
      <c r="S118" t="n">
        <v>7</v>
      </c>
      <c r="T118" t="n">
        <v>7</v>
      </c>
      <c r="U118" t="inlineStr">
        <is>
          <t>1996-11-04</t>
        </is>
      </c>
      <c r="V118" t="inlineStr">
        <is>
          <t>1996-11-04</t>
        </is>
      </c>
      <c r="W118" t="inlineStr">
        <is>
          <t>1993-09-18</t>
        </is>
      </c>
      <c r="X118" t="inlineStr">
        <is>
          <t>1993-09-18</t>
        </is>
      </c>
      <c r="Y118" t="n">
        <v>166</v>
      </c>
      <c r="Z118" t="n">
        <v>153</v>
      </c>
      <c r="AA118" t="n">
        <v>161</v>
      </c>
      <c r="AB118" t="n">
        <v>1</v>
      </c>
      <c r="AC118" t="n">
        <v>1</v>
      </c>
      <c r="AD118" t="n">
        <v>9</v>
      </c>
      <c r="AE118" t="n">
        <v>9</v>
      </c>
      <c r="AF118" t="n">
        <v>3</v>
      </c>
      <c r="AG118" t="n">
        <v>3</v>
      </c>
      <c r="AH118" t="n">
        <v>2</v>
      </c>
      <c r="AI118" t="n">
        <v>2</v>
      </c>
      <c r="AJ118" t="n">
        <v>7</v>
      </c>
      <c r="AK118" t="n">
        <v>7</v>
      </c>
      <c r="AL118" t="n">
        <v>0</v>
      </c>
      <c r="AM118" t="n">
        <v>0</v>
      </c>
      <c r="AN118" t="n">
        <v>0</v>
      </c>
      <c r="AO118" t="n">
        <v>0</v>
      </c>
      <c r="AP118" t="inlineStr">
        <is>
          <t>Yes</t>
        </is>
      </c>
      <c r="AQ118" t="inlineStr">
        <is>
          <t>No</t>
        </is>
      </c>
      <c r="AR118">
        <f>HYPERLINK("http://catalog.hathitrust.org/Record/001475582","HathiTrust Record")</f>
        <v/>
      </c>
      <c r="AS118">
        <f>HYPERLINK("https://creighton-primo.hosted.exlibrisgroup.com/primo-explore/search?tab=default_tab&amp;search_scope=EVERYTHING&amp;vid=01CRU&amp;lang=en_US&amp;offset=0&amp;query=any,contains,991004071189702656","Catalog Record")</f>
        <v/>
      </c>
      <c r="AT118">
        <f>HYPERLINK("http://www.worldcat.org/oclc/2301508","WorldCat Record")</f>
        <v/>
      </c>
      <c r="AU118" t="inlineStr">
        <is>
          <t>4020283563:eng</t>
        </is>
      </c>
      <c r="AV118" t="inlineStr">
        <is>
          <t>2301508</t>
        </is>
      </c>
      <c r="AW118" t="inlineStr">
        <is>
          <t>991004071189702656</t>
        </is>
      </c>
      <c r="AX118" t="inlineStr">
        <is>
          <t>991004071189702656</t>
        </is>
      </c>
      <c r="AY118" t="inlineStr">
        <is>
          <t>2259933510002656</t>
        </is>
      </c>
      <c r="AZ118" t="inlineStr">
        <is>
          <t>BOOK</t>
        </is>
      </c>
      <c r="BC118" t="inlineStr">
        <is>
          <t>32285001770485</t>
        </is>
      </c>
      <c r="BD118" t="inlineStr">
        <is>
          <t>893705961</t>
        </is>
      </c>
    </row>
    <row r="119">
      <c r="A119" t="inlineStr">
        <is>
          <t>No</t>
        </is>
      </c>
      <c r="B119" t="inlineStr">
        <is>
          <t>QB36.C8 R36</t>
        </is>
      </c>
      <c r="C119" t="inlineStr">
        <is>
          <t>0                      QB 0036000C  8                  R  36</t>
        </is>
      </c>
      <c r="D119" t="inlineStr">
        <is>
          <t>The reception of Copernicus' heliocentric theory : proceedings of a symposium organized by the Nicolas Copernicus Committee of the International Union of the History and Philosophy of Science, Toruń, Poland, 1973 / edited by Jerzy Dobrzycki.</t>
        </is>
      </c>
      <c r="F119" t="inlineStr">
        <is>
          <t>No</t>
        </is>
      </c>
      <c r="G119" t="inlineStr">
        <is>
          <t>1</t>
        </is>
      </c>
      <c r="H119" t="inlineStr">
        <is>
          <t>No</t>
        </is>
      </c>
      <c r="I119" t="inlineStr">
        <is>
          <t>No</t>
        </is>
      </c>
      <c r="J119" t="inlineStr">
        <is>
          <t>0</t>
        </is>
      </c>
      <c r="L119" t="inlineStr">
        <is>
          <t>Dordrecht ; Boston : D. Reidel Pub. Co., [c1972]</t>
        </is>
      </c>
      <c r="M119" t="inlineStr">
        <is>
          <t>1972</t>
        </is>
      </c>
      <c r="O119" t="inlineStr">
        <is>
          <t>eng</t>
        </is>
      </c>
      <c r="P119" t="inlineStr">
        <is>
          <t xml:space="preserve">ne </t>
        </is>
      </c>
      <c r="R119" t="inlineStr">
        <is>
          <t xml:space="preserve">QB </t>
        </is>
      </c>
      <c r="S119" t="n">
        <v>14</v>
      </c>
      <c r="T119" t="n">
        <v>14</v>
      </c>
      <c r="U119" t="inlineStr">
        <is>
          <t>2008-10-12</t>
        </is>
      </c>
      <c r="V119" t="inlineStr">
        <is>
          <t>2008-10-12</t>
        </is>
      </c>
      <c r="W119" t="inlineStr">
        <is>
          <t>1990-05-09</t>
        </is>
      </c>
      <c r="X119" t="inlineStr">
        <is>
          <t>1990-05-09</t>
        </is>
      </c>
      <c r="Y119" t="n">
        <v>346</v>
      </c>
      <c r="Z119" t="n">
        <v>236</v>
      </c>
      <c r="AA119" t="n">
        <v>251</v>
      </c>
      <c r="AB119" t="n">
        <v>3</v>
      </c>
      <c r="AC119" t="n">
        <v>3</v>
      </c>
      <c r="AD119" t="n">
        <v>15</v>
      </c>
      <c r="AE119" t="n">
        <v>16</v>
      </c>
      <c r="AF119" t="n">
        <v>2</v>
      </c>
      <c r="AG119" t="n">
        <v>3</v>
      </c>
      <c r="AH119" t="n">
        <v>5</v>
      </c>
      <c r="AI119" t="n">
        <v>5</v>
      </c>
      <c r="AJ119" t="n">
        <v>9</v>
      </c>
      <c r="AK119" t="n">
        <v>10</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HYPERLINK("https://creighton-primo.hosted.exlibrisgroup.com/primo-explore/search?tab=default_tab&amp;search_scope=EVERYTHING&amp;vid=01CRU&amp;lang=en_US&amp;offset=0&amp;query=any,contains,991003292549702656","Catalog Record")</f>
        <v/>
      </c>
      <c r="AT119">
        <f>HYPERLINK("http://www.worldcat.org/oclc/814446","WorldCat Record")</f>
        <v/>
      </c>
      <c r="AU119" t="inlineStr">
        <is>
          <t>479608157:eng</t>
        </is>
      </c>
      <c r="AV119" t="inlineStr">
        <is>
          <t>814446</t>
        </is>
      </c>
      <c r="AW119" t="inlineStr">
        <is>
          <t>991003292549702656</t>
        </is>
      </c>
      <c r="AX119" t="inlineStr">
        <is>
          <t>991003292549702656</t>
        </is>
      </c>
      <c r="AY119" t="inlineStr">
        <is>
          <t>2270135780002656</t>
        </is>
      </c>
      <c r="AZ119" t="inlineStr">
        <is>
          <t>BOOK</t>
        </is>
      </c>
      <c r="BB119" t="inlineStr">
        <is>
          <t>9789027703118</t>
        </is>
      </c>
      <c r="BC119" t="inlineStr">
        <is>
          <t>32285000136753</t>
        </is>
      </c>
      <c r="BD119" t="inlineStr">
        <is>
          <t>893441134</t>
        </is>
      </c>
    </row>
    <row r="120">
      <c r="A120" t="inlineStr">
        <is>
          <t>No</t>
        </is>
      </c>
      <c r="B120" t="inlineStr">
        <is>
          <t>QB36.G2 A233</t>
        </is>
      </c>
      <c r="C120" t="inlineStr">
        <is>
          <t>0                      QB 0036000G  2                  A  233</t>
        </is>
      </c>
      <c r="D120" t="inlineStr">
        <is>
          <t>The achievement of Galileo / edited with notes by James Brophy and Henry Paolucci ; with an introd. by Henry Paolucci.</t>
        </is>
      </c>
      <c r="F120" t="inlineStr">
        <is>
          <t>No</t>
        </is>
      </c>
      <c r="G120" t="inlineStr">
        <is>
          <t>1</t>
        </is>
      </c>
      <c r="H120" t="inlineStr">
        <is>
          <t>No</t>
        </is>
      </c>
      <c r="I120" t="inlineStr">
        <is>
          <t>No</t>
        </is>
      </c>
      <c r="J120" t="inlineStr">
        <is>
          <t>0</t>
        </is>
      </c>
      <c r="K120" t="inlineStr">
        <is>
          <t>Galilei, Galileo, 1564-1642.</t>
        </is>
      </c>
      <c r="L120" t="inlineStr">
        <is>
          <t>New York : Twayne Publishers, [1962]</t>
        </is>
      </c>
      <c r="M120" t="inlineStr">
        <is>
          <t>1962</t>
        </is>
      </c>
      <c r="O120" t="inlineStr">
        <is>
          <t>eng</t>
        </is>
      </c>
      <c r="P120" t="inlineStr">
        <is>
          <t>nyu</t>
        </is>
      </c>
      <c r="R120" t="inlineStr">
        <is>
          <t xml:space="preserve">QB </t>
        </is>
      </c>
      <c r="S120" t="n">
        <v>10</v>
      </c>
      <c r="T120" t="n">
        <v>10</v>
      </c>
      <c r="U120" t="inlineStr">
        <is>
          <t>1996-11-07</t>
        </is>
      </c>
      <c r="V120" t="inlineStr">
        <is>
          <t>1996-11-07</t>
        </is>
      </c>
      <c r="W120" t="inlineStr">
        <is>
          <t>1990-10-01</t>
        </is>
      </c>
      <c r="X120" t="inlineStr">
        <is>
          <t>1990-10-01</t>
        </is>
      </c>
      <c r="Y120" t="n">
        <v>393</v>
      </c>
      <c r="Z120" t="n">
        <v>362</v>
      </c>
      <c r="AA120" t="n">
        <v>590</v>
      </c>
      <c r="AB120" t="n">
        <v>2</v>
      </c>
      <c r="AC120" t="n">
        <v>2</v>
      </c>
      <c r="AD120" t="n">
        <v>11</v>
      </c>
      <c r="AE120" t="n">
        <v>26</v>
      </c>
      <c r="AF120" t="n">
        <v>0</v>
      </c>
      <c r="AG120" t="n">
        <v>7</v>
      </c>
      <c r="AH120" t="n">
        <v>4</v>
      </c>
      <c r="AI120" t="n">
        <v>9</v>
      </c>
      <c r="AJ120" t="n">
        <v>8</v>
      </c>
      <c r="AK120" t="n">
        <v>16</v>
      </c>
      <c r="AL120" t="n">
        <v>1</v>
      </c>
      <c r="AM120" t="n">
        <v>1</v>
      </c>
      <c r="AN120" t="n">
        <v>0</v>
      </c>
      <c r="AO120" t="n">
        <v>0</v>
      </c>
      <c r="AP120" t="inlineStr">
        <is>
          <t>No</t>
        </is>
      </c>
      <c r="AQ120" t="inlineStr">
        <is>
          <t>No</t>
        </is>
      </c>
      <c r="AR120">
        <f>HYPERLINK("http://catalog.hathitrust.org/Record/006055502","HathiTrust Record")</f>
        <v/>
      </c>
      <c r="AS120">
        <f>HYPERLINK("https://creighton-primo.hosted.exlibrisgroup.com/primo-explore/search?tab=default_tab&amp;search_scope=EVERYTHING&amp;vid=01CRU&amp;lang=en_US&amp;offset=0&amp;query=any,contains,991002929529702656","Catalog Record")</f>
        <v/>
      </c>
      <c r="AT120">
        <f>HYPERLINK("http://www.worldcat.org/oclc/530430","WorldCat Record")</f>
        <v/>
      </c>
      <c r="AU120" t="inlineStr">
        <is>
          <t>1038959:eng</t>
        </is>
      </c>
      <c r="AV120" t="inlineStr">
        <is>
          <t>530430</t>
        </is>
      </c>
      <c r="AW120" t="inlineStr">
        <is>
          <t>991002929529702656</t>
        </is>
      </c>
      <c r="AX120" t="inlineStr">
        <is>
          <t>991002929529702656</t>
        </is>
      </c>
      <c r="AY120" t="inlineStr">
        <is>
          <t>2266470720002656</t>
        </is>
      </c>
      <c r="AZ120" t="inlineStr">
        <is>
          <t>BOOK</t>
        </is>
      </c>
      <c r="BC120" t="inlineStr">
        <is>
          <t>32285000278902</t>
        </is>
      </c>
      <c r="BD120" t="inlineStr">
        <is>
          <t>893409729</t>
        </is>
      </c>
    </row>
    <row r="121">
      <c r="A121" t="inlineStr">
        <is>
          <t>No</t>
        </is>
      </c>
      <c r="B121" t="inlineStr">
        <is>
          <t>QB36.G2 B54 1993</t>
        </is>
      </c>
      <c r="C121" t="inlineStr">
        <is>
          <t>0                      QB 0036000G  2                  B  54          1993</t>
        </is>
      </c>
      <c r="D121" t="inlineStr">
        <is>
          <t>Galileo, courtier : the practice of science in the culture of absolutism / Mario Biagioli.</t>
        </is>
      </c>
      <c r="F121" t="inlineStr">
        <is>
          <t>No</t>
        </is>
      </c>
      <c r="G121" t="inlineStr">
        <is>
          <t>1</t>
        </is>
      </c>
      <c r="H121" t="inlineStr">
        <is>
          <t>No</t>
        </is>
      </c>
      <c r="I121" t="inlineStr">
        <is>
          <t>Yes</t>
        </is>
      </c>
      <c r="J121" t="inlineStr">
        <is>
          <t>0</t>
        </is>
      </c>
      <c r="K121" t="inlineStr">
        <is>
          <t>Biagioli, Mario, 1955-</t>
        </is>
      </c>
      <c r="L121" t="inlineStr">
        <is>
          <t>Chicago : University of Chicago Press, c1993.</t>
        </is>
      </c>
      <c r="M121" t="inlineStr">
        <is>
          <t>1993</t>
        </is>
      </c>
      <c r="O121" t="inlineStr">
        <is>
          <t>eng</t>
        </is>
      </c>
      <c r="P121" t="inlineStr">
        <is>
          <t>ilu</t>
        </is>
      </c>
      <c r="Q121" t="inlineStr">
        <is>
          <t>Science and its conceptual foundations</t>
        </is>
      </c>
      <c r="R121" t="inlineStr">
        <is>
          <t xml:space="preserve">QB </t>
        </is>
      </c>
      <c r="S121" t="n">
        <v>1</v>
      </c>
      <c r="T121" t="n">
        <v>1</v>
      </c>
      <c r="U121" t="inlineStr">
        <is>
          <t>1999-06-17</t>
        </is>
      </c>
      <c r="V121" t="inlineStr">
        <is>
          <t>1999-06-17</t>
        </is>
      </c>
      <c r="W121" t="inlineStr">
        <is>
          <t>1997-09-26</t>
        </is>
      </c>
      <c r="X121" t="inlineStr">
        <is>
          <t>1997-09-26</t>
        </is>
      </c>
      <c r="Y121" t="n">
        <v>863</v>
      </c>
      <c r="Z121" t="n">
        <v>702</v>
      </c>
      <c r="AA121" t="n">
        <v>779</v>
      </c>
      <c r="AB121" t="n">
        <v>6</v>
      </c>
      <c r="AC121" t="n">
        <v>6</v>
      </c>
      <c r="AD121" t="n">
        <v>37</v>
      </c>
      <c r="AE121" t="n">
        <v>40</v>
      </c>
      <c r="AF121" t="n">
        <v>12</v>
      </c>
      <c r="AG121" t="n">
        <v>13</v>
      </c>
      <c r="AH121" t="n">
        <v>10</v>
      </c>
      <c r="AI121" t="n">
        <v>12</v>
      </c>
      <c r="AJ121" t="n">
        <v>20</v>
      </c>
      <c r="AK121" t="n">
        <v>22</v>
      </c>
      <c r="AL121" t="n">
        <v>5</v>
      </c>
      <c r="AM121" t="n">
        <v>5</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HYPERLINK("https://creighton-primo.hosted.exlibrisgroup.com/primo-explore/search?tab=default_tab&amp;search_scope=EVERYTHING&amp;vid=01CRU&amp;lang=en_US&amp;offset=0&amp;query=any,contains,991002086909702656","Catalog Record")</f>
        <v/>
      </c>
      <c r="AT121">
        <f>HYPERLINK("http://www.worldcat.org/oclc/26767743","WorldCat Record")</f>
        <v/>
      </c>
      <c r="AU121" t="inlineStr">
        <is>
          <t>505091507:eng</t>
        </is>
      </c>
      <c r="AV121" t="inlineStr">
        <is>
          <t>26767743</t>
        </is>
      </c>
      <c r="AW121" t="inlineStr">
        <is>
          <t>991002086909702656</t>
        </is>
      </c>
      <c r="AX121" t="inlineStr">
        <is>
          <t>991002086909702656</t>
        </is>
      </c>
      <c r="AY121" t="inlineStr">
        <is>
          <t>2268987430002656</t>
        </is>
      </c>
      <c r="AZ121" t="inlineStr">
        <is>
          <t>BOOK</t>
        </is>
      </c>
      <c r="BB121" t="inlineStr">
        <is>
          <t>9780226045597</t>
        </is>
      </c>
      <c r="BC121" t="inlineStr">
        <is>
          <t>32285001787505</t>
        </is>
      </c>
      <c r="BD121" t="inlineStr">
        <is>
          <t>893779407</t>
        </is>
      </c>
    </row>
    <row r="122">
      <c r="A122" t="inlineStr">
        <is>
          <t>No</t>
        </is>
      </c>
      <c r="B122" t="inlineStr">
        <is>
          <t>QB36.G2 B54 1994</t>
        </is>
      </c>
      <c r="C122" t="inlineStr">
        <is>
          <t>0                      QB 0036000G  2                  B  54          1994</t>
        </is>
      </c>
      <c r="D122" t="inlineStr">
        <is>
          <t>Galileo, courtier : the practice of science in the culture of absolutism / Mario Biagioli.</t>
        </is>
      </c>
      <c r="F122" t="inlineStr">
        <is>
          <t>No</t>
        </is>
      </c>
      <c r="G122" t="inlineStr">
        <is>
          <t>1</t>
        </is>
      </c>
      <c r="H122" t="inlineStr">
        <is>
          <t>No</t>
        </is>
      </c>
      <c r="I122" t="inlineStr">
        <is>
          <t>Yes</t>
        </is>
      </c>
      <c r="J122" t="inlineStr">
        <is>
          <t>0</t>
        </is>
      </c>
      <c r="K122" t="inlineStr">
        <is>
          <t>Biagioli, Mario, 1955-</t>
        </is>
      </c>
      <c r="L122" t="inlineStr">
        <is>
          <t>Chicago : University of Chicago Press, 1994.</t>
        </is>
      </c>
      <c r="M122" t="inlineStr">
        <is>
          <t>1994</t>
        </is>
      </c>
      <c r="N122" t="inlineStr">
        <is>
          <t>Paperback ed.</t>
        </is>
      </c>
      <c r="O122" t="inlineStr">
        <is>
          <t>eng</t>
        </is>
      </c>
      <c r="P122" t="inlineStr">
        <is>
          <t>ilu</t>
        </is>
      </c>
      <c r="Q122" t="inlineStr">
        <is>
          <t>Science and its conceptual foundations</t>
        </is>
      </c>
      <c r="R122" t="inlineStr">
        <is>
          <t xml:space="preserve">QB </t>
        </is>
      </c>
      <c r="S122" t="n">
        <v>3</v>
      </c>
      <c r="T122" t="n">
        <v>3</v>
      </c>
      <c r="U122" t="inlineStr">
        <is>
          <t>2001-05-16</t>
        </is>
      </c>
      <c r="V122" t="inlineStr">
        <is>
          <t>2001-05-16</t>
        </is>
      </c>
      <c r="W122" t="inlineStr">
        <is>
          <t>2001-03-26</t>
        </is>
      </c>
      <c r="X122" t="inlineStr">
        <is>
          <t>2001-03-26</t>
        </is>
      </c>
      <c r="Y122" t="n">
        <v>96</v>
      </c>
      <c r="Z122" t="n">
        <v>66</v>
      </c>
      <c r="AA122" t="n">
        <v>779</v>
      </c>
      <c r="AB122" t="n">
        <v>1</v>
      </c>
      <c r="AC122" t="n">
        <v>6</v>
      </c>
      <c r="AD122" t="n">
        <v>2</v>
      </c>
      <c r="AE122" t="n">
        <v>40</v>
      </c>
      <c r="AF122" t="n">
        <v>0</v>
      </c>
      <c r="AG122" t="n">
        <v>13</v>
      </c>
      <c r="AH122" t="n">
        <v>1</v>
      </c>
      <c r="AI122" t="n">
        <v>12</v>
      </c>
      <c r="AJ122" t="n">
        <v>2</v>
      </c>
      <c r="AK122" t="n">
        <v>22</v>
      </c>
      <c r="AL122" t="n">
        <v>0</v>
      </c>
      <c r="AM122" t="n">
        <v>5</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HYPERLINK("https://creighton-primo.hosted.exlibrisgroup.com/primo-explore/search?tab=default_tab&amp;search_scope=EVERYTHING&amp;vid=01CRU&amp;lang=en_US&amp;offset=0&amp;query=any,contains,991003490359702656","Catalog Record")</f>
        <v/>
      </c>
      <c r="AT122">
        <f>HYPERLINK("http://www.worldcat.org/oclc/31847204","WorldCat Record")</f>
        <v/>
      </c>
      <c r="AU122" t="inlineStr">
        <is>
          <t>505091507:eng</t>
        </is>
      </c>
      <c r="AV122" t="inlineStr">
        <is>
          <t>31847204</t>
        </is>
      </c>
      <c r="AW122" t="inlineStr">
        <is>
          <t>991003490359702656</t>
        </is>
      </c>
      <c r="AX122" t="inlineStr">
        <is>
          <t>991003490359702656</t>
        </is>
      </c>
      <c r="AY122" t="inlineStr">
        <is>
          <t>2259709580002656</t>
        </is>
      </c>
      <c r="AZ122" t="inlineStr">
        <is>
          <t>BOOK</t>
        </is>
      </c>
      <c r="BB122" t="inlineStr">
        <is>
          <t>9780226045603</t>
        </is>
      </c>
      <c r="BC122" t="inlineStr">
        <is>
          <t>32285004307251</t>
        </is>
      </c>
      <c r="BD122" t="inlineStr">
        <is>
          <t>893499347</t>
        </is>
      </c>
    </row>
    <row r="123">
      <c r="A123" t="inlineStr">
        <is>
          <t>No</t>
        </is>
      </c>
      <c r="B123" t="inlineStr">
        <is>
          <t>QB36.G2 C32 1975</t>
        </is>
      </c>
      <c r="C123" t="inlineStr">
        <is>
          <t>0                      QB 0036000G  2                  C  32          1975</t>
        </is>
      </c>
      <c r="D123" t="inlineStr">
        <is>
          <t>The defense of Galileo / Thomas Campanella ; [translated and edited, with introd. and notes by Grant McColley].</t>
        </is>
      </c>
      <c r="F123" t="inlineStr">
        <is>
          <t>No</t>
        </is>
      </c>
      <c r="G123" t="inlineStr">
        <is>
          <t>1</t>
        </is>
      </c>
      <c r="H123" t="inlineStr">
        <is>
          <t>No</t>
        </is>
      </c>
      <c r="I123" t="inlineStr">
        <is>
          <t>No</t>
        </is>
      </c>
      <c r="J123" t="inlineStr">
        <is>
          <t>0</t>
        </is>
      </c>
      <c r="K123" t="inlineStr">
        <is>
          <t>Campanella, Tommaso, 1568-1639.</t>
        </is>
      </c>
      <c r="L123" t="inlineStr">
        <is>
          <t>New York : Arno Press, 1975.</t>
        </is>
      </c>
      <c r="M123" t="inlineStr">
        <is>
          <t>1975</t>
        </is>
      </c>
      <c r="O123" t="inlineStr">
        <is>
          <t>eng</t>
        </is>
      </c>
      <c r="P123" t="inlineStr">
        <is>
          <t>nyu</t>
        </is>
      </c>
      <c r="Q123" t="inlineStr">
        <is>
          <t>History, philosophy and sociology of science</t>
        </is>
      </c>
      <c r="R123" t="inlineStr">
        <is>
          <t xml:space="preserve">QB </t>
        </is>
      </c>
      <c r="S123" t="n">
        <v>12</v>
      </c>
      <c r="T123" t="n">
        <v>12</v>
      </c>
      <c r="U123" t="inlineStr">
        <is>
          <t>2000-11-19</t>
        </is>
      </c>
      <c r="V123" t="inlineStr">
        <is>
          <t>2000-11-19</t>
        </is>
      </c>
      <c r="W123" t="inlineStr">
        <is>
          <t>1993-09-23</t>
        </is>
      </c>
      <c r="X123" t="inlineStr">
        <is>
          <t>1993-09-23</t>
        </is>
      </c>
      <c r="Y123" t="n">
        <v>223</v>
      </c>
      <c r="Z123" t="n">
        <v>189</v>
      </c>
      <c r="AA123" t="n">
        <v>196</v>
      </c>
      <c r="AB123" t="n">
        <v>3</v>
      </c>
      <c r="AC123" t="n">
        <v>3</v>
      </c>
      <c r="AD123" t="n">
        <v>6</v>
      </c>
      <c r="AE123" t="n">
        <v>6</v>
      </c>
      <c r="AF123" t="n">
        <v>1</v>
      </c>
      <c r="AG123" t="n">
        <v>1</v>
      </c>
      <c r="AH123" t="n">
        <v>2</v>
      </c>
      <c r="AI123" t="n">
        <v>2</v>
      </c>
      <c r="AJ123" t="n">
        <v>2</v>
      </c>
      <c r="AK123" t="n">
        <v>2</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HYPERLINK("https://creighton-primo.hosted.exlibrisgroup.com/primo-explore/search?tab=default_tab&amp;search_scope=EVERYTHING&amp;vid=01CRU&amp;lang=en_US&amp;offset=0&amp;query=any,contains,991003597189702656","Catalog Record")</f>
        <v/>
      </c>
      <c r="AT123">
        <f>HYPERLINK("http://www.worldcat.org/oclc/1175930","WorldCat Record")</f>
        <v/>
      </c>
      <c r="AU123" t="inlineStr">
        <is>
          <t>2863436066:eng</t>
        </is>
      </c>
      <c r="AV123" t="inlineStr">
        <is>
          <t>1175930</t>
        </is>
      </c>
      <c r="AW123" t="inlineStr">
        <is>
          <t>991003597189702656</t>
        </is>
      </c>
      <c r="AX123" t="inlineStr">
        <is>
          <t>991003597189702656</t>
        </is>
      </c>
      <c r="AY123" t="inlineStr">
        <is>
          <t>2271984650002656</t>
        </is>
      </c>
      <c r="AZ123" t="inlineStr">
        <is>
          <t>BOOK</t>
        </is>
      </c>
      <c r="BB123" t="inlineStr">
        <is>
          <t>9780405065828</t>
        </is>
      </c>
      <c r="BC123" t="inlineStr">
        <is>
          <t>32285001770741</t>
        </is>
      </c>
      <c r="BD123" t="inlineStr">
        <is>
          <t>893499464</t>
        </is>
      </c>
    </row>
    <row r="124">
      <c r="A124" t="inlineStr">
        <is>
          <t>No</t>
        </is>
      </c>
      <c r="B124" t="inlineStr">
        <is>
          <t>QB36.G2 D72</t>
        </is>
      </c>
      <c r="C124" t="inlineStr">
        <is>
          <t>0                      QB 0036000G  2                  D  72</t>
        </is>
      </c>
      <c r="D124" t="inlineStr">
        <is>
          <t>Galileo / by Stillman Drake; general editor, Keith Thomas.</t>
        </is>
      </c>
      <c r="F124" t="inlineStr">
        <is>
          <t>No</t>
        </is>
      </c>
      <c r="G124" t="inlineStr">
        <is>
          <t>1</t>
        </is>
      </c>
      <c r="H124" t="inlineStr">
        <is>
          <t>No</t>
        </is>
      </c>
      <c r="I124" t="inlineStr">
        <is>
          <t>Yes</t>
        </is>
      </c>
      <c r="J124" t="inlineStr">
        <is>
          <t>0</t>
        </is>
      </c>
      <c r="K124" t="inlineStr">
        <is>
          <t>Drake, Stillman.</t>
        </is>
      </c>
      <c r="L124" t="inlineStr">
        <is>
          <t>New York : Hill and Wang, 1980.</t>
        </is>
      </c>
      <c r="M124" t="inlineStr">
        <is>
          <t>1980</t>
        </is>
      </c>
      <c r="N124" t="inlineStr">
        <is>
          <t>1st American ed.</t>
        </is>
      </c>
      <c r="O124" t="inlineStr">
        <is>
          <t>eng</t>
        </is>
      </c>
      <c r="P124" t="inlineStr">
        <is>
          <t>nyu</t>
        </is>
      </c>
      <c r="Q124" t="inlineStr">
        <is>
          <t>Past masters</t>
        </is>
      </c>
      <c r="R124" t="inlineStr">
        <is>
          <t xml:space="preserve">QB </t>
        </is>
      </c>
      <c r="S124" t="n">
        <v>18</v>
      </c>
      <c r="T124" t="n">
        <v>18</v>
      </c>
      <c r="U124" t="inlineStr">
        <is>
          <t>2008-10-12</t>
        </is>
      </c>
      <c r="V124" t="inlineStr">
        <is>
          <t>2008-10-12</t>
        </is>
      </c>
      <c r="W124" t="inlineStr">
        <is>
          <t>1990-02-15</t>
        </is>
      </c>
      <c r="X124" t="inlineStr">
        <is>
          <t>1990-02-15</t>
        </is>
      </c>
      <c r="Y124" t="n">
        <v>714</v>
      </c>
      <c r="Z124" t="n">
        <v>680</v>
      </c>
      <c r="AA124" t="n">
        <v>1224</v>
      </c>
      <c r="AB124" t="n">
        <v>5</v>
      </c>
      <c r="AC124" t="n">
        <v>8</v>
      </c>
      <c r="AD124" t="n">
        <v>29</v>
      </c>
      <c r="AE124" t="n">
        <v>50</v>
      </c>
      <c r="AF124" t="n">
        <v>13</v>
      </c>
      <c r="AG124" t="n">
        <v>23</v>
      </c>
      <c r="AH124" t="n">
        <v>4</v>
      </c>
      <c r="AI124" t="n">
        <v>9</v>
      </c>
      <c r="AJ124" t="n">
        <v>15</v>
      </c>
      <c r="AK124" t="n">
        <v>23</v>
      </c>
      <c r="AL124" t="n">
        <v>4</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HYPERLINK("https://creighton-primo.hosted.exlibrisgroup.com/primo-explore/search?tab=default_tab&amp;search_scope=EVERYTHING&amp;vid=01CRU&amp;lang=en_US&amp;offset=0&amp;query=any,contains,991005075509702656","Catalog Record")</f>
        <v/>
      </c>
      <c r="AT124">
        <f>HYPERLINK("http://www.worldcat.org/oclc/7107840","WorldCat Record")</f>
        <v/>
      </c>
      <c r="AU124" t="inlineStr">
        <is>
          <t>465968:eng</t>
        </is>
      </c>
      <c r="AV124" t="inlineStr">
        <is>
          <t>7107840</t>
        </is>
      </c>
      <c r="AW124" t="inlineStr">
        <is>
          <t>991005075509702656</t>
        </is>
      </c>
      <c r="AX124" t="inlineStr">
        <is>
          <t>991005075509702656</t>
        </is>
      </c>
      <c r="AY124" t="inlineStr">
        <is>
          <t>2260734610002656</t>
        </is>
      </c>
      <c r="AZ124" t="inlineStr">
        <is>
          <t>BOOK</t>
        </is>
      </c>
      <c r="BB124" t="inlineStr">
        <is>
          <t>9780809014163</t>
        </is>
      </c>
      <c r="BC124" t="inlineStr">
        <is>
          <t>32285000053503</t>
        </is>
      </c>
      <c r="BD124" t="inlineStr">
        <is>
          <t>893507566</t>
        </is>
      </c>
    </row>
    <row r="125">
      <c r="A125" t="inlineStr">
        <is>
          <t>No</t>
        </is>
      </c>
      <c r="B125" t="inlineStr">
        <is>
          <t>QB36.G2 D75 1990</t>
        </is>
      </c>
      <c r="C125" t="inlineStr">
        <is>
          <t>0                      QB 0036000G  2                  D  75          1990</t>
        </is>
      </c>
      <c r="D125" t="inlineStr">
        <is>
          <t>Galileo : pioneer scientist / Stillman Drake.</t>
        </is>
      </c>
      <c r="F125" t="inlineStr">
        <is>
          <t>No</t>
        </is>
      </c>
      <c r="G125" t="inlineStr">
        <is>
          <t>1</t>
        </is>
      </c>
      <c r="H125" t="inlineStr">
        <is>
          <t>No</t>
        </is>
      </c>
      <c r="I125" t="inlineStr">
        <is>
          <t>Yes</t>
        </is>
      </c>
      <c r="J125" t="inlineStr">
        <is>
          <t>0</t>
        </is>
      </c>
      <c r="K125" t="inlineStr">
        <is>
          <t>Drake, Stillman.</t>
        </is>
      </c>
      <c r="L125" t="inlineStr">
        <is>
          <t>Toronto : University of Toronto Press, c1990.</t>
        </is>
      </c>
      <c r="M125" t="inlineStr">
        <is>
          <t>1990</t>
        </is>
      </c>
      <c r="O125" t="inlineStr">
        <is>
          <t>eng</t>
        </is>
      </c>
      <c r="P125" t="inlineStr">
        <is>
          <t>onc</t>
        </is>
      </c>
      <c r="R125" t="inlineStr">
        <is>
          <t xml:space="preserve">QB </t>
        </is>
      </c>
      <c r="S125" t="n">
        <v>24</v>
      </c>
      <c r="T125" t="n">
        <v>24</v>
      </c>
      <c r="U125" t="inlineStr">
        <is>
          <t>1997-03-20</t>
        </is>
      </c>
      <c r="V125" t="inlineStr">
        <is>
          <t>1997-03-20</t>
        </is>
      </c>
      <c r="W125" t="inlineStr">
        <is>
          <t>1990-10-26</t>
        </is>
      </c>
      <c r="X125" t="inlineStr">
        <is>
          <t>1990-10-26</t>
        </is>
      </c>
      <c r="Y125" t="n">
        <v>711</v>
      </c>
      <c r="Z125" t="n">
        <v>582</v>
      </c>
      <c r="AA125" t="n">
        <v>1224</v>
      </c>
      <c r="AB125" t="n">
        <v>4</v>
      </c>
      <c r="AC125" t="n">
        <v>8</v>
      </c>
      <c r="AD125" t="n">
        <v>34</v>
      </c>
      <c r="AE125" t="n">
        <v>50</v>
      </c>
      <c r="AF125" t="n">
        <v>13</v>
      </c>
      <c r="AG125" t="n">
        <v>23</v>
      </c>
      <c r="AH125" t="n">
        <v>7</v>
      </c>
      <c r="AI125" t="n">
        <v>9</v>
      </c>
      <c r="AJ125" t="n">
        <v>18</v>
      </c>
      <c r="AK125" t="n">
        <v>23</v>
      </c>
      <c r="AL125" t="n">
        <v>2</v>
      </c>
      <c r="AM125" t="n">
        <v>6</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HYPERLINK("https://creighton-primo.hosted.exlibrisgroup.com/primo-explore/search?tab=default_tab&amp;search_scope=EVERYTHING&amp;vid=01CRU&amp;lang=en_US&amp;offset=0&amp;query=any,contains,991001640669702656","Catalog Record")</f>
        <v/>
      </c>
      <c r="AT125">
        <f>HYPERLINK("http://www.worldcat.org/oclc/26131841","WorldCat Record")</f>
        <v/>
      </c>
      <c r="AU125" t="inlineStr">
        <is>
          <t>465968:eng</t>
        </is>
      </c>
      <c r="AV125" t="inlineStr">
        <is>
          <t>26131841</t>
        </is>
      </c>
      <c r="AW125" t="inlineStr">
        <is>
          <t>991001640669702656</t>
        </is>
      </c>
      <c r="AX125" t="inlineStr">
        <is>
          <t>991001640669702656</t>
        </is>
      </c>
      <c r="AY125" t="inlineStr">
        <is>
          <t>2266551320002656</t>
        </is>
      </c>
      <c r="AZ125" t="inlineStr">
        <is>
          <t>BOOK</t>
        </is>
      </c>
      <c r="BB125" t="inlineStr">
        <is>
          <t>9780802027252</t>
        </is>
      </c>
      <c r="BC125" t="inlineStr">
        <is>
          <t>32285000296318</t>
        </is>
      </c>
      <c r="BD125" t="inlineStr">
        <is>
          <t>893785266</t>
        </is>
      </c>
    </row>
    <row r="126">
      <c r="A126" t="inlineStr">
        <is>
          <t>No</t>
        </is>
      </c>
      <c r="B126" t="inlineStr">
        <is>
          <t>QB36.G2 K3</t>
        </is>
      </c>
      <c r="C126" t="inlineStr">
        <is>
          <t>0                      QB 0036000G  2                  K  3</t>
        </is>
      </c>
      <c r="D126" t="inlineStr">
        <is>
          <t>Homage to Galileo : papers presented at the Galileo Quadricentennial, University of Rochester, October 8 and 9, 1964 / Morton F. Kaplon, editor.</t>
        </is>
      </c>
      <c r="F126" t="inlineStr">
        <is>
          <t>No</t>
        </is>
      </c>
      <c r="G126" t="inlineStr">
        <is>
          <t>1</t>
        </is>
      </c>
      <c r="H126" t="inlineStr">
        <is>
          <t>No</t>
        </is>
      </c>
      <c r="I126" t="inlineStr">
        <is>
          <t>No</t>
        </is>
      </c>
      <c r="J126" t="inlineStr">
        <is>
          <t>0</t>
        </is>
      </c>
      <c r="K126" t="inlineStr">
        <is>
          <t>Kaplon, Morton F., editor.</t>
        </is>
      </c>
      <c r="L126" t="inlineStr">
        <is>
          <t>Cambridge, Mass. : M.I.T. Press, [1965]</t>
        </is>
      </c>
      <c r="M126" t="inlineStr">
        <is>
          <t>1965</t>
        </is>
      </c>
      <c r="O126" t="inlineStr">
        <is>
          <t>eng</t>
        </is>
      </c>
      <c r="P126" t="inlineStr">
        <is>
          <t>mau</t>
        </is>
      </c>
      <c r="R126" t="inlineStr">
        <is>
          <t xml:space="preserve">QB </t>
        </is>
      </c>
      <c r="S126" t="n">
        <v>16</v>
      </c>
      <c r="T126" t="n">
        <v>16</v>
      </c>
      <c r="U126" t="inlineStr">
        <is>
          <t>2000-04-25</t>
        </is>
      </c>
      <c r="V126" t="inlineStr">
        <is>
          <t>2000-04-25</t>
        </is>
      </c>
      <c r="W126" t="inlineStr">
        <is>
          <t>1993-10-18</t>
        </is>
      </c>
      <c r="X126" t="inlineStr">
        <is>
          <t>1993-10-18</t>
        </is>
      </c>
      <c r="Y126" t="n">
        <v>650</v>
      </c>
      <c r="Z126" t="n">
        <v>568</v>
      </c>
      <c r="AA126" t="n">
        <v>569</v>
      </c>
      <c r="AB126" t="n">
        <v>6</v>
      </c>
      <c r="AC126" t="n">
        <v>6</v>
      </c>
      <c r="AD126" t="n">
        <v>21</v>
      </c>
      <c r="AE126" t="n">
        <v>21</v>
      </c>
      <c r="AF126" t="n">
        <v>6</v>
      </c>
      <c r="AG126" t="n">
        <v>6</v>
      </c>
      <c r="AH126" t="n">
        <v>4</v>
      </c>
      <c r="AI126" t="n">
        <v>4</v>
      </c>
      <c r="AJ126" t="n">
        <v>12</v>
      </c>
      <c r="AK126" t="n">
        <v>12</v>
      </c>
      <c r="AL126" t="n">
        <v>4</v>
      </c>
      <c r="AM126" t="n">
        <v>4</v>
      </c>
      <c r="AN126" t="n">
        <v>0</v>
      </c>
      <c r="AO126" t="n">
        <v>0</v>
      </c>
      <c r="AP126" t="inlineStr">
        <is>
          <t>No</t>
        </is>
      </c>
      <c r="AQ126" t="inlineStr">
        <is>
          <t>Yes</t>
        </is>
      </c>
      <c r="AR126">
        <f>HYPERLINK("http://catalog.hathitrust.org/Record/001475621","HathiTrust Record")</f>
        <v/>
      </c>
      <c r="AS126">
        <f>HYPERLINK("https://creighton-primo.hosted.exlibrisgroup.com/primo-explore/search?tab=default_tab&amp;search_scope=EVERYTHING&amp;vid=01CRU&amp;lang=en_US&amp;offset=0&amp;query=any,contains,991003658639702656","Catalog Record")</f>
        <v/>
      </c>
      <c r="AT126">
        <f>HYPERLINK("http://www.worldcat.org/oclc/1265080","WorldCat Record")</f>
        <v/>
      </c>
      <c r="AU126" t="inlineStr">
        <is>
          <t>365612735:eng</t>
        </is>
      </c>
      <c r="AV126" t="inlineStr">
        <is>
          <t>1265080</t>
        </is>
      </c>
      <c r="AW126" t="inlineStr">
        <is>
          <t>991003658639702656</t>
        </is>
      </c>
      <c r="AX126" t="inlineStr">
        <is>
          <t>991003658639702656</t>
        </is>
      </c>
      <c r="AY126" t="inlineStr">
        <is>
          <t>2264088910002656</t>
        </is>
      </c>
      <c r="AZ126" t="inlineStr">
        <is>
          <t>BOOK</t>
        </is>
      </c>
      <c r="BC126" t="inlineStr">
        <is>
          <t>32285001793495</t>
        </is>
      </c>
      <c r="BD126" t="inlineStr">
        <is>
          <t>893525071</t>
        </is>
      </c>
    </row>
    <row r="127">
      <c r="A127" t="inlineStr">
        <is>
          <t>No</t>
        </is>
      </c>
      <c r="B127" t="inlineStr">
        <is>
          <t>QB36.G2 K6813 1978</t>
        </is>
      </c>
      <c r="C127" t="inlineStr">
        <is>
          <t>0                      QB 0036000G  2                  K  6813        1978</t>
        </is>
      </c>
      <c r="D127" t="inlineStr">
        <is>
          <t>Galileo studies / Alexandre Koyré ; translated from the French by John Mepham.</t>
        </is>
      </c>
      <c r="F127" t="inlineStr">
        <is>
          <t>No</t>
        </is>
      </c>
      <c r="G127" t="inlineStr">
        <is>
          <t>1</t>
        </is>
      </c>
      <c r="H127" t="inlineStr">
        <is>
          <t>No</t>
        </is>
      </c>
      <c r="I127" t="inlineStr">
        <is>
          <t>No</t>
        </is>
      </c>
      <c r="J127" t="inlineStr">
        <is>
          <t>0</t>
        </is>
      </c>
      <c r="K127" t="inlineStr">
        <is>
          <t>Koyré, Alexandre, 1892-1964.</t>
        </is>
      </c>
      <c r="L127" t="inlineStr">
        <is>
          <t>Atlantic Highlands, N.J. : Humanities Press, 1978.</t>
        </is>
      </c>
      <c r="M127" t="inlineStr">
        <is>
          <t>1978</t>
        </is>
      </c>
      <c r="O127" t="inlineStr">
        <is>
          <t>eng</t>
        </is>
      </c>
      <c r="P127" t="inlineStr">
        <is>
          <t>nju</t>
        </is>
      </c>
      <c r="Q127" t="inlineStr">
        <is>
          <t>European philosophy and the human sciences</t>
        </is>
      </c>
      <c r="R127" t="inlineStr">
        <is>
          <t xml:space="preserve">QB </t>
        </is>
      </c>
      <c r="S127" t="n">
        <v>13</v>
      </c>
      <c r="T127" t="n">
        <v>13</v>
      </c>
      <c r="U127" t="inlineStr">
        <is>
          <t>1997-03-20</t>
        </is>
      </c>
      <c r="V127" t="inlineStr">
        <is>
          <t>1997-03-20</t>
        </is>
      </c>
      <c r="W127" t="inlineStr">
        <is>
          <t>1992-11-16</t>
        </is>
      </c>
      <c r="X127" t="inlineStr">
        <is>
          <t>1992-11-16</t>
        </is>
      </c>
      <c r="Y127" t="n">
        <v>375</v>
      </c>
      <c r="Z127" t="n">
        <v>307</v>
      </c>
      <c r="AA127" t="n">
        <v>334</v>
      </c>
      <c r="AB127" t="n">
        <v>3</v>
      </c>
      <c r="AC127" t="n">
        <v>4</v>
      </c>
      <c r="AD127" t="n">
        <v>18</v>
      </c>
      <c r="AE127" t="n">
        <v>20</v>
      </c>
      <c r="AF127" t="n">
        <v>5</v>
      </c>
      <c r="AG127" t="n">
        <v>5</v>
      </c>
      <c r="AH127" t="n">
        <v>4</v>
      </c>
      <c r="AI127" t="n">
        <v>5</v>
      </c>
      <c r="AJ127" t="n">
        <v>14</v>
      </c>
      <c r="AK127" t="n">
        <v>14</v>
      </c>
      <c r="AL127" t="n">
        <v>1</v>
      </c>
      <c r="AM127" t="n">
        <v>2</v>
      </c>
      <c r="AN127" t="n">
        <v>0</v>
      </c>
      <c r="AO127" t="n">
        <v>0</v>
      </c>
      <c r="AP127" t="inlineStr">
        <is>
          <t>No</t>
        </is>
      </c>
      <c r="AQ127" t="inlineStr">
        <is>
          <t>Yes</t>
        </is>
      </c>
      <c r="AR127">
        <f>HYPERLINK("http://catalog.hathitrust.org/Record/000087409","HathiTrust Record")</f>
        <v/>
      </c>
      <c r="AS127">
        <f>HYPERLINK("https://creighton-primo.hosted.exlibrisgroup.com/primo-explore/search?tab=default_tab&amp;search_scope=EVERYTHING&amp;vid=01CRU&amp;lang=en_US&amp;offset=0&amp;query=any,contains,991004445389702656","Catalog Record")</f>
        <v/>
      </c>
      <c r="AT127">
        <f>HYPERLINK("http://www.worldcat.org/oclc/3481244","WorldCat Record")</f>
        <v/>
      </c>
      <c r="AU127" t="inlineStr">
        <is>
          <t>1405793:eng</t>
        </is>
      </c>
      <c r="AV127" t="inlineStr">
        <is>
          <t>3481244</t>
        </is>
      </c>
      <c r="AW127" t="inlineStr">
        <is>
          <t>991004445389702656</t>
        </is>
      </c>
      <c r="AX127" t="inlineStr">
        <is>
          <t>991004445389702656</t>
        </is>
      </c>
      <c r="AY127" t="inlineStr">
        <is>
          <t>2264378680002656</t>
        </is>
      </c>
      <c r="AZ127" t="inlineStr">
        <is>
          <t>BOOK</t>
        </is>
      </c>
      <c r="BB127" t="inlineStr">
        <is>
          <t>9780391007604</t>
        </is>
      </c>
      <c r="BC127" t="inlineStr">
        <is>
          <t>32285001431112</t>
        </is>
      </c>
      <c r="BD127" t="inlineStr">
        <is>
          <t>893782252</t>
        </is>
      </c>
    </row>
    <row r="128">
      <c r="A128" t="inlineStr">
        <is>
          <t>No</t>
        </is>
      </c>
      <c r="B128" t="inlineStr">
        <is>
          <t>QB36.G2 P22 1992</t>
        </is>
      </c>
      <c r="C128" t="inlineStr">
        <is>
          <t>0                      QB 0036000G  2                  P  22          1992</t>
        </is>
      </c>
      <c r="D128" t="inlineStr">
        <is>
          <t>Galileo and the universe / Steve Parker.</t>
        </is>
      </c>
      <c r="F128" t="inlineStr">
        <is>
          <t>No</t>
        </is>
      </c>
      <c r="G128" t="inlineStr">
        <is>
          <t>1</t>
        </is>
      </c>
      <c r="H128" t="inlineStr">
        <is>
          <t>No</t>
        </is>
      </c>
      <c r="I128" t="inlineStr">
        <is>
          <t>No</t>
        </is>
      </c>
      <c r="J128" t="inlineStr">
        <is>
          <t>0</t>
        </is>
      </c>
      <c r="K128" t="inlineStr">
        <is>
          <t>Parker, Steve, 1952-</t>
        </is>
      </c>
      <c r="L128" t="inlineStr">
        <is>
          <t>New York, NY : HarperCollins, 1992.</t>
        </is>
      </c>
      <c r="M128" t="inlineStr">
        <is>
          <t>1992</t>
        </is>
      </c>
      <c r="N128" t="inlineStr">
        <is>
          <t>1st American ed.</t>
        </is>
      </c>
      <c r="O128" t="inlineStr">
        <is>
          <t>eng</t>
        </is>
      </c>
      <c r="P128" t="inlineStr">
        <is>
          <t>nyu</t>
        </is>
      </c>
      <c r="Q128" t="inlineStr">
        <is>
          <t>Science discoveries</t>
        </is>
      </c>
      <c r="R128" t="inlineStr">
        <is>
          <t xml:space="preserve">QB </t>
        </is>
      </c>
      <c r="S128" t="n">
        <v>11</v>
      </c>
      <c r="T128" t="n">
        <v>11</v>
      </c>
      <c r="U128" t="inlineStr">
        <is>
          <t>2002-12-16</t>
        </is>
      </c>
      <c r="V128" t="inlineStr">
        <is>
          <t>2002-12-16</t>
        </is>
      </c>
      <c r="W128" t="inlineStr">
        <is>
          <t>1994-04-21</t>
        </is>
      </c>
      <c r="X128" t="inlineStr">
        <is>
          <t>1994-04-21</t>
        </is>
      </c>
      <c r="Y128" t="n">
        <v>475</v>
      </c>
      <c r="Z128" t="n">
        <v>453</v>
      </c>
      <c r="AA128" t="n">
        <v>681</v>
      </c>
      <c r="AB128" t="n">
        <v>3</v>
      </c>
      <c r="AC128" t="n">
        <v>3</v>
      </c>
      <c r="AD128" t="n">
        <v>2</v>
      </c>
      <c r="AE128" t="n">
        <v>3</v>
      </c>
      <c r="AF128" t="n">
        <v>0</v>
      </c>
      <c r="AG128" t="n">
        <v>1</v>
      </c>
      <c r="AH128" t="n">
        <v>0</v>
      </c>
      <c r="AI128" t="n">
        <v>0</v>
      </c>
      <c r="AJ128" t="n">
        <v>1</v>
      </c>
      <c r="AK128" t="n">
        <v>1</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HYPERLINK("https://creighton-primo.hosted.exlibrisgroup.com/primo-explore/search?tab=default_tab&amp;search_scope=EVERYTHING&amp;vid=01CRU&amp;lang=en_US&amp;offset=0&amp;query=any,contains,991004544539702656","Catalog Record")</f>
        <v/>
      </c>
      <c r="AT128">
        <f>HYPERLINK("http://www.worldcat.org/oclc/24287561","WorldCat Record")</f>
        <v/>
      </c>
      <c r="AU128" t="inlineStr">
        <is>
          <t>27085519:eng</t>
        </is>
      </c>
      <c r="AV128" t="inlineStr">
        <is>
          <t>24287561</t>
        </is>
      </c>
      <c r="AW128" t="inlineStr">
        <is>
          <t>991004544539702656</t>
        </is>
      </c>
      <c r="AX128" t="inlineStr">
        <is>
          <t>991004544539702656</t>
        </is>
      </c>
      <c r="AY128" t="inlineStr">
        <is>
          <t>2270723980002656</t>
        </is>
      </c>
      <c r="AZ128" t="inlineStr">
        <is>
          <t>BOOK</t>
        </is>
      </c>
      <c r="BB128" t="inlineStr">
        <is>
          <t>9780060207359</t>
        </is>
      </c>
      <c r="BC128" t="inlineStr">
        <is>
          <t>32285001877009</t>
        </is>
      </c>
      <c r="BD128" t="inlineStr">
        <is>
          <t>893770786</t>
        </is>
      </c>
    </row>
    <row r="129">
      <c r="A129" t="inlineStr">
        <is>
          <t>No</t>
        </is>
      </c>
      <c r="B129" t="inlineStr">
        <is>
          <t>QB36.G2 R27 1994</t>
        </is>
      </c>
      <c r="C129" t="inlineStr">
        <is>
          <t>0                      QB 0036000G  2                  R  27          1994</t>
        </is>
      </c>
      <c r="D129" t="inlineStr">
        <is>
          <t>Galileo : a life / James Reston, Jr.</t>
        </is>
      </c>
      <c r="F129" t="inlineStr">
        <is>
          <t>No</t>
        </is>
      </c>
      <c r="G129" t="inlineStr">
        <is>
          <t>1</t>
        </is>
      </c>
      <c r="H129" t="inlineStr">
        <is>
          <t>No</t>
        </is>
      </c>
      <c r="I129" t="inlineStr">
        <is>
          <t>No</t>
        </is>
      </c>
      <c r="J129" t="inlineStr">
        <is>
          <t>0</t>
        </is>
      </c>
      <c r="K129" t="inlineStr">
        <is>
          <t>Reston, James, Jr., 1941-</t>
        </is>
      </c>
      <c r="L129" t="inlineStr">
        <is>
          <t>New York : HarperCollins Publishers, c1994.</t>
        </is>
      </c>
      <c r="M129" t="inlineStr">
        <is>
          <t>1994</t>
        </is>
      </c>
      <c r="N129" t="inlineStr">
        <is>
          <t>1st ed.</t>
        </is>
      </c>
      <c r="O129" t="inlineStr">
        <is>
          <t>eng</t>
        </is>
      </c>
      <c r="P129" t="inlineStr">
        <is>
          <t>nyu</t>
        </is>
      </c>
      <c r="R129" t="inlineStr">
        <is>
          <t xml:space="preserve">QB </t>
        </is>
      </c>
      <c r="S129" t="n">
        <v>12</v>
      </c>
      <c r="T129" t="n">
        <v>12</v>
      </c>
      <c r="U129" t="inlineStr">
        <is>
          <t>1999-06-17</t>
        </is>
      </c>
      <c r="V129" t="inlineStr">
        <is>
          <t>1999-06-17</t>
        </is>
      </c>
      <c r="W129" t="inlineStr">
        <is>
          <t>1995-05-10</t>
        </is>
      </c>
      <c r="X129" t="inlineStr">
        <is>
          <t>1995-05-10</t>
        </is>
      </c>
      <c r="Y129" t="n">
        <v>1278</v>
      </c>
      <c r="Z129" t="n">
        <v>1210</v>
      </c>
      <c r="AA129" t="n">
        <v>1315</v>
      </c>
      <c r="AB129" t="n">
        <v>7</v>
      </c>
      <c r="AC129" t="n">
        <v>7</v>
      </c>
      <c r="AD129" t="n">
        <v>28</v>
      </c>
      <c r="AE129" t="n">
        <v>33</v>
      </c>
      <c r="AF129" t="n">
        <v>9</v>
      </c>
      <c r="AG129" t="n">
        <v>11</v>
      </c>
      <c r="AH129" t="n">
        <v>8</v>
      </c>
      <c r="AI129" t="n">
        <v>9</v>
      </c>
      <c r="AJ129" t="n">
        <v>15</v>
      </c>
      <c r="AK129" t="n">
        <v>17</v>
      </c>
      <c r="AL129" t="n">
        <v>4</v>
      </c>
      <c r="AM129" t="n">
        <v>4</v>
      </c>
      <c r="AN129" t="n">
        <v>0</v>
      </c>
      <c r="AO129" t="n">
        <v>0</v>
      </c>
      <c r="AP129" t="inlineStr">
        <is>
          <t>No</t>
        </is>
      </c>
      <c r="AQ129" t="inlineStr">
        <is>
          <t>Yes</t>
        </is>
      </c>
      <c r="AR129">
        <f>HYPERLINK("http://catalog.hathitrust.org/Record/002872025","HathiTrust Record")</f>
        <v/>
      </c>
      <c r="AS129">
        <f>HYPERLINK("https://creighton-primo.hosted.exlibrisgroup.com/primo-explore/search?tab=default_tab&amp;search_scope=EVERYTHING&amp;vid=01CRU&amp;lang=en_US&amp;offset=0&amp;query=any,contains,991002237539702656","Catalog Record")</f>
        <v/>
      </c>
      <c r="AT129">
        <f>HYPERLINK("http://www.worldcat.org/oclc/28853371","WorldCat Record")</f>
        <v/>
      </c>
      <c r="AU129" t="inlineStr">
        <is>
          <t>30914903:eng</t>
        </is>
      </c>
      <c r="AV129" t="inlineStr">
        <is>
          <t>28853371</t>
        </is>
      </c>
      <c r="AW129" t="inlineStr">
        <is>
          <t>991002237539702656</t>
        </is>
      </c>
      <c r="AX129" t="inlineStr">
        <is>
          <t>991002237539702656</t>
        </is>
      </c>
      <c r="AY129" t="inlineStr">
        <is>
          <t>2263103660002656</t>
        </is>
      </c>
      <c r="AZ129" t="inlineStr">
        <is>
          <t>BOOK</t>
        </is>
      </c>
      <c r="BB129" t="inlineStr">
        <is>
          <t>9780060163785</t>
        </is>
      </c>
      <c r="BC129" t="inlineStr">
        <is>
          <t>32285002039278</t>
        </is>
      </c>
      <c r="BD129" t="inlineStr">
        <is>
          <t>893529718</t>
        </is>
      </c>
    </row>
    <row r="130">
      <c r="A130" t="inlineStr">
        <is>
          <t>No</t>
        </is>
      </c>
      <c r="B130" t="inlineStr">
        <is>
          <t>QB36.G2 S45</t>
        </is>
      </c>
      <c r="C130" t="inlineStr">
        <is>
          <t>0                      QB 0036000G  2                  S  45</t>
        </is>
      </c>
      <c r="D130" t="inlineStr">
        <is>
          <t>Galileo : a philosophical study / Dudley Shapere.</t>
        </is>
      </c>
      <c r="F130" t="inlineStr">
        <is>
          <t>No</t>
        </is>
      </c>
      <c r="G130" t="inlineStr">
        <is>
          <t>1</t>
        </is>
      </c>
      <c r="H130" t="inlineStr">
        <is>
          <t>No</t>
        </is>
      </c>
      <c r="I130" t="inlineStr">
        <is>
          <t>No</t>
        </is>
      </c>
      <c r="J130" t="inlineStr">
        <is>
          <t>0</t>
        </is>
      </c>
      <c r="K130" t="inlineStr">
        <is>
          <t>Shapere, Dudley.</t>
        </is>
      </c>
      <c r="L130" t="inlineStr">
        <is>
          <t>Chicago : University of Chicago Press, 1974.</t>
        </is>
      </c>
      <c r="M130" t="inlineStr">
        <is>
          <t>1974</t>
        </is>
      </c>
      <c r="O130" t="inlineStr">
        <is>
          <t>eng</t>
        </is>
      </c>
      <c r="P130" t="inlineStr">
        <is>
          <t>ilu</t>
        </is>
      </c>
      <c r="R130" t="inlineStr">
        <is>
          <t xml:space="preserve">QB </t>
        </is>
      </c>
      <c r="S130" t="n">
        <v>9</v>
      </c>
      <c r="T130" t="n">
        <v>9</v>
      </c>
      <c r="U130" t="inlineStr">
        <is>
          <t>1996-11-02</t>
        </is>
      </c>
      <c r="V130" t="inlineStr">
        <is>
          <t>1996-11-02</t>
        </is>
      </c>
      <c r="W130" t="inlineStr">
        <is>
          <t>1993-11-30</t>
        </is>
      </c>
      <c r="X130" t="inlineStr">
        <is>
          <t>1993-11-30</t>
        </is>
      </c>
      <c r="Y130" t="n">
        <v>714</v>
      </c>
      <c r="Z130" t="n">
        <v>581</v>
      </c>
      <c r="AA130" t="n">
        <v>581</v>
      </c>
      <c r="AB130" t="n">
        <v>4</v>
      </c>
      <c r="AC130" t="n">
        <v>4</v>
      </c>
      <c r="AD130" t="n">
        <v>32</v>
      </c>
      <c r="AE130" t="n">
        <v>32</v>
      </c>
      <c r="AF130" t="n">
        <v>10</v>
      </c>
      <c r="AG130" t="n">
        <v>10</v>
      </c>
      <c r="AH130" t="n">
        <v>7</v>
      </c>
      <c r="AI130" t="n">
        <v>7</v>
      </c>
      <c r="AJ130" t="n">
        <v>17</v>
      </c>
      <c r="AK130" t="n">
        <v>17</v>
      </c>
      <c r="AL130" t="n">
        <v>3</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HYPERLINK("https://creighton-primo.hosted.exlibrisgroup.com/primo-explore/search?tab=default_tab&amp;search_scope=EVERYTHING&amp;vid=01CRU&amp;lang=en_US&amp;offset=0&amp;query=any,contains,991003571579702656","Catalog Record")</f>
        <v/>
      </c>
      <c r="AT130">
        <f>HYPERLINK("http://www.worldcat.org/oclc/1146689","WorldCat Record")</f>
        <v/>
      </c>
      <c r="AU130" t="inlineStr">
        <is>
          <t>1908964148:eng</t>
        </is>
      </c>
      <c r="AV130" t="inlineStr">
        <is>
          <t>1146689</t>
        </is>
      </c>
      <c r="AW130" t="inlineStr">
        <is>
          <t>991003571579702656</t>
        </is>
      </c>
      <c r="AX130" t="inlineStr">
        <is>
          <t>991003571579702656</t>
        </is>
      </c>
      <c r="AY130" t="inlineStr">
        <is>
          <t>2262033240002656</t>
        </is>
      </c>
      <c r="AZ130" t="inlineStr">
        <is>
          <t>BOOK</t>
        </is>
      </c>
      <c r="BB130" t="inlineStr">
        <is>
          <t>9780226750057</t>
        </is>
      </c>
      <c r="BC130" t="inlineStr">
        <is>
          <t>32285001689602</t>
        </is>
      </c>
      <c r="BD130" t="inlineStr">
        <is>
          <t>893428937</t>
        </is>
      </c>
    </row>
    <row r="131">
      <c r="A131" t="inlineStr">
        <is>
          <t>No</t>
        </is>
      </c>
      <c r="B131" t="inlineStr">
        <is>
          <t>QB36.G2 S453 1994</t>
        </is>
      </c>
      <c r="C131" t="inlineStr">
        <is>
          <t>0                      QB 0036000G  2                  S  453         1994</t>
        </is>
      </c>
      <c r="D131" t="inlineStr">
        <is>
          <t>Galileo : decisive innovator / Michael Sharratt.</t>
        </is>
      </c>
      <c r="F131" t="inlineStr">
        <is>
          <t>No</t>
        </is>
      </c>
      <c r="G131" t="inlineStr">
        <is>
          <t>1</t>
        </is>
      </c>
      <c r="H131" t="inlineStr">
        <is>
          <t>No</t>
        </is>
      </c>
      <c r="I131" t="inlineStr">
        <is>
          <t>No</t>
        </is>
      </c>
      <c r="J131" t="inlineStr">
        <is>
          <t>0</t>
        </is>
      </c>
      <c r="K131" t="inlineStr">
        <is>
          <t>Sharratt, Michael.</t>
        </is>
      </c>
      <c r="L131" t="inlineStr">
        <is>
          <t>Oxford ; Cambridge, Mass., USA : Blackwell, 1994.</t>
        </is>
      </c>
      <c r="M131" t="inlineStr">
        <is>
          <t>1994</t>
        </is>
      </c>
      <c r="O131" t="inlineStr">
        <is>
          <t>eng</t>
        </is>
      </c>
      <c r="P131" t="inlineStr">
        <is>
          <t>enk</t>
        </is>
      </c>
      <c r="Q131" t="inlineStr">
        <is>
          <t>Blackwell science biographies</t>
        </is>
      </c>
      <c r="R131" t="inlineStr">
        <is>
          <t xml:space="preserve">QB </t>
        </is>
      </c>
      <c r="S131" t="n">
        <v>6</v>
      </c>
      <c r="T131" t="n">
        <v>6</v>
      </c>
      <c r="U131" t="inlineStr">
        <is>
          <t>2003-02-15</t>
        </is>
      </c>
      <c r="V131" t="inlineStr">
        <is>
          <t>2003-02-15</t>
        </is>
      </c>
      <c r="W131" t="inlineStr">
        <is>
          <t>1995-03-13</t>
        </is>
      </c>
      <c r="X131" t="inlineStr">
        <is>
          <t>1995-03-13</t>
        </is>
      </c>
      <c r="Y131" t="n">
        <v>362</v>
      </c>
      <c r="Z131" t="n">
        <v>269</v>
      </c>
      <c r="AA131" t="n">
        <v>502</v>
      </c>
      <c r="AB131" t="n">
        <v>2</v>
      </c>
      <c r="AC131" t="n">
        <v>3</v>
      </c>
      <c r="AD131" t="n">
        <v>12</v>
      </c>
      <c r="AE131" t="n">
        <v>23</v>
      </c>
      <c r="AF131" t="n">
        <v>3</v>
      </c>
      <c r="AG131" t="n">
        <v>6</v>
      </c>
      <c r="AH131" t="n">
        <v>5</v>
      </c>
      <c r="AI131" t="n">
        <v>7</v>
      </c>
      <c r="AJ131" t="n">
        <v>6</v>
      </c>
      <c r="AK131" t="n">
        <v>15</v>
      </c>
      <c r="AL131" t="n">
        <v>1</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HYPERLINK("https://creighton-primo.hosted.exlibrisgroup.com/primo-explore/search?tab=default_tab&amp;search_scope=EVERYTHING&amp;vid=01CRU&amp;lang=en_US&amp;offset=0&amp;query=any,contains,991002207219702656","Catalog Record")</f>
        <v/>
      </c>
      <c r="AT131">
        <f>HYPERLINK("http://www.worldcat.org/oclc/28379167","WorldCat Record")</f>
        <v/>
      </c>
      <c r="AU131" t="inlineStr">
        <is>
          <t>140070471:eng</t>
        </is>
      </c>
      <c r="AV131" t="inlineStr">
        <is>
          <t>28379167</t>
        </is>
      </c>
      <c r="AW131" t="inlineStr">
        <is>
          <t>991002207219702656</t>
        </is>
      </c>
      <c r="AX131" t="inlineStr">
        <is>
          <t>991002207219702656</t>
        </is>
      </c>
      <c r="AY131" t="inlineStr">
        <is>
          <t>2263607330002656</t>
        </is>
      </c>
      <c r="AZ131" t="inlineStr">
        <is>
          <t>BOOK</t>
        </is>
      </c>
      <c r="BB131" t="inlineStr">
        <is>
          <t>9780631176824</t>
        </is>
      </c>
      <c r="BC131" t="inlineStr">
        <is>
          <t>32285002007036</t>
        </is>
      </c>
      <c r="BD131" t="inlineStr">
        <is>
          <t>893226574</t>
        </is>
      </c>
    </row>
    <row r="132">
      <c r="A132" t="inlineStr">
        <is>
          <t>No</t>
        </is>
      </c>
      <c r="B132" t="inlineStr">
        <is>
          <t>QB36.G2 S46</t>
        </is>
      </c>
      <c r="C132" t="inlineStr">
        <is>
          <t>0                      QB 0036000G  2                  S  46</t>
        </is>
      </c>
      <c r="D132" t="inlineStr">
        <is>
          <t>Galileo's intellectual revolution : middle period, 1610-1632 / [by] William R. Shea.</t>
        </is>
      </c>
      <c r="F132" t="inlineStr">
        <is>
          <t>No</t>
        </is>
      </c>
      <c r="G132" t="inlineStr">
        <is>
          <t>1</t>
        </is>
      </c>
      <c r="H132" t="inlineStr">
        <is>
          <t>No</t>
        </is>
      </c>
      <c r="I132" t="inlineStr">
        <is>
          <t>No</t>
        </is>
      </c>
      <c r="J132" t="inlineStr">
        <is>
          <t>0</t>
        </is>
      </c>
      <c r="K132" t="inlineStr">
        <is>
          <t>Shea, William R.</t>
        </is>
      </c>
      <c r="L132" t="inlineStr">
        <is>
          <t>New York : Science History Publications, [1972]</t>
        </is>
      </c>
      <c r="M132" t="inlineStr">
        <is>
          <t>1972</t>
        </is>
      </c>
      <c r="O132" t="inlineStr">
        <is>
          <t>eng</t>
        </is>
      </c>
      <c r="P132" t="inlineStr">
        <is>
          <t>nyu</t>
        </is>
      </c>
      <c r="R132" t="inlineStr">
        <is>
          <t xml:space="preserve">QB </t>
        </is>
      </c>
      <c r="S132" t="n">
        <v>16</v>
      </c>
      <c r="T132" t="n">
        <v>16</v>
      </c>
      <c r="U132" t="inlineStr">
        <is>
          <t>2008-10-12</t>
        </is>
      </c>
      <c r="V132" t="inlineStr">
        <is>
          <t>2008-10-12</t>
        </is>
      </c>
      <c r="W132" t="inlineStr">
        <is>
          <t>1993-07-09</t>
        </is>
      </c>
      <c r="X132" t="inlineStr">
        <is>
          <t>1993-07-09</t>
        </is>
      </c>
      <c r="Y132" t="n">
        <v>316</v>
      </c>
      <c r="Z132" t="n">
        <v>278</v>
      </c>
      <c r="AA132" t="n">
        <v>456</v>
      </c>
      <c r="AB132" t="n">
        <v>2</v>
      </c>
      <c r="AC132" t="n">
        <v>4</v>
      </c>
      <c r="AD132" t="n">
        <v>17</v>
      </c>
      <c r="AE132" t="n">
        <v>26</v>
      </c>
      <c r="AF132" t="n">
        <v>4</v>
      </c>
      <c r="AG132" t="n">
        <v>6</v>
      </c>
      <c r="AH132" t="n">
        <v>6</v>
      </c>
      <c r="AI132" t="n">
        <v>8</v>
      </c>
      <c r="AJ132" t="n">
        <v>13</v>
      </c>
      <c r="AK132" t="n">
        <v>17</v>
      </c>
      <c r="AL132" t="n">
        <v>1</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HYPERLINK("https://creighton-primo.hosted.exlibrisgroup.com/primo-explore/search?tab=default_tab&amp;search_scope=EVERYTHING&amp;vid=01CRU&amp;lang=en_US&amp;offset=0&amp;query=any,contains,991003004879702656","Catalog Record")</f>
        <v/>
      </c>
      <c r="AT132">
        <f>HYPERLINK("http://www.worldcat.org/oclc/572198","WorldCat Record")</f>
        <v/>
      </c>
      <c r="AU132" t="inlineStr">
        <is>
          <t>30254786:eng</t>
        </is>
      </c>
      <c r="AV132" t="inlineStr">
        <is>
          <t>572198</t>
        </is>
      </c>
      <c r="AW132" t="inlineStr">
        <is>
          <t>991003004879702656</t>
        </is>
      </c>
      <c r="AX132" t="inlineStr">
        <is>
          <t>991003004879702656</t>
        </is>
      </c>
      <c r="AY132" t="inlineStr">
        <is>
          <t>2272472160002656</t>
        </is>
      </c>
      <c r="AZ132" t="inlineStr">
        <is>
          <t>BOOK</t>
        </is>
      </c>
      <c r="BB132" t="inlineStr">
        <is>
          <t>9780882020068</t>
        </is>
      </c>
      <c r="BC132" t="inlineStr">
        <is>
          <t>32285001721777</t>
        </is>
      </c>
      <c r="BD132" t="inlineStr">
        <is>
          <t>893880713</t>
        </is>
      </c>
    </row>
    <row r="133">
      <c r="A133" t="inlineStr">
        <is>
          <t>No</t>
        </is>
      </c>
      <c r="B133" t="inlineStr">
        <is>
          <t>QB36.G2 W47 1989</t>
        </is>
      </c>
      <c r="C133" t="inlineStr">
        <is>
          <t>0                      QB 0036000G  2                  W  47          1989</t>
        </is>
      </c>
      <c r="D133" t="inlineStr">
        <is>
          <t>Essays on the trial of Galileo / by Richard S. Westfall.</t>
        </is>
      </c>
      <c r="F133" t="inlineStr">
        <is>
          <t>No</t>
        </is>
      </c>
      <c r="G133" t="inlineStr">
        <is>
          <t>1</t>
        </is>
      </c>
      <c r="H133" t="inlineStr">
        <is>
          <t>No</t>
        </is>
      </c>
      <c r="I133" t="inlineStr">
        <is>
          <t>No</t>
        </is>
      </c>
      <c r="J133" t="inlineStr">
        <is>
          <t>0</t>
        </is>
      </c>
      <c r="K133" t="inlineStr">
        <is>
          <t>Westfall, Richard S.</t>
        </is>
      </c>
      <c r="L133" t="inlineStr">
        <is>
          <t>Città del Vaticano : Specola Vaticana ; Notre Dame, Ind., USA : Distributed (except in Italy and Vatican City State) by the University of Notre Dame Press, c1989.</t>
        </is>
      </c>
      <c r="M133" t="inlineStr">
        <is>
          <t>1989</t>
        </is>
      </c>
      <c r="O133" t="inlineStr">
        <is>
          <t>eng</t>
        </is>
      </c>
      <c r="P133" t="inlineStr">
        <is>
          <t xml:space="preserve">vc </t>
        </is>
      </c>
      <c r="Q133" t="inlineStr">
        <is>
          <t>Vatican Observatory publications. Special series. Studi Galileiani ; v. 1, no. 5</t>
        </is>
      </c>
      <c r="R133" t="inlineStr">
        <is>
          <t xml:space="preserve">QB </t>
        </is>
      </c>
      <c r="S133" t="n">
        <v>12</v>
      </c>
      <c r="T133" t="n">
        <v>12</v>
      </c>
      <c r="U133" t="inlineStr">
        <is>
          <t>2006-10-03</t>
        </is>
      </c>
      <c r="V133" t="inlineStr">
        <is>
          <t>2006-10-03</t>
        </is>
      </c>
      <c r="W133" t="inlineStr">
        <is>
          <t>1990-05-23</t>
        </is>
      </c>
      <c r="X133" t="inlineStr">
        <is>
          <t>1990-05-23</t>
        </is>
      </c>
      <c r="Y133" t="n">
        <v>314</v>
      </c>
      <c r="Z133" t="n">
        <v>256</v>
      </c>
      <c r="AA133" t="n">
        <v>257</v>
      </c>
      <c r="AB133" t="n">
        <v>2</v>
      </c>
      <c r="AC133" t="n">
        <v>2</v>
      </c>
      <c r="AD133" t="n">
        <v>18</v>
      </c>
      <c r="AE133" t="n">
        <v>18</v>
      </c>
      <c r="AF133" t="n">
        <v>7</v>
      </c>
      <c r="AG133" t="n">
        <v>7</v>
      </c>
      <c r="AH133" t="n">
        <v>3</v>
      </c>
      <c r="AI133" t="n">
        <v>3</v>
      </c>
      <c r="AJ133" t="n">
        <v>10</v>
      </c>
      <c r="AK133" t="n">
        <v>10</v>
      </c>
      <c r="AL133" t="n">
        <v>1</v>
      </c>
      <c r="AM133" t="n">
        <v>1</v>
      </c>
      <c r="AN133" t="n">
        <v>0</v>
      </c>
      <c r="AO133" t="n">
        <v>0</v>
      </c>
      <c r="AP133" t="inlineStr">
        <is>
          <t>No</t>
        </is>
      </c>
      <c r="AQ133" t="inlineStr">
        <is>
          <t>Yes</t>
        </is>
      </c>
      <c r="AR133">
        <f>HYPERLINK("http://catalog.hathitrust.org/Record/002635278","HathiTrust Record")</f>
        <v/>
      </c>
      <c r="AS133">
        <f>HYPERLINK("https://creighton-primo.hosted.exlibrisgroup.com/primo-explore/search?tab=default_tab&amp;search_scope=EVERYTHING&amp;vid=01CRU&amp;lang=en_US&amp;offset=0&amp;query=any,contains,991001664839702656","Catalog Record")</f>
        <v/>
      </c>
      <c r="AT133">
        <f>HYPERLINK("http://www.worldcat.org/oclc/24143553","WorldCat Record")</f>
        <v/>
      </c>
      <c r="AU133" t="inlineStr">
        <is>
          <t>23336760:eng</t>
        </is>
      </c>
      <c r="AV133" t="inlineStr">
        <is>
          <t>24143553</t>
        </is>
      </c>
      <c r="AW133" t="inlineStr">
        <is>
          <t>991001664839702656</t>
        </is>
      </c>
      <c r="AX133" t="inlineStr">
        <is>
          <t>991001664839702656</t>
        </is>
      </c>
      <c r="AY133" t="inlineStr">
        <is>
          <t>2270727390002656</t>
        </is>
      </c>
      <c r="AZ133" t="inlineStr">
        <is>
          <t>BOOK</t>
        </is>
      </c>
      <c r="BB133" t="inlineStr">
        <is>
          <t>9780268009236</t>
        </is>
      </c>
      <c r="BC133" t="inlineStr">
        <is>
          <t>32285000138320</t>
        </is>
      </c>
      <c r="BD133" t="inlineStr">
        <is>
          <t>893696912</t>
        </is>
      </c>
    </row>
    <row r="134">
      <c r="A134" t="inlineStr">
        <is>
          <t>No</t>
        </is>
      </c>
      <c r="B134" t="inlineStr">
        <is>
          <t>QB36.K4 A8</t>
        </is>
      </c>
      <c r="C134" t="inlineStr">
        <is>
          <t>0                      QB 0036000K  4                  A  8</t>
        </is>
      </c>
      <c r="D134" t="inlineStr">
        <is>
          <t>John Kepler / Angus Armitage.</t>
        </is>
      </c>
      <c r="F134" t="inlineStr">
        <is>
          <t>No</t>
        </is>
      </c>
      <c r="G134" t="inlineStr">
        <is>
          <t>1</t>
        </is>
      </c>
      <c r="H134" t="inlineStr">
        <is>
          <t>No</t>
        </is>
      </c>
      <c r="I134" t="inlineStr">
        <is>
          <t>No</t>
        </is>
      </c>
      <c r="J134" t="inlineStr">
        <is>
          <t>0</t>
        </is>
      </c>
      <c r="K134" t="inlineStr">
        <is>
          <t>Armitage, A. (Angus), 1902-1976.</t>
        </is>
      </c>
      <c r="L134" t="inlineStr">
        <is>
          <t>London : Faber, 1966.</t>
        </is>
      </c>
      <c r="M134" t="inlineStr">
        <is>
          <t>1966</t>
        </is>
      </c>
      <c r="O134" t="inlineStr">
        <is>
          <t>eng</t>
        </is>
      </c>
      <c r="P134" t="inlineStr">
        <is>
          <t>enk</t>
        </is>
      </c>
      <c r="R134" t="inlineStr">
        <is>
          <t xml:space="preserve">QB </t>
        </is>
      </c>
      <c r="S134" t="n">
        <v>5</v>
      </c>
      <c r="T134" t="n">
        <v>5</v>
      </c>
      <c r="U134" t="inlineStr">
        <is>
          <t>2005-11-16</t>
        </is>
      </c>
      <c r="V134" t="inlineStr">
        <is>
          <t>2005-11-16</t>
        </is>
      </c>
      <c r="W134" t="inlineStr">
        <is>
          <t>1999-12-06</t>
        </is>
      </c>
      <c r="X134" t="inlineStr">
        <is>
          <t>1999-12-06</t>
        </is>
      </c>
      <c r="Y134" t="n">
        <v>307</v>
      </c>
      <c r="Z134" t="n">
        <v>215</v>
      </c>
      <c r="AA134" t="n">
        <v>426</v>
      </c>
      <c r="AB134" t="n">
        <v>1</v>
      </c>
      <c r="AC134" t="n">
        <v>2</v>
      </c>
      <c r="AD134" t="n">
        <v>6</v>
      </c>
      <c r="AE134" t="n">
        <v>13</v>
      </c>
      <c r="AF134" t="n">
        <v>3</v>
      </c>
      <c r="AG134" t="n">
        <v>5</v>
      </c>
      <c r="AH134" t="n">
        <v>0</v>
      </c>
      <c r="AI134" t="n">
        <v>2</v>
      </c>
      <c r="AJ134" t="n">
        <v>3</v>
      </c>
      <c r="AK134" t="n">
        <v>7</v>
      </c>
      <c r="AL134" t="n">
        <v>0</v>
      </c>
      <c r="AM134" t="n">
        <v>1</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HYPERLINK("https://creighton-primo.hosted.exlibrisgroup.com/primo-explore/search?tab=default_tab&amp;search_scope=EVERYTHING&amp;vid=01CRU&amp;lang=en_US&amp;offset=0&amp;query=any,contains,991002894279702656","Catalog Record")</f>
        <v/>
      </c>
      <c r="AT134">
        <f>HYPERLINK("http://www.worldcat.org/oclc/513225","WorldCat Record")</f>
        <v/>
      </c>
      <c r="AU134" t="inlineStr">
        <is>
          <t>49918708:eng</t>
        </is>
      </c>
      <c r="AV134" t="inlineStr">
        <is>
          <t>513225</t>
        </is>
      </c>
      <c r="AW134" t="inlineStr">
        <is>
          <t>991002894279702656</t>
        </is>
      </c>
      <c r="AX134" t="inlineStr">
        <is>
          <t>991002894279702656</t>
        </is>
      </c>
      <c r="AY134" t="inlineStr">
        <is>
          <t>2260764850002656</t>
        </is>
      </c>
      <c r="AZ134" t="inlineStr">
        <is>
          <t>BOOK</t>
        </is>
      </c>
      <c r="BC134" t="inlineStr">
        <is>
          <t>32285003628087</t>
        </is>
      </c>
      <c r="BD134" t="inlineStr">
        <is>
          <t>893604181</t>
        </is>
      </c>
    </row>
    <row r="135">
      <c r="A135" t="inlineStr">
        <is>
          <t>No</t>
        </is>
      </c>
      <c r="B135" t="inlineStr">
        <is>
          <t>QB36.K4 C33</t>
        </is>
      </c>
      <c r="C135" t="inlineStr">
        <is>
          <t>0                      QB 0036000K  4                  C  33</t>
        </is>
      </c>
      <c r="D135" t="inlineStr">
        <is>
          <t>Kepler / translated and edited by C. Doris Hellman.</t>
        </is>
      </c>
      <c r="F135" t="inlineStr">
        <is>
          <t>No</t>
        </is>
      </c>
      <c r="G135" t="inlineStr">
        <is>
          <t>1</t>
        </is>
      </c>
      <c r="H135" t="inlineStr">
        <is>
          <t>No</t>
        </is>
      </c>
      <c r="I135" t="inlineStr">
        <is>
          <t>Yes</t>
        </is>
      </c>
      <c r="J135" t="inlineStr">
        <is>
          <t>0</t>
        </is>
      </c>
      <c r="K135" t="inlineStr">
        <is>
          <t>Caspar, Max, 1880-1956.</t>
        </is>
      </c>
      <c r="L135" t="inlineStr">
        <is>
          <t>London ; New York : Abelard-Schuman, [c1959]</t>
        </is>
      </c>
      <c r="M135" t="inlineStr">
        <is>
          <t>1959</t>
        </is>
      </c>
      <c r="O135" t="inlineStr">
        <is>
          <t>eng</t>
        </is>
      </c>
      <c r="P135" t="inlineStr">
        <is>
          <t>enk</t>
        </is>
      </c>
      <c r="Q135" t="inlineStr">
        <is>
          <t>The life of science library, 36</t>
        </is>
      </c>
      <c r="R135" t="inlineStr">
        <is>
          <t xml:space="preserve">QB </t>
        </is>
      </c>
      <c r="S135" t="n">
        <v>6</v>
      </c>
      <c r="T135" t="n">
        <v>6</v>
      </c>
      <c r="U135" t="inlineStr">
        <is>
          <t>1996-11-09</t>
        </is>
      </c>
      <c r="V135" t="inlineStr">
        <is>
          <t>1996-11-09</t>
        </is>
      </c>
      <c r="W135" t="inlineStr">
        <is>
          <t>1994-01-04</t>
        </is>
      </c>
      <c r="X135" t="inlineStr">
        <is>
          <t>1994-01-04</t>
        </is>
      </c>
      <c r="Y135" t="n">
        <v>689</v>
      </c>
      <c r="Z135" t="n">
        <v>574</v>
      </c>
      <c r="AA135" t="n">
        <v>796</v>
      </c>
      <c r="AB135" t="n">
        <v>3</v>
      </c>
      <c r="AC135" t="n">
        <v>5</v>
      </c>
      <c r="AD135" t="n">
        <v>23</v>
      </c>
      <c r="AE135" t="n">
        <v>32</v>
      </c>
      <c r="AF135" t="n">
        <v>4</v>
      </c>
      <c r="AG135" t="n">
        <v>8</v>
      </c>
      <c r="AH135" t="n">
        <v>8</v>
      </c>
      <c r="AI135" t="n">
        <v>10</v>
      </c>
      <c r="AJ135" t="n">
        <v>14</v>
      </c>
      <c r="AK135" t="n">
        <v>20</v>
      </c>
      <c r="AL135" t="n">
        <v>2</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HYPERLINK("https://creighton-primo.hosted.exlibrisgroup.com/primo-explore/search?tab=default_tab&amp;search_scope=EVERYTHING&amp;vid=01CRU&amp;lang=en_US&amp;offset=0&amp;query=any,contains,991002966319702656","Catalog Record")</f>
        <v/>
      </c>
      <c r="AT135">
        <f>HYPERLINK("http://www.worldcat.org/oclc/546065","WorldCat Record")</f>
        <v/>
      </c>
      <c r="AU135" t="inlineStr">
        <is>
          <t>341496:eng</t>
        </is>
      </c>
      <c r="AV135" t="inlineStr">
        <is>
          <t>546065</t>
        </is>
      </c>
      <c r="AW135" t="inlineStr">
        <is>
          <t>991002966319702656</t>
        </is>
      </c>
      <c r="AX135" t="inlineStr">
        <is>
          <t>991002966319702656</t>
        </is>
      </c>
      <c r="AY135" t="inlineStr">
        <is>
          <t>2264871870002656</t>
        </is>
      </c>
      <c r="AZ135" t="inlineStr">
        <is>
          <t>BOOK</t>
        </is>
      </c>
      <c r="BC135" t="inlineStr">
        <is>
          <t>32285001827756</t>
        </is>
      </c>
      <c r="BD135" t="inlineStr">
        <is>
          <t>893348172</t>
        </is>
      </c>
    </row>
    <row r="136">
      <c r="A136" t="inlineStr">
        <is>
          <t>No</t>
        </is>
      </c>
      <c r="B136" t="inlineStr">
        <is>
          <t>QB36.K4 C33 1993</t>
        </is>
      </c>
      <c r="C136" t="inlineStr">
        <is>
          <t>0                      QB 0036000K  4                  C  33          1993</t>
        </is>
      </c>
      <c r="D136" t="inlineStr">
        <is>
          <t>Kepler / Max Caspar ; translated and edited by C. Doris Hellman ; with a new introduction and references by Owen Gingerich ; bibliographical citations by Owen Gingerich and Alain Segonds.</t>
        </is>
      </c>
      <c r="F136" t="inlineStr">
        <is>
          <t>No</t>
        </is>
      </c>
      <c r="G136" t="inlineStr">
        <is>
          <t>1</t>
        </is>
      </c>
      <c r="H136" t="inlineStr">
        <is>
          <t>No</t>
        </is>
      </c>
      <c r="I136" t="inlineStr">
        <is>
          <t>Yes</t>
        </is>
      </c>
      <c r="J136" t="inlineStr">
        <is>
          <t>0</t>
        </is>
      </c>
      <c r="K136" t="inlineStr">
        <is>
          <t>Caspar, Max, 1880-1956.</t>
        </is>
      </c>
      <c r="L136" t="inlineStr">
        <is>
          <t>New York : Dover Publications, 1993.</t>
        </is>
      </c>
      <c r="M136" t="inlineStr">
        <is>
          <t>1993</t>
        </is>
      </c>
      <c r="O136" t="inlineStr">
        <is>
          <t>eng</t>
        </is>
      </c>
      <c r="P136" t="inlineStr">
        <is>
          <t>nyu</t>
        </is>
      </c>
      <c r="R136" t="inlineStr">
        <is>
          <t xml:space="preserve">QB </t>
        </is>
      </c>
      <c r="S136" t="n">
        <v>5</v>
      </c>
      <c r="T136" t="n">
        <v>5</v>
      </c>
      <c r="U136" t="inlineStr">
        <is>
          <t>2007-10-02</t>
        </is>
      </c>
      <c r="V136" t="inlineStr">
        <is>
          <t>2007-10-02</t>
        </is>
      </c>
      <c r="W136" t="inlineStr">
        <is>
          <t>1996-03-29</t>
        </is>
      </c>
      <c r="X136" t="inlineStr">
        <is>
          <t>1996-03-29</t>
        </is>
      </c>
      <c r="Y136" t="n">
        <v>230</v>
      </c>
      <c r="Z136" t="n">
        <v>186</v>
      </c>
      <c r="AA136" t="n">
        <v>796</v>
      </c>
      <c r="AB136" t="n">
        <v>2</v>
      </c>
      <c r="AC136" t="n">
        <v>5</v>
      </c>
      <c r="AD136" t="n">
        <v>6</v>
      </c>
      <c r="AE136" t="n">
        <v>32</v>
      </c>
      <c r="AF136" t="n">
        <v>2</v>
      </c>
      <c r="AG136" t="n">
        <v>8</v>
      </c>
      <c r="AH136" t="n">
        <v>0</v>
      </c>
      <c r="AI136" t="n">
        <v>10</v>
      </c>
      <c r="AJ136" t="n">
        <v>5</v>
      </c>
      <c r="AK136" t="n">
        <v>20</v>
      </c>
      <c r="AL136" t="n">
        <v>1</v>
      </c>
      <c r="AM136" t="n">
        <v>4</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HYPERLINK("https://creighton-primo.hosted.exlibrisgroup.com/primo-explore/search?tab=default_tab&amp;search_scope=EVERYTHING&amp;vid=01CRU&amp;lang=en_US&amp;offset=0&amp;query=any,contains,991002200079702656","Catalog Record")</f>
        <v/>
      </c>
      <c r="AT136">
        <f>HYPERLINK("http://www.worldcat.org/oclc/28293391","WorldCat Record")</f>
        <v/>
      </c>
      <c r="AU136" t="inlineStr">
        <is>
          <t>341496:eng</t>
        </is>
      </c>
      <c r="AV136" t="inlineStr">
        <is>
          <t>28293391</t>
        </is>
      </c>
      <c r="AW136" t="inlineStr">
        <is>
          <t>991002200079702656</t>
        </is>
      </c>
      <c r="AX136" t="inlineStr">
        <is>
          <t>991002200079702656</t>
        </is>
      </c>
      <c r="AY136" t="inlineStr">
        <is>
          <t>2259478280002656</t>
        </is>
      </c>
      <c r="AZ136" t="inlineStr">
        <is>
          <t>BOOK</t>
        </is>
      </c>
      <c r="BB136" t="inlineStr">
        <is>
          <t>9780486676050</t>
        </is>
      </c>
      <c r="BC136" t="inlineStr">
        <is>
          <t>32285002148376</t>
        </is>
      </c>
      <c r="BD136" t="inlineStr">
        <is>
          <t>893341156</t>
        </is>
      </c>
    </row>
    <row r="137">
      <c r="A137" t="inlineStr">
        <is>
          <t>No</t>
        </is>
      </c>
      <c r="B137" t="inlineStr">
        <is>
          <t>QB36.K4 C66 2004</t>
        </is>
      </c>
      <c r="C137" t="inlineStr">
        <is>
          <t>0                      QB 0036000K  4                  C  66          2004</t>
        </is>
      </c>
      <c r="D137" t="inlineStr">
        <is>
          <t>Kepler's witch : an astronomer's discovery of cosmic order amid religious war, political intrigue, and the heresy trial of his mother / James A. Connor.</t>
        </is>
      </c>
      <c r="F137" t="inlineStr">
        <is>
          <t>No</t>
        </is>
      </c>
      <c r="G137" t="inlineStr">
        <is>
          <t>1</t>
        </is>
      </c>
      <c r="H137" t="inlineStr">
        <is>
          <t>No</t>
        </is>
      </c>
      <c r="I137" t="inlineStr">
        <is>
          <t>No</t>
        </is>
      </c>
      <c r="J137" t="inlineStr">
        <is>
          <t>0</t>
        </is>
      </c>
      <c r="K137" t="inlineStr">
        <is>
          <t>Connor, James A.</t>
        </is>
      </c>
      <c r="L137" t="inlineStr">
        <is>
          <t>San Francisco : HarperSanFrancisco, c2004.</t>
        </is>
      </c>
      <c r="M137" t="inlineStr">
        <is>
          <t>2004</t>
        </is>
      </c>
      <c r="N137" t="inlineStr">
        <is>
          <t>1st ed.</t>
        </is>
      </c>
      <c r="O137" t="inlineStr">
        <is>
          <t>eng</t>
        </is>
      </c>
      <c r="P137" t="inlineStr">
        <is>
          <t>cau</t>
        </is>
      </c>
      <c r="R137" t="inlineStr">
        <is>
          <t xml:space="preserve">QB </t>
        </is>
      </c>
      <c r="S137" t="n">
        <v>1</v>
      </c>
      <c r="T137" t="n">
        <v>1</v>
      </c>
      <c r="U137" t="inlineStr">
        <is>
          <t>2004-11-01</t>
        </is>
      </c>
      <c r="V137" t="inlineStr">
        <is>
          <t>2004-11-01</t>
        </is>
      </c>
      <c r="W137" t="inlineStr">
        <is>
          <t>2004-11-01</t>
        </is>
      </c>
      <c r="X137" t="inlineStr">
        <is>
          <t>2004-11-01</t>
        </is>
      </c>
      <c r="Y137" t="n">
        <v>1171</v>
      </c>
      <c r="Z137" t="n">
        <v>1086</v>
      </c>
      <c r="AA137" t="n">
        <v>1121</v>
      </c>
      <c r="AB137" t="n">
        <v>9</v>
      </c>
      <c r="AC137" t="n">
        <v>9</v>
      </c>
      <c r="AD137" t="n">
        <v>28</v>
      </c>
      <c r="AE137" t="n">
        <v>28</v>
      </c>
      <c r="AF137" t="n">
        <v>10</v>
      </c>
      <c r="AG137" t="n">
        <v>10</v>
      </c>
      <c r="AH137" t="n">
        <v>8</v>
      </c>
      <c r="AI137" t="n">
        <v>8</v>
      </c>
      <c r="AJ137" t="n">
        <v>14</v>
      </c>
      <c r="AK137" t="n">
        <v>14</v>
      </c>
      <c r="AL137" t="n">
        <v>5</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HYPERLINK("https://creighton-primo.hosted.exlibrisgroup.com/primo-explore/search?tab=default_tab&amp;search_scope=EVERYTHING&amp;vid=01CRU&amp;lang=en_US&amp;offset=0&amp;query=any,contains,991004287449702656","Catalog Record")</f>
        <v/>
      </c>
      <c r="AT137">
        <f>HYPERLINK("http://www.worldcat.org/oclc/53796910","WorldCat Record")</f>
        <v/>
      </c>
      <c r="AU137" t="inlineStr">
        <is>
          <t>979424:eng</t>
        </is>
      </c>
      <c r="AV137" t="inlineStr">
        <is>
          <t>53796910</t>
        </is>
      </c>
      <c r="AW137" t="inlineStr">
        <is>
          <t>991004287449702656</t>
        </is>
      </c>
      <c r="AX137" t="inlineStr">
        <is>
          <t>991004287449702656</t>
        </is>
      </c>
      <c r="AY137" t="inlineStr">
        <is>
          <t>2268548610002656</t>
        </is>
      </c>
      <c r="AZ137" t="inlineStr">
        <is>
          <t>BOOK</t>
        </is>
      </c>
      <c r="BB137" t="inlineStr">
        <is>
          <t>9780060522551</t>
        </is>
      </c>
      <c r="BC137" t="inlineStr">
        <is>
          <t>32285005007447</t>
        </is>
      </c>
      <c r="BD137" t="inlineStr">
        <is>
          <t>893343663</t>
        </is>
      </c>
    </row>
    <row r="138">
      <c r="A138" t="inlineStr">
        <is>
          <t>No</t>
        </is>
      </c>
      <c r="B138" t="inlineStr">
        <is>
          <t>QB36.K7 A33 1995</t>
        </is>
      </c>
      <c r="C138" t="inlineStr">
        <is>
          <t>0                      QB 0036000K  7                  A  33          1995</t>
        </is>
      </c>
      <c r="D138" t="inlineStr">
        <is>
          <t>Big ear two : listening for other-worlds / John Kraus.</t>
        </is>
      </c>
      <c r="F138" t="inlineStr">
        <is>
          <t>No</t>
        </is>
      </c>
      <c r="G138" t="inlineStr">
        <is>
          <t>1</t>
        </is>
      </c>
      <c r="H138" t="inlineStr">
        <is>
          <t>No</t>
        </is>
      </c>
      <c r="I138" t="inlineStr">
        <is>
          <t>No</t>
        </is>
      </c>
      <c r="J138" t="inlineStr">
        <is>
          <t>0</t>
        </is>
      </c>
      <c r="K138" t="inlineStr">
        <is>
          <t>Kraus, John D., 1910-2004.</t>
        </is>
      </c>
      <c r="L138" t="inlineStr">
        <is>
          <t>Powell, Ohio : Cygnus-Quasar Books, c1995.</t>
        </is>
      </c>
      <c r="M138" t="inlineStr">
        <is>
          <t>1995</t>
        </is>
      </c>
      <c r="N138" t="inlineStr">
        <is>
          <t>2nd ed.</t>
        </is>
      </c>
      <c r="O138" t="inlineStr">
        <is>
          <t>eng</t>
        </is>
      </c>
      <c r="P138" t="inlineStr">
        <is>
          <t>ohu</t>
        </is>
      </c>
      <c r="R138" t="inlineStr">
        <is>
          <t xml:space="preserve">QB </t>
        </is>
      </c>
      <c r="S138" t="n">
        <v>1</v>
      </c>
      <c r="T138" t="n">
        <v>1</v>
      </c>
      <c r="U138" t="inlineStr">
        <is>
          <t>1997-06-11</t>
        </is>
      </c>
      <c r="V138" t="inlineStr">
        <is>
          <t>1997-06-11</t>
        </is>
      </c>
      <c r="W138" t="inlineStr">
        <is>
          <t>1995-07-23</t>
        </is>
      </c>
      <c r="X138" t="inlineStr">
        <is>
          <t>1995-07-23</t>
        </is>
      </c>
      <c r="Y138" t="n">
        <v>61</v>
      </c>
      <c r="Z138" t="n">
        <v>51</v>
      </c>
      <c r="AA138" t="n">
        <v>53</v>
      </c>
      <c r="AB138" t="n">
        <v>1</v>
      </c>
      <c r="AC138" t="n">
        <v>1</v>
      </c>
      <c r="AD138" t="n">
        <v>0</v>
      </c>
      <c r="AE138" t="n">
        <v>0</v>
      </c>
      <c r="AF138" t="n">
        <v>0</v>
      </c>
      <c r="AG138" t="n">
        <v>0</v>
      </c>
      <c r="AH138" t="n">
        <v>0</v>
      </c>
      <c r="AI138" t="n">
        <v>0</v>
      </c>
      <c r="AJ138" t="n">
        <v>0</v>
      </c>
      <c r="AK138" t="n">
        <v>0</v>
      </c>
      <c r="AL138" t="n">
        <v>0</v>
      </c>
      <c r="AM138" t="n">
        <v>0</v>
      </c>
      <c r="AN138" t="n">
        <v>0</v>
      </c>
      <c r="AO138" t="n">
        <v>0</v>
      </c>
      <c r="AP138" t="inlineStr">
        <is>
          <t>No</t>
        </is>
      </c>
      <c r="AQ138" t="inlineStr">
        <is>
          <t>Yes</t>
        </is>
      </c>
      <c r="AR138">
        <f>HYPERLINK("http://catalog.hathitrust.org/Record/003255772","HathiTrust Record")</f>
        <v/>
      </c>
      <c r="AS138">
        <f>HYPERLINK("https://creighton-primo.hosted.exlibrisgroup.com/primo-explore/search?tab=default_tab&amp;search_scope=EVERYTHING&amp;vid=01CRU&amp;lang=en_US&amp;offset=0&amp;query=any,contains,991002439489702656","Catalog Record")</f>
        <v/>
      </c>
      <c r="AT138">
        <f>HYPERLINK("http://www.worldcat.org/oclc/31786087","WorldCat Record")</f>
        <v/>
      </c>
      <c r="AU138" t="inlineStr">
        <is>
          <t>368434348:eng</t>
        </is>
      </c>
      <c r="AV138" t="inlineStr">
        <is>
          <t>31786087</t>
        </is>
      </c>
      <c r="AW138" t="inlineStr">
        <is>
          <t>991002439489702656</t>
        </is>
      </c>
      <c r="AX138" t="inlineStr">
        <is>
          <t>991002439489702656</t>
        </is>
      </c>
      <c r="AY138" t="inlineStr">
        <is>
          <t>2263360990002656</t>
        </is>
      </c>
      <c r="AZ138" t="inlineStr">
        <is>
          <t>BOOK</t>
        </is>
      </c>
      <c r="BB138" t="inlineStr">
        <is>
          <t>9781882484126</t>
        </is>
      </c>
      <c r="BC138" t="inlineStr">
        <is>
          <t>32285002075900</t>
        </is>
      </c>
      <c r="BD138" t="inlineStr">
        <is>
          <t>893415198</t>
        </is>
      </c>
    </row>
    <row r="139">
      <c r="A139" t="inlineStr">
        <is>
          <t>No</t>
        </is>
      </c>
      <c r="B139" t="inlineStr">
        <is>
          <t>QB36.P83 N47</t>
        </is>
      </c>
      <c r="C139" t="inlineStr">
        <is>
          <t>0                      QB 0036000P  83                 N  47</t>
        </is>
      </c>
      <c r="D139" t="inlineStr">
        <is>
          <t>The crime of Claudius Ptolemy / Robert R. Newton.</t>
        </is>
      </c>
      <c r="F139" t="inlineStr">
        <is>
          <t>No</t>
        </is>
      </c>
      <c r="G139" t="inlineStr">
        <is>
          <t>1</t>
        </is>
      </c>
      <c r="H139" t="inlineStr">
        <is>
          <t>No</t>
        </is>
      </c>
      <c r="I139" t="inlineStr">
        <is>
          <t>No</t>
        </is>
      </c>
      <c r="J139" t="inlineStr">
        <is>
          <t>0</t>
        </is>
      </c>
      <c r="K139" t="inlineStr">
        <is>
          <t>Newton, Robert R.</t>
        </is>
      </c>
      <c r="L139" t="inlineStr">
        <is>
          <t>Baltimore : Johns Hopkins University Press, c1977.</t>
        </is>
      </c>
      <c r="M139" t="inlineStr">
        <is>
          <t>1977</t>
        </is>
      </c>
      <c r="O139" t="inlineStr">
        <is>
          <t>eng</t>
        </is>
      </c>
      <c r="P139" t="inlineStr">
        <is>
          <t>mdu</t>
        </is>
      </c>
      <c r="R139" t="inlineStr">
        <is>
          <t xml:space="preserve">QB </t>
        </is>
      </c>
      <c r="S139" t="n">
        <v>7</v>
      </c>
      <c r="T139" t="n">
        <v>7</v>
      </c>
      <c r="U139" t="inlineStr">
        <is>
          <t>1996-11-04</t>
        </is>
      </c>
      <c r="V139" t="inlineStr">
        <is>
          <t>1996-11-04</t>
        </is>
      </c>
      <c r="W139" t="inlineStr">
        <is>
          <t>1993-10-07</t>
        </is>
      </c>
      <c r="X139" t="inlineStr">
        <is>
          <t>1993-10-07</t>
        </is>
      </c>
      <c r="Y139" t="n">
        <v>611</v>
      </c>
      <c r="Z139" t="n">
        <v>498</v>
      </c>
      <c r="AA139" t="n">
        <v>500</v>
      </c>
      <c r="AB139" t="n">
        <v>4</v>
      </c>
      <c r="AC139" t="n">
        <v>4</v>
      </c>
      <c r="AD139" t="n">
        <v>20</v>
      </c>
      <c r="AE139" t="n">
        <v>20</v>
      </c>
      <c r="AF139" t="n">
        <v>4</v>
      </c>
      <c r="AG139" t="n">
        <v>4</v>
      </c>
      <c r="AH139" t="n">
        <v>6</v>
      </c>
      <c r="AI139" t="n">
        <v>6</v>
      </c>
      <c r="AJ139" t="n">
        <v>12</v>
      </c>
      <c r="AK139" t="n">
        <v>12</v>
      </c>
      <c r="AL139" t="n">
        <v>3</v>
      </c>
      <c r="AM139" t="n">
        <v>3</v>
      </c>
      <c r="AN139" t="n">
        <v>0</v>
      </c>
      <c r="AO139" t="n">
        <v>0</v>
      </c>
      <c r="AP139" t="inlineStr">
        <is>
          <t>No</t>
        </is>
      </c>
      <c r="AQ139" t="inlineStr">
        <is>
          <t>Yes</t>
        </is>
      </c>
      <c r="AR139">
        <f>HYPERLINK("http://catalog.hathitrust.org/Record/000727207","HathiTrust Record")</f>
        <v/>
      </c>
      <c r="AS139">
        <f>HYPERLINK("https://creighton-primo.hosted.exlibrisgroup.com/primo-explore/search?tab=default_tab&amp;search_scope=EVERYTHING&amp;vid=01CRU&amp;lang=en_US&amp;offset=0&amp;query=any,contains,991004270099702656","Catalog Record")</f>
        <v/>
      </c>
      <c r="AT139">
        <f>HYPERLINK("http://www.worldcat.org/oclc/2875127","WorldCat Record")</f>
        <v/>
      </c>
      <c r="AU139" t="inlineStr">
        <is>
          <t>6408296:eng</t>
        </is>
      </c>
      <c r="AV139" t="inlineStr">
        <is>
          <t>2875127</t>
        </is>
      </c>
      <c r="AW139" t="inlineStr">
        <is>
          <t>991004270099702656</t>
        </is>
      </c>
      <c r="AX139" t="inlineStr">
        <is>
          <t>991004270099702656</t>
        </is>
      </c>
      <c r="AY139" t="inlineStr">
        <is>
          <t>2259449700002656</t>
        </is>
      </c>
      <c r="AZ139" t="inlineStr">
        <is>
          <t>BOOK</t>
        </is>
      </c>
      <c r="BB139" t="inlineStr">
        <is>
          <t>9780801819902</t>
        </is>
      </c>
      <c r="BC139" t="inlineStr">
        <is>
          <t>32285001790012</t>
        </is>
      </c>
      <c r="BD139" t="inlineStr">
        <is>
          <t>893343646</t>
        </is>
      </c>
    </row>
    <row r="140">
      <c r="A140" t="inlineStr">
        <is>
          <t>No</t>
        </is>
      </c>
      <c r="B140" t="inlineStr">
        <is>
          <t>QB36.S56 A3 1991</t>
        </is>
      </c>
      <c r="C140" t="inlineStr">
        <is>
          <t>0                      QB 0036000S  56                 A  3           1991</t>
        </is>
      </c>
      <c r="D140" t="inlineStr">
        <is>
          <t>Five billion vodka bottles to the moon : tales of a Soviet scientist / Iosif Shklovsky ; translated and adapted by Mary Fleming Zirin and Harold Zirin ; introduction by Herbert Friedman.</t>
        </is>
      </c>
      <c r="F140" t="inlineStr">
        <is>
          <t>No</t>
        </is>
      </c>
      <c r="G140" t="inlineStr">
        <is>
          <t>1</t>
        </is>
      </c>
      <c r="H140" t="inlineStr">
        <is>
          <t>No</t>
        </is>
      </c>
      <c r="I140" t="inlineStr">
        <is>
          <t>No</t>
        </is>
      </c>
      <c r="J140" t="inlineStr">
        <is>
          <t>0</t>
        </is>
      </c>
      <c r="K140" t="inlineStr">
        <is>
          <t>Shklovskiĭ, I. S.</t>
        </is>
      </c>
      <c r="L140" t="inlineStr">
        <is>
          <t>New York : W.W. Norton, c1991.</t>
        </is>
      </c>
      <c r="M140" t="inlineStr">
        <is>
          <t>1991</t>
        </is>
      </c>
      <c r="N140" t="inlineStr">
        <is>
          <t>1st ed.</t>
        </is>
      </c>
      <c r="O140" t="inlineStr">
        <is>
          <t>eng</t>
        </is>
      </c>
      <c r="P140" t="inlineStr">
        <is>
          <t>nyu</t>
        </is>
      </c>
      <c r="R140" t="inlineStr">
        <is>
          <t xml:space="preserve">QB </t>
        </is>
      </c>
      <c r="S140" t="n">
        <v>2</v>
      </c>
      <c r="T140" t="n">
        <v>2</v>
      </c>
      <c r="U140" t="inlineStr">
        <is>
          <t>2010-09-24</t>
        </is>
      </c>
      <c r="V140" t="inlineStr">
        <is>
          <t>2010-09-24</t>
        </is>
      </c>
      <c r="W140" t="inlineStr">
        <is>
          <t>1992-06-23</t>
        </is>
      </c>
      <c r="X140" t="inlineStr">
        <is>
          <t>1992-06-23</t>
        </is>
      </c>
      <c r="Y140" t="n">
        <v>427</v>
      </c>
      <c r="Z140" t="n">
        <v>373</v>
      </c>
      <c r="AA140" t="n">
        <v>374</v>
      </c>
      <c r="AB140" t="n">
        <v>2</v>
      </c>
      <c r="AC140" t="n">
        <v>2</v>
      </c>
      <c r="AD140" t="n">
        <v>12</v>
      </c>
      <c r="AE140" t="n">
        <v>12</v>
      </c>
      <c r="AF140" t="n">
        <v>4</v>
      </c>
      <c r="AG140" t="n">
        <v>4</v>
      </c>
      <c r="AH140" t="n">
        <v>4</v>
      </c>
      <c r="AI140" t="n">
        <v>4</v>
      </c>
      <c r="AJ140" t="n">
        <v>7</v>
      </c>
      <c r="AK140" t="n">
        <v>7</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HYPERLINK("https://creighton-primo.hosted.exlibrisgroup.com/primo-explore/search?tab=default_tab&amp;search_scope=EVERYTHING&amp;vid=01CRU&amp;lang=en_US&amp;offset=0&amp;query=any,contains,991001800119702656","Catalog Record")</f>
        <v/>
      </c>
      <c r="AT140">
        <f>HYPERLINK("http://www.worldcat.org/oclc/22629613","WorldCat Record")</f>
        <v/>
      </c>
      <c r="AU140" t="inlineStr">
        <is>
          <t>9657271446:eng</t>
        </is>
      </c>
      <c r="AV140" t="inlineStr">
        <is>
          <t>22629613</t>
        </is>
      </c>
      <c r="AW140" t="inlineStr">
        <is>
          <t>991001800119702656</t>
        </is>
      </c>
      <c r="AX140" t="inlineStr">
        <is>
          <t>991001800119702656</t>
        </is>
      </c>
      <c r="AY140" t="inlineStr">
        <is>
          <t>2269012840002656</t>
        </is>
      </c>
      <c r="AZ140" t="inlineStr">
        <is>
          <t>BOOK</t>
        </is>
      </c>
      <c r="BB140" t="inlineStr">
        <is>
          <t>9780393029901</t>
        </is>
      </c>
      <c r="BC140" t="inlineStr">
        <is>
          <t>32285001155430</t>
        </is>
      </c>
      <c r="BD140" t="inlineStr">
        <is>
          <t>893785404</t>
        </is>
      </c>
    </row>
    <row r="141">
      <c r="A141" t="inlineStr">
        <is>
          <t>No</t>
        </is>
      </c>
      <c r="B141" t="inlineStr">
        <is>
          <t>QB362 .N54 1972</t>
        </is>
      </c>
      <c r="C141" t="inlineStr">
        <is>
          <t>0                      QB 0362000N  54          1972</t>
        </is>
      </c>
      <c r="D141" t="inlineStr">
        <is>
          <t>The Titius-Bode law of planetary distances: its history and theory.</t>
        </is>
      </c>
      <c r="F141" t="inlineStr">
        <is>
          <t>No</t>
        </is>
      </c>
      <c r="G141" t="inlineStr">
        <is>
          <t>1</t>
        </is>
      </c>
      <c r="H141" t="inlineStr">
        <is>
          <t>No</t>
        </is>
      </c>
      <c r="I141" t="inlineStr">
        <is>
          <t>No</t>
        </is>
      </c>
      <c r="J141" t="inlineStr">
        <is>
          <t>0</t>
        </is>
      </c>
      <c r="K141" t="inlineStr">
        <is>
          <t>Nieto, Michael Martin.</t>
        </is>
      </c>
      <c r="L141" t="inlineStr">
        <is>
          <t>Oxford, New York, Pergamon Press [1972]</t>
        </is>
      </c>
      <c r="M141" t="inlineStr">
        <is>
          <t>1972</t>
        </is>
      </c>
      <c r="N141" t="inlineStr">
        <is>
          <t>[1st ed.]</t>
        </is>
      </c>
      <c r="O141" t="inlineStr">
        <is>
          <t>eng</t>
        </is>
      </c>
      <c r="P141" t="inlineStr">
        <is>
          <t>enk</t>
        </is>
      </c>
      <c r="Q141" t="inlineStr">
        <is>
          <t>International series of monographs in natural philosophy ; v. 47</t>
        </is>
      </c>
      <c r="R141" t="inlineStr">
        <is>
          <t xml:space="preserve">QB </t>
        </is>
      </c>
      <c r="S141" t="n">
        <v>6</v>
      </c>
      <c r="T141" t="n">
        <v>6</v>
      </c>
      <c r="U141" t="inlineStr">
        <is>
          <t>2000-04-15</t>
        </is>
      </c>
      <c r="V141" t="inlineStr">
        <is>
          <t>2000-04-15</t>
        </is>
      </c>
      <c r="W141" t="inlineStr">
        <is>
          <t>1997-05-02</t>
        </is>
      </c>
      <c r="X141" t="inlineStr">
        <is>
          <t>1997-05-02</t>
        </is>
      </c>
      <c r="Y141" t="n">
        <v>432</v>
      </c>
      <c r="Z141" t="n">
        <v>318</v>
      </c>
      <c r="AA141" t="n">
        <v>350</v>
      </c>
      <c r="AB141" t="n">
        <v>2</v>
      </c>
      <c r="AC141" t="n">
        <v>3</v>
      </c>
      <c r="AD141" t="n">
        <v>8</v>
      </c>
      <c r="AE141" t="n">
        <v>11</v>
      </c>
      <c r="AF141" t="n">
        <v>0</v>
      </c>
      <c r="AG141" t="n">
        <v>2</v>
      </c>
      <c r="AH141" t="n">
        <v>2</v>
      </c>
      <c r="AI141" t="n">
        <v>3</v>
      </c>
      <c r="AJ141" t="n">
        <v>5</v>
      </c>
      <c r="AK141" t="n">
        <v>5</v>
      </c>
      <c r="AL141" t="n">
        <v>1</v>
      </c>
      <c r="AM141" t="n">
        <v>2</v>
      </c>
      <c r="AN141" t="n">
        <v>0</v>
      </c>
      <c r="AO141" t="n">
        <v>0</v>
      </c>
      <c r="AP141" t="inlineStr">
        <is>
          <t>No</t>
        </is>
      </c>
      <c r="AQ141" t="inlineStr">
        <is>
          <t>Yes</t>
        </is>
      </c>
      <c r="AR141">
        <f>HYPERLINK("http://catalog.hathitrust.org/Record/100033733","HathiTrust Record")</f>
        <v/>
      </c>
      <c r="AS141">
        <f>HYPERLINK("https://creighton-primo.hosted.exlibrisgroup.com/primo-explore/search?tab=default_tab&amp;search_scope=EVERYTHING&amp;vid=01CRU&amp;lang=en_US&amp;offset=0&amp;query=any,contains,991003004059702656","Catalog Record")</f>
        <v/>
      </c>
      <c r="AT141">
        <f>HYPERLINK("http://www.worldcat.org/oclc/571856","WorldCat Record")</f>
        <v/>
      </c>
      <c r="AU141" t="inlineStr">
        <is>
          <t>1681490:eng</t>
        </is>
      </c>
      <c r="AV141" t="inlineStr">
        <is>
          <t>571856</t>
        </is>
      </c>
      <c r="AW141" t="inlineStr">
        <is>
          <t>991003004059702656</t>
        </is>
      </c>
      <c r="AX141" t="inlineStr">
        <is>
          <t>991003004059702656</t>
        </is>
      </c>
      <c r="AY141" t="inlineStr">
        <is>
          <t>2272152660002656</t>
        </is>
      </c>
      <c r="AZ141" t="inlineStr">
        <is>
          <t>BOOK</t>
        </is>
      </c>
      <c r="BB141" t="inlineStr">
        <is>
          <t>9780080167848</t>
        </is>
      </c>
      <c r="BC141" t="inlineStr">
        <is>
          <t>32285002640745</t>
        </is>
      </c>
      <c r="BD141" t="inlineStr">
        <is>
          <t>893257976</t>
        </is>
      </c>
    </row>
    <row r="142">
      <c r="A142" t="inlineStr">
        <is>
          <t>No</t>
        </is>
      </c>
      <c r="B142" t="inlineStr">
        <is>
          <t>QB391 .K65 2000</t>
        </is>
      </c>
      <c r="C142" t="inlineStr">
        <is>
          <t>0                      QB 0391000K  65          2000</t>
        </is>
      </c>
      <c r="D142" t="inlineStr">
        <is>
          <t>Newton's forgotten lunar theory : his contribution to the quest for longitude / Nicholas Kollerstrom.</t>
        </is>
      </c>
      <c r="F142" t="inlineStr">
        <is>
          <t>No</t>
        </is>
      </c>
      <c r="G142" t="inlineStr">
        <is>
          <t>1</t>
        </is>
      </c>
      <c r="H142" t="inlineStr">
        <is>
          <t>No</t>
        </is>
      </c>
      <c r="I142" t="inlineStr">
        <is>
          <t>No</t>
        </is>
      </c>
      <c r="J142" t="inlineStr">
        <is>
          <t>0</t>
        </is>
      </c>
      <c r="K142" t="inlineStr">
        <is>
          <t>Kollerstrom, Nick.</t>
        </is>
      </c>
      <c r="L142" t="inlineStr">
        <is>
          <t>Santa Fe, N.M. : Green Lion Press, c2000.</t>
        </is>
      </c>
      <c r="M142" t="inlineStr">
        <is>
          <t>2000</t>
        </is>
      </c>
      <c r="O142" t="inlineStr">
        <is>
          <t>eng</t>
        </is>
      </c>
      <c r="P142" t="inlineStr">
        <is>
          <t>nmu</t>
        </is>
      </c>
      <c r="R142" t="inlineStr">
        <is>
          <t xml:space="preserve">QB </t>
        </is>
      </c>
      <c r="S142" t="n">
        <v>1</v>
      </c>
      <c r="T142" t="n">
        <v>1</v>
      </c>
      <c r="U142" t="inlineStr">
        <is>
          <t>2002-05-22</t>
        </is>
      </c>
      <c r="V142" t="inlineStr">
        <is>
          <t>2002-05-22</t>
        </is>
      </c>
      <c r="W142" t="inlineStr">
        <is>
          <t>2002-05-15</t>
        </is>
      </c>
      <c r="X142" t="inlineStr">
        <is>
          <t>2002-05-15</t>
        </is>
      </c>
      <c r="Y142" t="n">
        <v>98</v>
      </c>
      <c r="Z142" t="n">
        <v>87</v>
      </c>
      <c r="AA142" t="n">
        <v>88</v>
      </c>
      <c r="AB142" t="n">
        <v>2</v>
      </c>
      <c r="AC142" t="n">
        <v>2</v>
      </c>
      <c r="AD142" t="n">
        <v>5</v>
      </c>
      <c r="AE142" t="n">
        <v>5</v>
      </c>
      <c r="AF142" t="n">
        <v>1</v>
      </c>
      <c r="AG142" t="n">
        <v>1</v>
      </c>
      <c r="AH142" t="n">
        <v>1</v>
      </c>
      <c r="AI142" t="n">
        <v>1</v>
      </c>
      <c r="AJ142" t="n">
        <v>3</v>
      </c>
      <c r="AK142" t="n">
        <v>3</v>
      </c>
      <c r="AL142" t="n">
        <v>1</v>
      </c>
      <c r="AM142" t="n">
        <v>1</v>
      </c>
      <c r="AN142" t="n">
        <v>0</v>
      </c>
      <c r="AO142" t="n">
        <v>0</v>
      </c>
      <c r="AP142" t="inlineStr">
        <is>
          <t>No</t>
        </is>
      </c>
      <c r="AQ142" t="inlineStr">
        <is>
          <t>Yes</t>
        </is>
      </c>
      <c r="AR142">
        <f>HYPERLINK("http://catalog.hathitrust.org/Record/004138421","HathiTrust Record")</f>
        <v/>
      </c>
      <c r="AS142">
        <f>HYPERLINK("https://creighton-primo.hosted.exlibrisgroup.com/primo-explore/search?tab=default_tab&amp;search_scope=EVERYTHING&amp;vid=01CRU&amp;lang=en_US&amp;offset=0&amp;query=any,contains,991003771529702656","Catalog Record")</f>
        <v/>
      </c>
      <c r="AT142">
        <f>HYPERLINK("http://www.worldcat.org/oclc/44168913","WorldCat Record")</f>
        <v/>
      </c>
      <c r="AU142" t="inlineStr">
        <is>
          <t>145175361:eng</t>
        </is>
      </c>
      <c r="AV142" t="inlineStr">
        <is>
          <t>44168913</t>
        </is>
      </c>
      <c r="AW142" t="inlineStr">
        <is>
          <t>991003771529702656</t>
        </is>
      </c>
      <c r="AX142" t="inlineStr">
        <is>
          <t>991003771529702656</t>
        </is>
      </c>
      <c r="AY142" t="inlineStr">
        <is>
          <t>2260323700002656</t>
        </is>
      </c>
      <c r="AZ142" t="inlineStr">
        <is>
          <t>BOOK</t>
        </is>
      </c>
      <c r="BB142" t="inlineStr">
        <is>
          <t>9781888009088</t>
        </is>
      </c>
      <c r="BC142" t="inlineStr">
        <is>
          <t>32285004489018</t>
        </is>
      </c>
      <c r="BD142" t="inlineStr">
        <is>
          <t>893775171</t>
        </is>
      </c>
    </row>
    <row r="143">
      <c r="A143" t="inlineStr">
        <is>
          <t>No</t>
        </is>
      </c>
      <c r="B143" t="inlineStr">
        <is>
          <t>QB401 .A5</t>
        </is>
      </c>
      <c r="C143" t="inlineStr">
        <is>
          <t>0                      QB 0401000A  5</t>
        </is>
      </c>
      <c r="D143" t="inlineStr">
        <is>
          <t>Kinematics and dynamics of satellite orbits.</t>
        </is>
      </c>
      <c r="F143" t="inlineStr">
        <is>
          <t>No</t>
        </is>
      </c>
      <c r="G143" t="inlineStr">
        <is>
          <t>1</t>
        </is>
      </c>
      <c r="H143" t="inlineStr">
        <is>
          <t>No</t>
        </is>
      </c>
      <c r="I143" t="inlineStr">
        <is>
          <t>No</t>
        </is>
      </c>
      <c r="J143" t="inlineStr">
        <is>
          <t>0</t>
        </is>
      </c>
      <c r="K143" t="inlineStr">
        <is>
          <t>American Association of Physics Teachers.</t>
        </is>
      </c>
      <c r="L143" t="inlineStr">
        <is>
          <t>New York, American Institute of Physics, 1963.</t>
        </is>
      </c>
      <c r="M143" t="inlineStr">
        <is>
          <t>1963</t>
        </is>
      </c>
      <c r="O143" t="inlineStr">
        <is>
          <t>eng</t>
        </is>
      </c>
      <c r="P143" t="inlineStr">
        <is>
          <t xml:space="preserve">xx </t>
        </is>
      </c>
      <c r="R143" t="inlineStr">
        <is>
          <t xml:space="preserve">QB </t>
        </is>
      </c>
      <c r="S143" t="n">
        <v>3</v>
      </c>
      <c r="T143" t="n">
        <v>3</v>
      </c>
      <c r="U143" t="inlineStr">
        <is>
          <t>2001-11-14</t>
        </is>
      </c>
      <c r="V143" t="inlineStr">
        <is>
          <t>2001-11-14</t>
        </is>
      </c>
      <c r="W143" t="inlineStr">
        <is>
          <t>1997-05-02</t>
        </is>
      </c>
      <c r="X143" t="inlineStr">
        <is>
          <t>1997-05-02</t>
        </is>
      </c>
      <c r="Y143" t="n">
        <v>232</v>
      </c>
      <c r="Z143" t="n">
        <v>213</v>
      </c>
      <c r="AA143" t="n">
        <v>241</v>
      </c>
      <c r="AB143" t="n">
        <v>7</v>
      </c>
      <c r="AC143" t="n">
        <v>7</v>
      </c>
      <c r="AD143" t="n">
        <v>17</v>
      </c>
      <c r="AE143" t="n">
        <v>17</v>
      </c>
      <c r="AF143" t="n">
        <v>3</v>
      </c>
      <c r="AG143" t="n">
        <v>3</v>
      </c>
      <c r="AH143" t="n">
        <v>3</v>
      </c>
      <c r="AI143" t="n">
        <v>3</v>
      </c>
      <c r="AJ143" t="n">
        <v>8</v>
      </c>
      <c r="AK143" t="n">
        <v>8</v>
      </c>
      <c r="AL143" t="n">
        <v>6</v>
      </c>
      <c r="AM143" t="n">
        <v>6</v>
      </c>
      <c r="AN143" t="n">
        <v>0</v>
      </c>
      <c r="AO143" t="n">
        <v>0</v>
      </c>
      <c r="AP143" t="inlineStr">
        <is>
          <t>No</t>
        </is>
      </c>
      <c r="AQ143" t="inlineStr">
        <is>
          <t>No</t>
        </is>
      </c>
      <c r="AR143">
        <f>HYPERLINK("http://catalog.hathitrust.org/Record/001520608","HathiTrust Record")</f>
        <v/>
      </c>
      <c r="AS143">
        <f>HYPERLINK("https://creighton-primo.hosted.exlibrisgroup.com/primo-explore/search?tab=default_tab&amp;search_scope=EVERYTHING&amp;vid=01CRU&amp;lang=en_US&amp;offset=0&amp;query=any,contains,991002929339702656","Catalog Record")</f>
        <v/>
      </c>
      <c r="AT143">
        <f>HYPERLINK("http://www.worldcat.org/oclc/530390","WorldCat Record")</f>
        <v/>
      </c>
      <c r="AU143" t="inlineStr">
        <is>
          <t>132412570:eng</t>
        </is>
      </c>
      <c r="AV143" t="inlineStr">
        <is>
          <t>530390</t>
        </is>
      </c>
      <c r="AW143" t="inlineStr">
        <is>
          <t>991002929339702656</t>
        </is>
      </c>
      <c r="AX143" t="inlineStr">
        <is>
          <t>991002929339702656</t>
        </is>
      </c>
      <c r="AY143" t="inlineStr">
        <is>
          <t>2266625090002656</t>
        </is>
      </c>
      <c r="AZ143" t="inlineStr">
        <is>
          <t>BOOK</t>
        </is>
      </c>
      <c r="BC143" t="inlineStr">
        <is>
          <t>32285002640778</t>
        </is>
      </c>
      <c r="BD143" t="inlineStr">
        <is>
          <t>893227457</t>
        </is>
      </c>
    </row>
    <row r="144">
      <c r="A144" t="inlineStr">
        <is>
          <t>No</t>
        </is>
      </c>
      <c r="B144" t="inlineStr">
        <is>
          <t>QB401 .P55</t>
        </is>
      </c>
      <c r="C144" t="inlineStr">
        <is>
          <t>0                      QB 0401000P  55</t>
        </is>
      </c>
      <c r="D144" t="inlineStr">
        <is>
          <t>Planetary satellites / Joseph A. Burns, editor ; with 33 collaborating authors.</t>
        </is>
      </c>
      <c r="F144" t="inlineStr">
        <is>
          <t>No</t>
        </is>
      </c>
      <c r="G144" t="inlineStr">
        <is>
          <t>1</t>
        </is>
      </c>
      <c r="H144" t="inlineStr">
        <is>
          <t>No</t>
        </is>
      </c>
      <c r="I144" t="inlineStr">
        <is>
          <t>No</t>
        </is>
      </c>
      <c r="J144" t="inlineStr">
        <is>
          <t>0</t>
        </is>
      </c>
      <c r="L144" t="inlineStr">
        <is>
          <t>Tucson : University of Arizona Press, c1977.</t>
        </is>
      </c>
      <c r="M144" t="inlineStr">
        <is>
          <t>1977</t>
        </is>
      </c>
      <c r="O144" t="inlineStr">
        <is>
          <t>eng</t>
        </is>
      </c>
      <c r="P144" t="inlineStr">
        <is>
          <t>azu</t>
        </is>
      </c>
      <c r="R144" t="inlineStr">
        <is>
          <t xml:space="preserve">QB </t>
        </is>
      </c>
      <c r="S144" t="n">
        <v>2</v>
      </c>
      <c r="T144" t="n">
        <v>2</v>
      </c>
      <c r="U144" t="inlineStr">
        <is>
          <t>1995-11-10</t>
        </is>
      </c>
      <c r="V144" t="inlineStr">
        <is>
          <t>1995-11-10</t>
        </is>
      </c>
      <c r="W144" t="inlineStr">
        <is>
          <t>1992-11-19</t>
        </is>
      </c>
      <c r="X144" t="inlineStr">
        <is>
          <t>1992-11-19</t>
        </is>
      </c>
      <c r="Y144" t="n">
        <v>312</v>
      </c>
      <c r="Z144" t="n">
        <v>246</v>
      </c>
      <c r="AA144" t="n">
        <v>247</v>
      </c>
      <c r="AB144" t="n">
        <v>1</v>
      </c>
      <c r="AC144" t="n">
        <v>1</v>
      </c>
      <c r="AD144" t="n">
        <v>4</v>
      </c>
      <c r="AE144" t="n">
        <v>4</v>
      </c>
      <c r="AF144" t="n">
        <v>2</v>
      </c>
      <c r="AG144" t="n">
        <v>2</v>
      </c>
      <c r="AH144" t="n">
        <v>3</v>
      </c>
      <c r="AI144" t="n">
        <v>3</v>
      </c>
      <c r="AJ144" t="n">
        <v>0</v>
      </c>
      <c r="AK144" t="n">
        <v>0</v>
      </c>
      <c r="AL144" t="n">
        <v>0</v>
      </c>
      <c r="AM144" t="n">
        <v>0</v>
      </c>
      <c r="AN144" t="n">
        <v>0</v>
      </c>
      <c r="AO144" t="n">
        <v>0</v>
      </c>
      <c r="AP144" t="inlineStr">
        <is>
          <t>No</t>
        </is>
      </c>
      <c r="AQ144" t="inlineStr">
        <is>
          <t>Yes</t>
        </is>
      </c>
      <c r="AR144">
        <f>HYPERLINK("http://catalog.hathitrust.org/Record/000748611","HathiTrust Record")</f>
        <v/>
      </c>
      <c r="AS144">
        <f>HYPERLINK("https://creighton-primo.hosted.exlibrisgroup.com/primo-explore/search?tab=default_tab&amp;search_scope=EVERYTHING&amp;vid=01CRU&amp;lang=en_US&amp;offset=0&amp;query=any,contains,991004403999702656","Catalog Record")</f>
        <v/>
      </c>
      <c r="AT144">
        <f>HYPERLINK("http://www.worldcat.org/oclc/3312910","WorldCat Record")</f>
        <v/>
      </c>
      <c r="AU144" t="inlineStr">
        <is>
          <t>766857855:eng</t>
        </is>
      </c>
      <c r="AV144" t="inlineStr">
        <is>
          <t>3312910</t>
        </is>
      </c>
      <c r="AW144" t="inlineStr">
        <is>
          <t>991004403999702656</t>
        </is>
      </c>
      <c r="AX144" t="inlineStr">
        <is>
          <t>991004403999702656</t>
        </is>
      </c>
      <c r="AY144" t="inlineStr">
        <is>
          <t>2272684650002656</t>
        </is>
      </c>
      <c r="AZ144" t="inlineStr">
        <is>
          <t>BOOK</t>
        </is>
      </c>
      <c r="BB144" t="inlineStr">
        <is>
          <t>9780816505524</t>
        </is>
      </c>
      <c r="BC144" t="inlineStr">
        <is>
          <t>32285001432755</t>
        </is>
      </c>
      <c r="BD144" t="inlineStr">
        <is>
          <t>893782201</t>
        </is>
      </c>
    </row>
    <row r="145">
      <c r="A145" t="inlineStr">
        <is>
          <t>No</t>
        </is>
      </c>
      <c r="B145" t="inlineStr">
        <is>
          <t>QB405 .M38 1983</t>
        </is>
      </c>
      <c r="C145" t="inlineStr">
        <is>
          <t>0                      QB 0405000M  38          1983</t>
        </is>
      </c>
      <c r="D145" t="inlineStr">
        <is>
          <t>Maxwell on Saturn's rings / edited by Stephen G. Brush, C.W.F. Everitt, and Elizabeth Garber.</t>
        </is>
      </c>
      <c r="F145" t="inlineStr">
        <is>
          <t>No</t>
        </is>
      </c>
      <c r="G145" t="inlineStr">
        <is>
          <t>1</t>
        </is>
      </c>
      <c r="H145" t="inlineStr">
        <is>
          <t>No</t>
        </is>
      </c>
      <c r="I145" t="inlineStr">
        <is>
          <t>No</t>
        </is>
      </c>
      <c r="J145" t="inlineStr">
        <is>
          <t>0</t>
        </is>
      </c>
      <c r="K145" t="inlineStr">
        <is>
          <t>Maxwell, James Clerk, 1831-1879.</t>
        </is>
      </c>
      <c r="L145" t="inlineStr">
        <is>
          <t>Cambridge, Mass. : MIT Press, c1983.</t>
        </is>
      </c>
      <c r="M145" t="inlineStr">
        <is>
          <t>1983</t>
        </is>
      </c>
      <c r="O145" t="inlineStr">
        <is>
          <t>eng</t>
        </is>
      </c>
      <c r="P145" t="inlineStr">
        <is>
          <t>mau</t>
        </is>
      </c>
      <c r="R145" t="inlineStr">
        <is>
          <t xml:space="preserve">QB </t>
        </is>
      </c>
      <c r="S145" t="n">
        <v>4</v>
      </c>
      <c r="T145" t="n">
        <v>4</v>
      </c>
      <c r="U145" t="inlineStr">
        <is>
          <t>1994-07-18</t>
        </is>
      </c>
      <c r="V145" t="inlineStr">
        <is>
          <t>1994-07-18</t>
        </is>
      </c>
      <c r="W145" t="inlineStr">
        <is>
          <t>1992-11-19</t>
        </is>
      </c>
      <c r="X145" t="inlineStr">
        <is>
          <t>1992-11-19</t>
        </is>
      </c>
      <c r="Y145" t="n">
        <v>389</v>
      </c>
      <c r="Z145" t="n">
        <v>318</v>
      </c>
      <c r="AA145" t="n">
        <v>324</v>
      </c>
      <c r="AB145" t="n">
        <v>3</v>
      </c>
      <c r="AC145" t="n">
        <v>3</v>
      </c>
      <c r="AD145" t="n">
        <v>17</v>
      </c>
      <c r="AE145" t="n">
        <v>17</v>
      </c>
      <c r="AF145" t="n">
        <v>5</v>
      </c>
      <c r="AG145" t="n">
        <v>5</v>
      </c>
      <c r="AH145" t="n">
        <v>4</v>
      </c>
      <c r="AI145" t="n">
        <v>4</v>
      </c>
      <c r="AJ145" t="n">
        <v>10</v>
      </c>
      <c r="AK145" t="n">
        <v>10</v>
      </c>
      <c r="AL145" t="n">
        <v>2</v>
      </c>
      <c r="AM145" t="n">
        <v>2</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HYPERLINK("https://creighton-primo.hosted.exlibrisgroup.com/primo-explore/search?tab=default_tab&amp;search_scope=EVERYTHING&amp;vid=01CRU&amp;lang=en_US&amp;offset=0&amp;query=any,contains,991000129879702656","Catalog Record")</f>
        <v/>
      </c>
      <c r="AT145">
        <f>HYPERLINK("http://www.worldcat.org/oclc/9110674","WorldCat Record")</f>
        <v/>
      </c>
      <c r="AU145" t="inlineStr">
        <is>
          <t>24133991:eng</t>
        </is>
      </c>
      <c r="AV145" t="inlineStr">
        <is>
          <t>9110674</t>
        </is>
      </c>
      <c r="AW145" t="inlineStr">
        <is>
          <t>991000129879702656</t>
        </is>
      </c>
      <c r="AX145" t="inlineStr">
        <is>
          <t>991000129879702656</t>
        </is>
      </c>
      <c r="AY145" t="inlineStr">
        <is>
          <t>2268576780002656</t>
        </is>
      </c>
      <c r="AZ145" t="inlineStr">
        <is>
          <t>BOOK</t>
        </is>
      </c>
      <c r="BB145" t="inlineStr">
        <is>
          <t>9780262131902</t>
        </is>
      </c>
      <c r="BC145" t="inlineStr">
        <is>
          <t>32285001432771</t>
        </is>
      </c>
      <c r="BD145" t="inlineStr">
        <is>
          <t>893683183</t>
        </is>
      </c>
    </row>
    <row r="146">
      <c r="A146" t="inlineStr">
        <is>
          <t>No</t>
        </is>
      </c>
      <c r="B146" t="inlineStr">
        <is>
          <t>QB41 .C84</t>
        </is>
      </c>
      <c r="C146" t="inlineStr">
        <is>
          <t>0                      QB 0041000C  84</t>
        </is>
      </c>
      <c r="D146" t="inlineStr">
        <is>
          <t>Three Copernican treatises : the Commentariolus of Copernicus, the Letter against Werner, the Narratio prima of Rheticus / translated with introd. and notes by Edward Rosen.</t>
        </is>
      </c>
      <c r="F146" t="inlineStr">
        <is>
          <t>No</t>
        </is>
      </c>
      <c r="G146" t="inlineStr">
        <is>
          <t>1</t>
        </is>
      </c>
      <c r="H146" t="inlineStr">
        <is>
          <t>No</t>
        </is>
      </c>
      <c r="I146" t="inlineStr">
        <is>
          <t>No</t>
        </is>
      </c>
      <c r="J146" t="inlineStr">
        <is>
          <t>0</t>
        </is>
      </c>
      <c r="K146" t="inlineStr">
        <is>
          <t>Copernicus, Nicolaus, 1473-1543.</t>
        </is>
      </c>
      <c r="L146" t="inlineStr">
        <is>
          <t>New York : Dover Publications, [1959]</t>
        </is>
      </c>
      <c r="M146" t="inlineStr">
        <is>
          <t>1959</t>
        </is>
      </c>
      <c r="N146" t="inlineStr">
        <is>
          <t>2d ed., rev. / with an annotated Copernicus bibliography, 1939-1958.</t>
        </is>
      </c>
      <c r="O146" t="inlineStr">
        <is>
          <t>eng</t>
        </is>
      </c>
      <c r="P146" t="inlineStr">
        <is>
          <t>nyu</t>
        </is>
      </c>
      <c r="R146" t="inlineStr">
        <is>
          <t xml:space="preserve">QB </t>
        </is>
      </c>
      <c r="S146" t="n">
        <v>9</v>
      </c>
      <c r="T146" t="n">
        <v>9</v>
      </c>
      <c r="U146" t="inlineStr">
        <is>
          <t>2007-10-30</t>
        </is>
      </c>
      <c r="V146" t="inlineStr">
        <is>
          <t>2007-10-30</t>
        </is>
      </c>
      <c r="W146" t="inlineStr">
        <is>
          <t>1993-09-23</t>
        </is>
      </c>
      <c r="X146" t="inlineStr">
        <is>
          <t>1993-09-23</t>
        </is>
      </c>
      <c r="Y146" t="n">
        <v>842</v>
      </c>
      <c r="Z146" t="n">
        <v>751</v>
      </c>
      <c r="AA146" t="n">
        <v>865</v>
      </c>
      <c r="AB146" t="n">
        <v>5</v>
      </c>
      <c r="AC146" t="n">
        <v>6</v>
      </c>
      <c r="AD146" t="n">
        <v>29</v>
      </c>
      <c r="AE146" t="n">
        <v>41</v>
      </c>
      <c r="AF146" t="n">
        <v>12</v>
      </c>
      <c r="AG146" t="n">
        <v>16</v>
      </c>
      <c r="AH146" t="n">
        <v>5</v>
      </c>
      <c r="AI146" t="n">
        <v>7</v>
      </c>
      <c r="AJ146" t="n">
        <v>15</v>
      </c>
      <c r="AK146" t="n">
        <v>22</v>
      </c>
      <c r="AL146" t="n">
        <v>4</v>
      </c>
      <c r="AM146" t="n">
        <v>5</v>
      </c>
      <c r="AN146" t="n">
        <v>0</v>
      </c>
      <c r="AO146" t="n">
        <v>1</v>
      </c>
      <c r="AP146" t="inlineStr">
        <is>
          <t>No</t>
        </is>
      </c>
      <c r="AQ146" t="inlineStr">
        <is>
          <t>Yes</t>
        </is>
      </c>
      <c r="AR146">
        <f>HYPERLINK("http://catalog.hathitrust.org/Record/001475714","HathiTrust Record")</f>
        <v/>
      </c>
      <c r="AS146">
        <f>HYPERLINK("https://creighton-primo.hosted.exlibrisgroup.com/primo-explore/search?tab=default_tab&amp;search_scope=EVERYTHING&amp;vid=01CRU&amp;lang=en_US&amp;offset=0&amp;query=any,contains,991003355779702656","Catalog Record")</f>
        <v/>
      </c>
      <c r="AT146">
        <f>HYPERLINK("http://www.worldcat.org/oclc/889260","WorldCat Record")</f>
        <v/>
      </c>
      <c r="AU146" t="inlineStr">
        <is>
          <t>5219008968:eng</t>
        </is>
      </c>
      <c r="AV146" t="inlineStr">
        <is>
          <t>889260</t>
        </is>
      </c>
      <c r="AW146" t="inlineStr">
        <is>
          <t>991003355779702656</t>
        </is>
      </c>
      <c r="AX146" t="inlineStr">
        <is>
          <t>991003355779702656</t>
        </is>
      </c>
      <c r="AY146" t="inlineStr">
        <is>
          <t>2255439940002656</t>
        </is>
      </c>
      <c r="AZ146" t="inlineStr">
        <is>
          <t>BOOK</t>
        </is>
      </c>
      <c r="BC146" t="inlineStr">
        <is>
          <t>32285001770725</t>
        </is>
      </c>
      <c r="BD146" t="inlineStr">
        <is>
          <t>893246283</t>
        </is>
      </c>
    </row>
    <row r="147">
      <c r="A147" t="inlineStr">
        <is>
          <t>No</t>
        </is>
      </c>
      <c r="B147" t="inlineStr">
        <is>
          <t>QB41 .K3363</t>
        </is>
      </c>
      <c r="C147" t="inlineStr">
        <is>
          <t>0                      QB 0041000K  3363</t>
        </is>
      </c>
      <c r="D147" t="inlineStr">
        <is>
          <t>Kepler's Conversation with Galileo's Sidereal messenger / 1st complete translation, with an introd. and notes, by Edward Rosen.</t>
        </is>
      </c>
      <c r="F147" t="inlineStr">
        <is>
          <t>No</t>
        </is>
      </c>
      <c r="G147" t="inlineStr">
        <is>
          <t>1</t>
        </is>
      </c>
      <c r="H147" t="inlineStr">
        <is>
          <t>No</t>
        </is>
      </c>
      <c r="I147" t="inlineStr">
        <is>
          <t>No</t>
        </is>
      </c>
      <c r="J147" t="inlineStr">
        <is>
          <t>0</t>
        </is>
      </c>
      <c r="K147" t="inlineStr">
        <is>
          <t>Kepler, Johannes, 1571-1630.</t>
        </is>
      </c>
      <c r="L147" t="inlineStr">
        <is>
          <t>New York : Johnson Reprint Corp., 1965.</t>
        </is>
      </c>
      <c r="M147" t="inlineStr">
        <is>
          <t>1965</t>
        </is>
      </c>
      <c r="O147" t="inlineStr">
        <is>
          <t>eng</t>
        </is>
      </c>
      <c r="P147" t="inlineStr">
        <is>
          <t>nyu</t>
        </is>
      </c>
      <c r="Q147" t="inlineStr">
        <is>
          <t>The Sources of science ; no. 5</t>
        </is>
      </c>
      <c r="R147" t="inlineStr">
        <is>
          <t xml:space="preserve">QB </t>
        </is>
      </c>
      <c r="S147" t="n">
        <v>4</v>
      </c>
      <c r="T147" t="n">
        <v>4</v>
      </c>
      <c r="U147" t="inlineStr">
        <is>
          <t>2005-04-04</t>
        </is>
      </c>
      <c r="V147" t="inlineStr">
        <is>
          <t>2005-04-04</t>
        </is>
      </c>
      <c r="W147" t="inlineStr">
        <is>
          <t>1993-10-29</t>
        </is>
      </c>
      <c r="X147" t="inlineStr">
        <is>
          <t>1993-10-29</t>
        </is>
      </c>
      <c r="Y147" t="n">
        <v>435</v>
      </c>
      <c r="Z147" t="n">
        <v>335</v>
      </c>
      <c r="AA147" t="n">
        <v>336</v>
      </c>
      <c r="AB147" t="n">
        <v>3</v>
      </c>
      <c r="AC147" t="n">
        <v>3</v>
      </c>
      <c r="AD147" t="n">
        <v>14</v>
      </c>
      <c r="AE147" t="n">
        <v>14</v>
      </c>
      <c r="AF147" t="n">
        <v>2</v>
      </c>
      <c r="AG147" t="n">
        <v>2</v>
      </c>
      <c r="AH147" t="n">
        <v>3</v>
      </c>
      <c r="AI147" t="n">
        <v>3</v>
      </c>
      <c r="AJ147" t="n">
        <v>8</v>
      </c>
      <c r="AK147" t="n">
        <v>8</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HYPERLINK("https://creighton-primo.hosted.exlibrisgroup.com/primo-explore/search?tab=default_tab&amp;search_scope=EVERYTHING&amp;vid=01CRU&amp;lang=en_US&amp;offset=0&amp;query=any,contains,991003203549702656","Catalog Record")</f>
        <v/>
      </c>
      <c r="AT147">
        <f>HYPERLINK("http://www.worldcat.org/oclc/728474","WorldCat Record")</f>
        <v/>
      </c>
      <c r="AU147" t="inlineStr">
        <is>
          <t>1746302:eng</t>
        </is>
      </c>
      <c r="AV147" t="inlineStr">
        <is>
          <t>728474</t>
        </is>
      </c>
      <c r="AW147" t="inlineStr">
        <is>
          <t>991003203549702656</t>
        </is>
      </c>
      <c r="AX147" t="inlineStr">
        <is>
          <t>991003203549702656</t>
        </is>
      </c>
      <c r="AY147" t="inlineStr">
        <is>
          <t>2263064540002656</t>
        </is>
      </c>
      <c r="AZ147" t="inlineStr">
        <is>
          <t>BOOK</t>
        </is>
      </c>
      <c r="BC147" t="inlineStr">
        <is>
          <t>32285001795680</t>
        </is>
      </c>
      <c r="BD147" t="inlineStr">
        <is>
          <t>893434739</t>
        </is>
      </c>
    </row>
    <row r="148">
      <c r="A148" t="inlineStr">
        <is>
          <t>No</t>
        </is>
      </c>
      <c r="B148" t="inlineStr">
        <is>
          <t>QB41 .K4613 1981</t>
        </is>
      </c>
      <c r="C148" t="inlineStr">
        <is>
          <t>0                      QB 0041000K  4613        1981</t>
        </is>
      </c>
      <c r="D148" t="inlineStr">
        <is>
          <t>Mysterium cosmographicum = the secret of the universe / Johannes Kepler ; translation by A.M. Duncan ; introd. and commentary by E.J. Aiton ; with a pref. by I. Bernard Cohen.</t>
        </is>
      </c>
      <c r="F148" t="inlineStr">
        <is>
          <t>No</t>
        </is>
      </c>
      <c r="G148" t="inlineStr">
        <is>
          <t>1</t>
        </is>
      </c>
      <c r="H148" t="inlineStr">
        <is>
          <t>No</t>
        </is>
      </c>
      <c r="I148" t="inlineStr">
        <is>
          <t>No</t>
        </is>
      </c>
      <c r="J148" t="inlineStr">
        <is>
          <t>0</t>
        </is>
      </c>
      <c r="K148" t="inlineStr">
        <is>
          <t>Kepler, Johannes, 1571-1630.</t>
        </is>
      </c>
      <c r="L148" t="inlineStr">
        <is>
          <t>New York : Abaris, 1981.</t>
        </is>
      </c>
      <c r="M148" t="inlineStr">
        <is>
          <t>1981</t>
        </is>
      </c>
      <c r="O148" t="inlineStr">
        <is>
          <t>eng</t>
        </is>
      </c>
      <c r="P148" t="inlineStr">
        <is>
          <t>nyu</t>
        </is>
      </c>
      <c r="Q148" t="inlineStr">
        <is>
          <t>The Janus library ; v. 9</t>
        </is>
      </c>
      <c r="R148" t="inlineStr">
        <is>
          <t xml:space="preserve">QB </t>
        </is>
      </c>
      <c r="S148" t="n">
        <v>15</v>
      </c>
      <c r="T148" t="n">
        <v>15</v>
      </c>
      <c r="U148" t="inlineStr">
        <is>
          <t>2005-11-16</t>
        </is>
      </c>
      <c r="V148" t="inlineStr">
        <is>
          <t>2005-11-16</t>
        </is>
      </c>
      <c r="W148" t="inlineStr">
        <is>
          <t>1992-11-16</t>
        </is>
      </c>
      <c r="X148" t="inlineStr">
        <is>
          <t>1992-11-16</t>
        </is>
      </c>
      <c r="Y148" t="n">
        <v>170</v>
      </c>
      <c r="Z148" t="n">
        <v>151</v>
      </c>
      <c r="AA148" t="n">
        <v>291</v>
      </c>
      <c r="AB148" t="n">
        <v>2</v>
      </c>
      <c r="AC148" t="n">
        <v>2</v>
      </c>
      <c r="AD148" t="n">
        <v>7</v>
      </c>
      <c r="AE148" t="n">
        <v>11</v>
      </c>
      <c r="AF148" t="n">
        <v>1</v>
      </c>
      <c r="AG148" t="n">
        <v>3</v>
      </c>
      <c r="AH148" t="n">
        <v>1</v>
      </c>
      <c r="AI148" t="n">
        <v>2</v>
      </c>
      <c r="AJ148" t="n">
        <v>5</v>
      </c>
      <c r="AK148" t="n">
        <v>7</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HYPERLINK("https://creighton-primo.hosted.exlibrisgroup.com/primo-explore/search?tab=default_tab&amp;search_scope=EVERYTHING&amp;vid=01CRU&amp;lang=en_US&amp;offset=0&amp;query=any,contains,991005164819702656","Catalog Record")</f>
        <v/>
      </c>
      <c r="AT148">
        <f>HYPERLINK("http://www.worldcat.org/oclc/7818434","WorldCat Record")</f>
        <v/>
      </c>
      <c r="AU148" t="inlineStr">
        <is>
          <t>5091264069:eng</t>
        </is>
      </c>
      <c r="AV148" t="inlineStr">
        <is>
          <t>7818434</t>
        </is>
      </c>
      <c r="AW148" t="inlineStr">
        <is>
          <t>991005164819702656</t>
        </is>
      </c>
      <c r="AX148" t="inlineStr">
        <is>
          <t>991005164819702656</t>
        </is>
      </c>
      <c r="AY148" t="inlineStr">
        <is>
          <t>2258082410002656</t>
        </is>
      </c>
      <c r="AZ148" t="inlineStr">
        <is>
          <t>BOOK</t>
        </is>
      </c>
      <c r="BB148" t="inlineStr">
        <is>
          <t>9780913870648</t>
        </is>
      </c>
      <c r="BC148" t="inlineStr">
        <is>
          <t>32285001431203</t>
        </is>
      </c>
      <c r="BD148" t="inlineStr">
        <is>
          <t>893613236</t>
        </is>
      </c>
    </row>
    <row r="149">
      <c r="A149" t="inlineStr">
        <is>
          <t>No</t>
        </is>
      </c>
      <c r="B149" t="inlineStr">
        <is>
          <t>QB41.A73 S75213 2003</t>
        </is>
      </c>
      <c r="C149" t="inlineStr">
        <is>
          <t>0                      QB 0041000A  73                 S  75213       2003</t>
        </is>
      </c>
      <c r="D149" t="inlineStr">
        <is>
          <t>Simplicius On Aristotle's "On the Heavens 1.5-9" ; translated by R.J. Hankinson.</t>
        </is>
      </c>
      <c r="F149" t="inlineStr">
        <is>
          <t>No</t>
        </is>
      </c>
      <c r="G149" t="inlineStr">
        <is>
          <t>1</t>
        </is>
      </c>
      <c r="H149" t="inlineStr">
        <is>
          <t>No</t>
        </is>
      </c>
      <c r="I149" t="inlineStr">
        <is>
          <t>No</t>
        </is>
      </c>
      <c r="J149" t="inlineStr">
        <is>
          <t>0</t>
        </is>
      </c>
      <c r="K149" t="inlineStr">
        <is>
          <t>Simplicius, of Cilicia</t>
        </is>
      </c>
      <c r="L149" t="inlineStr">
        <is>
          <t>Ithaca, N.Y. : Cornell University Press, 2004.</t>
        </is>
      </c>
      <c r="M149" t="inlineStr">
        <is>
          <t>2004</t>
        </is>
      </c>
      <c r="O149" t="inlineStr">
        <is>
          <t>eng</t>
        </is>
      </c>
      <c r="P149" t="inlineStr">
        <is>
          <t>nyu</t>
        </is>
      </c>
      <c r="Q149" t="inlineStr">
        <is>
          <t>Ancient commentators on Aristotle</t>
        </is>
      </c>
      <c r="R149" t="inlineStr">
        <is>
          <t xml:space="preserve">QB </t>
        </is>
      </c>
      <c r="S149" t="n">
        <v>2</v>
      </c>
      <c r="T149" t="n">
        <v>2</v>
      </c>
      <c r="U149" t="inlineStr">
        <is>
          <t>2004-11-08</t>
        </is>
      </c>
      <c r="V149" t="inlineStr">
        <is>
          <t>2004-11-08</t>
        </is>
      </c>
      <c r="W149" t="inlineStr">
        <is>
          <t>2004-11-08</t>
        </is>
      </c>
      <c r="X149" t="inlineStr">
        <is>
          <t>2004-11-08</t>
        </is>
      </c>
      <c r="Y149" t="n">
        <v>146</v>
      </c>
      <c r="Z149" t="n">
        <v>123</v>
      </c>
      <c r="AA149" t="n">
        <v>228</v>
      </c>
      <c r="AB149" t="n">
        <v>2</v>
      </c>
      <c r="AC149" t="n">
        <v>3</v>
      </c>
      <c r="AD149" t="n">
        <v>7</v>
      </c>
      <c r="AE149" t="n">
        <v>11</v>
      </c>
      <c r="AF149" t="n">
        <v>0</v>
      </c>
      <c r="AG149" t="n">
        <v>3</v>
      </c>
      <c r="AH149" t="n">
        <v>2</v>
      </c>
      <c r="AI149" t="n">
        <v>2</v>
      </c>
      <c r="AJ149" t="n">
        <v>5</v>
      </c>
      <c r="AK149" t="n">
        <v>6</v>
      </c>
      <c r="AL149" t="n">
        <v>1</v>
      </c>
      <c r="AM149" t="n">
        <v>2</v>
      </c>
      <c r="AN149" t="n">
        <v>0</v>
      </c>
      <c r="AO149" t="n">
        <v>0</v>
      </c>
      <c r="AP149" t="inlineStr">
        <is>
          <t>No</t>
        </is>
      </c>
      <c r="AQ149" t="inlineStr">
        <is>
          <t>Yes</t>
        </is>
      </c>
      <c r="AR149">
        <f>HYPERLINK("http://catalog.hathitrust.org/Record/004376883","HathiTrust Record")</f>
        <v/>
      </c>
      <c r="AS149">
        <f>HYPERLINK("https://creighton-primo.hosted.exlibrisgroup.com/primo-explore/search?tab=default_tab&amp;search_scope=EVERYTHING&amp;vid=01CRU&amp;lang=en_US&amp;offset=0&amp;query=any,contains,991004398139702656","Catalog Record")</f>
        <v/>
      </c>
      <c r="AT149">
        <f>HYPERLINK("http://www.worldcat.org/oclc/51931107","WorldCat Record")</f>
        <v/>
      </c>
      <c r="AU149" t="inlineStr">
        <is>
          <t>5615368998:eng</t>
        </is>
      </c>
      <c r="AV149" t="inlineStr">
        <is>
          <t>51931107</t>
        </is>
      </c>
      <c r="AW149" t="inlineStr">
        <is>
          <t>991004398139702656</t>
        </is>
      </c>
      <c r="AX149" t="inlineStr">
        <is>
          <t>991004398139702656</t>
        </is>
      </c>
      <c r="AY149" t="inlineStr">
        <is>
          <t>2263264250002656</t>
        </is>
      </c>
      <c r="AZ149" t="inlineStr">
        <is>
          <t>BOOK</t>
        </is>
      </c>
      <c r="BB149" t="inlineStr">
        <is>
          <t>9780801442124</t>
        </is>
      </c>
      <c r="BC149" t="inlineStr">
        <is>
          <t>32285005009534</t>
        </is>
      </c>
      <c r="BD149" t="inlineStr">
        <is>
          <t>893349961</t>
        </is>
      </c>
    </row>
    <row r="150">
      <c r="A150" t="inlineStr">
        <is>
          <t>No</t>
        </is>
      </c>
      <c r="B150" t="inlineStr">
        <is>
          <t>QB41.C815 K8</t>
        </is>
      </c>
      <c r="C150" t="inlineStr">
        <is>
          <t>0                      QB 0041000C  815                K  8</t>
        </is>
      </c>
      <c r="D150" t="inlineStr">
        <is>
          <t>The Copernican revolution : planetary astronomy in the development of Western thought.</t>
        </is>
      </c>
      <c r="F150" t="inlineStr">
        <is>
          <t>No</t>
        </is>
      </c>
      <c r="G150" t="inlineStr">
        <is>
          <t>1</t>
        </is>
      </c>
      <c r="H150" t="inlineStr">
        <is>
          <t>No</t>
        </is>
      </c>
      <c r="I150" t="inlineStr">
        <is>
          <t>Yes</t>
        </is>
      </c>
      <c r="J150" t="inlineStr">
        <is>
          <t>0</t>
        </is>
      </c>
      <c r="K150" t="inlineStr">
        <is>
          <t>Kuhn, Thomas S.</t>
        </is>
      </c>
      <c r="L150" t="inlineStr">
        <is>
          <t>Cambridge : Harvard University Press, 1957.</t>
        </is>
      </c>
      <c r="M150" t="inlineStr">
        <is>
          <t>1957</t>
        </is>
      </c>
      <c r="O150" t="inlineStr">
        <is>
          <t>eng</t>
        </is>
      </c>
      <c r="P150" t="inlineStr">
        <is>
          <t>mau</t>
        </is>
      </c>
      <c r="R150" t="inlineStr">
        <is>
          <t xml:space="preserve">QB </t>
        </is>
      </c>
      <c r="S150" t="n">
        <v>14</v>
      </c>
      <c r="T150" t="n">
        <v>14</v>
      </c>
      <c r="U150" t="inlineStr">
        <is>
          <t>2005-10-09</t>
        </is>
      </c>
      <c r="V150" t="inlineStr">
        <is>
          <t>2005-10-09</t>
        </is>
      </c>
      <c r="W150" t="inlineStr">
        <is>
          <t>1994-01-06</t>
        </is>
      </c>
      <c r="X150" t="inlineStr">
        <is>
          <t>1994-01-06</t>
        </is>
      </c>
      <c r="Y150" t="n">
        <v>1364</v>
      </c>
      <c r="Z150" t="n">
        <v>1140</v>
      </c>
      <c r="AA150" t="n">
        <v>1449</v>
      </c>
      <c r="AB150" t="n">
        <v>6</v>
      </c>
      <c r="AC150" t="n">
        <v>10</v>
      </c>
      <c r="AD150" t="n">
        <v>45</v>
      </c>
      <c r="AE150" t="n">
        <v>54</v>
      </c>
      <c r="AF150" t="n">
        <v>19</v>
      </c>
      <c r="AG150" t="n">
        <v>24</v>
      </c>
      <c r="AH150" t="n">
        <v>10</v>
      </c>
      <c r="AI150" t="n">
        <v>11</v>
      </c>
      <c r="AJ150" t="n">
        <v>24</v>
      </c>
      <c r="AK150" t="n">
        <v>26</v>
      </c>
      <c r="AL150" t="n">
        <v>4</v>
      </c>
      <c r="AM150" t="n">
        <v>7</v>
      </c>
      <c r="AN150" t="n">
        <v>0</v>
      </c>
      <c r="AO150" t="n">
        <v>0</v>
      </c>
      <c r="AP150" t="inlineStr">
        <is>
          <t>No</t>
        </is>
      </c>
      <c r="AQ150" t="inlineStr">
        <is>
          <t>Yes</t>
        </is>
      </c>
      <c r="AR150">
        <f>HYPERLINK("http://catalog.hathitrust.org/Record/001475717","HathiTrust Record")</f>
        <v/>
      </c>
      <c r="AS150">
        <f>HYPERLINK("https://creighton-primo.hosted.exlibrisgroup.com/primo-explore/search?tab=default_tab&amp;search_scope=EVERYTHING&amp;vid=01CRU&amp;lang=en_US&amp;offset=0&amp;query=any,contains,991002942079702656","Catalog Record")</f>
        <v/>
      </c>
      <c r="AT150">
        <f>HYPERLINK("http://www.worldcat.org/oclc/535467","WorldCat Record")</f>
        <v/>
      </c>
      <c r="AU150" t="inlineStr">
        <is>
          <t>4928923554:eng</t>
        </is>
      </c>
      <c r="AV150" t="inlineStr">
        <is>
          <t>535467</t>
        </is>
      </c>
      <c r="AW150" t="inlineStr">
        <is>
          <t>991002942079702656</t>
        </is>
      </c>
      <c r="AX150" t="inlineStr">
        <is>
          <t>991002942079702656</t>
        </is>
      </c>
      <c r="AY150" t="inlineStr">
        <is>
          <t>2263382410002656</t>
        </is>
      </c>
      <c r="AZ150" t="inlineStr">
        <is>
          <t>BOOK</t>
        </is>
      </c>
      <c r="BC150" t="inlineStr">
        <is>
          <t>32285001828929</t>
        </is>
      </c>
      <c r="BD150" t="inlineStr">
        <is>
          <t>893598079</t>
        </is>
      </c>
    </row>
    <row r="151">
      <c r="A151" t="inlineStr">
        <is>
          <t>No</t>
        </is>
      </c>
      <c r="B151" t="inlineStr">
        <is>
          <t>QB41.G178 D7 1983</t>
        </is>
      </c>
      <c r="C151" t="inlineStr">
        <is>
          <t>0                      QB 0041000G  178                D  7           1983</t>
        </is>
      </c>
      <c r="D151" t="inlineStr">
        <is>
          <t>Telescopes, tides, and tactics : a Galilean dialogue about the Starry messenger and systems of the world / Stillman Drake.</t>
        </is>
      </c>
      <c r="F151" t="inlineStr">
        <is>
          <t>No</t>
        </is>
      </c>
      <c r="G151" t="inlineStr">
        <is>
          <t>1</t>
        </is>
      </c>
      <c r="H151" t="inlineStr">
        <is>
          <t>No</t>
        </is>
      </c>
      <c r="I151" t="inlineStr">
        <is>
          <t>No</t>
        </is>
      </c>
      <c r="J151" t="inlineStr">
        <is>
          <t>0</t>
        </is>
      </c>
      <c r="K151" t="inlineStr">
        <is>
          <t>Drake, Stillman.</t>
        </is>
      </c>
      <c r="L151" t="inlineStr">
        <is>
          <t>Chicago : University of Chicago, c1983.</t>
        </is>
      </c>
      <c r="M151" t="inlineStr">
        <is>
          <t>1983</t>
        </is>
      </c>
      <c r="O151" t="inlineStr">
        <is>
          <t>eng</t>
        </is>
      </c>
      <c r="P151" t="inlineStr">
        <is>
          <t>ilu</t>
        </is>
      </c>
      <c r="R151" t="inlineStr">
        <is>
          <t xml:space="preserve">QB </t>
        </is>
      </c>
      <c r="S151" t="n">
        <v>6</v>
      </c>
      <c r="T151" t="n">
        <v>6</v>
      </c>
      <c r="U151" t="inlineStr">
        <is>
          <t>1995-11-12</t>
        </is>
      </c>
      <c r="V151" t="inlineStr">
        <is>
          <t>1995-11-12</t>
        </is>
      </c>
      <c r="W151" t="inlineStr">
        <is>
          <t>1991-06-11</t>
        </is>
      </c>
      <c r="X151" t="inlineStr">
        <is>
          <t>1991-06-11</t>
        </is>
      </c>
      <c r="Y151" t="n">
        <v>412</v>
      </c>
      <c r="Z151" t="n">
        <v>342</v>
      </c>
      <c r="AA151" t="n">
        <v>347</v>
      </c>
      <c r="AB151" t="n">
        <v>3</v>
      </c>
      <c r="AC151" t="n">
        <v>3</v>
      </c>
      <c r="AD151" t="n">
        <v>18</v>
      </c>
      <c r="AE151" t="n">
        <v>18</v>
      </c>
      <c r="AF151" t="n">
        <v>6</v>
      </c>
      <c r="AG151" t="n">
        <v>6</v>
      </c>
      <c r="AH151" t="n">
        <v>5</v>
      </c>
      <c r="AI151" t="n">
        <v>5</v>
      </c>
      <c r="AJ151" t="n">
        <v>10</v>
      </c>
      <c r="AK151" t="n">
        <v>10</v>
      </c>
      <c r="AL151" t="n">
        <v>2</v>
      </c>
      <c r="AM151" t="n">
        <v>2</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HYPERLINK("https://creighton-primo.hosted.exlibrisgroup.com/primo-explore/search?tab=default_tab&amp;search_scope=EVERYTHING&amp;vid=01CRU&amp;lang=en_US&amp;offset=0&amp;query=any,contains,991000139859702656","Catalog Record")</f>
        <v/>
      </c>
      <c r="AT151">
        <f>HYPERLINK("http://www.worldcat.org/oclc/9154311","WorldCat Record")</f>
        <v/>
      </c>
      <c r="AU151" t="inlineStr">
        <is>
          <t>1122299598:eng</t>
        </is>
      </c>
      <c r="AV151" t="inlineStr">
        <is>
          <t>9154311</t>
        </is>
      </c>
      <c r="AW151" t="inlineStr">
        <is>
          <t>991000139859702656</t>
        </is>
      </c>
      <c r="AX151" t="inlineStr">
        <is>
          <t>991000139859702656</t>
        </is>
      </c>
      <c r="AY151" t="inlineStr">
        <is>
          <t>2264522980002656</t>
        </is>
      </c>
      <c r="AZ151" t="inlineStr">
        <is>
          <t>BOOK</t>
        </is>
      </c>
      <c r="BB151" t="inlineStr">
        <is>
          <t>9780226162317</t>
        </is>
      </c>
      <c r="BC151" t="inlineStr">
        <is>
          <t>32285000655190</t>
        </is>
      </c>
      <c r="BD151" t="inlineStr">
        <is>
          <t>893327061</t>
        </is>
      </c>
    </row>
    <row r="152">
      <c r="A152" t="inlineStr">
        <is>
          <t>No</t>
        </is>
      </c>
      <c r="B152" t="inlineStr">
        <is>
          <t>QB41.K422 L4</t>
        </is>
      </c>
      <c r="C152" t="inlineStr">
        <is>
          <t>0                      QB 0041000K  422                L  4</t>
        </is>
      </c>
      <c r="D152" t="inlineStr">
        <is>
          <t>Kepler's Dream / with the full text and notes of Somnium, sive Astronomia lunaris Joannis Kepleri. Translated by Patricia Frueh Kirkwood.</t>
        </is>
      </c>
      <c r="F152" t="inlineStr">
        <is>
          <t>No</t>
        </is>
      </c>
      <c r="G152" t="inlineStr">
        <is>
          <t>1</t>
        </is>
      </c>
      <c r="H152" t="inlineStr">
        <is>
          <t>No</t>
        </is>
      </c>
      <c r="I152" t="inlineStr">
        <is>
          <t>No</t>
        </is>
      </c>
      <c r="J152" t="inlineStr">
        <is>
          <t>0</t>
        </is>
      </c>
      <c r="K152" t="inlineStr">
        <is>
          <t>Lear, John.</t>
        </is>
      </c>
      <c r="L152" t="inlineStr">
        <is>
          <t>Berkeley : University of California Press, 1965.</t>
        </is>
      </c>
      <c r="M152" t="inlineStr">
        <is>
          <t>1965</t>
        </is>
      </c>
      <c r="O152" t="inlineStr">
        <is>
          <t>eng</t>
        </is>
      </c>
      <c r="P152" t="inlineStr">
        <is>
          <t>cau</t>
        </is>
      </c>
      <c r="R152" t="inlineStr">
        <is>
          <t xml:space="preserve">QB </t>
        </is>
      </c>
      <c r="S152" t="n">
        <v>9</v>
      </c>
      <c r="T152" t="n">
        <v>9</v>
      </c>
      <c r="U152" t="inlineStr">
        <is>
          <t>2002-10-31</t>
        </is>
      </c>
      <c r="V152" t="inlineStr">
        <is>
          <t>2002-10-31</t>
        </is>
      </c>
      <c r="W152" t="inlineStr">
        <is>
          <t>1994-01-12</t>
        </is>
      </c>
      <c r="X152" t="inlineStr">
        <is>
          <t>1994-01-12</t>
        </is>
      </c>
      <c r="Y152" t="n">
        <v>728</v>
      </c>
      <c r="Z152" t="n">
        <v>640</v>
      </c>
      <c r="AA152" t="n">
        <v>642</v>
      </c>
      <c r="AB152" t="n">
        <v>7</v>
      </c>
      <c r="AC152" t="n">
        <v>7</v>
      </c>
      <c r="AD152" t="n">
        <v>33</v>
      </c>
      <c r="AE152" t="n">
        <v>33</v>
      </c>
      <c r="AF152" t="n">
        <v>11</v>
      </c>
      <c r="AG152" t="n">
        <v>11</v>
      </c>
      <c r="AH152" t="n">
        <v>6</v>
      </c>
      <c r="AI152" t="n">
        <v>6</v>
      </c>
      <c r="AJ152" t="n">
        <v>16</v>
      </c>
      <c r="AK152" t="n">
        <v>16</v>
      </c>
      <c r="AL152" t="n">
        <v>6</v>
      </c>
      <c r="AM152" t="n">
        <v>6</v>
      </c>
      <c r="AN152" t="n">
        <v>0</v>
      </c>
      <c r="AO152" t="n">
        <v>0</v>
      </c>
      <c r="AP152" t="inlineStr">
        <is>
          <t>No</t>
        </is>
      </c>
      <c r="AQ152" t="inlineStr">
        <is>
          <t>Yes</t>
        </is>
      </c>
      <c r="AR152">
        <f>HYPERLINK("http://catalog.hathitrust.org/Record/001475738","HathiTrust Record")</f>
        <v/>
      </c>
      <c r="AS152">
        <f>HYPERLINK("https://creighton-primo.hosted.exlibrisgroup.com/primo-explore/search?tab=default_tab&amp;search_scope=EVERYTHING&amp;vid=01CRU&amp;lang=en_US&amp;offset=0&amp;query=any,contains,991002978359702656","Catalog Record")</f>
        <v/>
      </c>
      <c r="AT152">
        <f>HYPERLINK("http://www.worldcat.org/oclc/553340","WorldCat Record")</f>
        <v/>
      </c>
      <c r="AU152" t="inlineStr">
        <is>
          <t>375545620:eng</t>
        </is>
      </c>
      <c r="AV152" t="inlineStr">
        <is>
          <t>553340</t>
        </is>
      </c>
      <c r="AW152" t="inlineStr">
        <is>
          <t>991002978359702656</t>
        </is>
      </c>
      <c r="AX152" t="inlineStr">
        <is>
          <t>991002978359702656</t>
        </is>
      </c>
      <c r="AY152" t="inlineStr">
        <is>
          <t>2258959510002656</t>
        </is>
      </c>
      <c r="AZ152" t="inlineStr">
        <is>
          <t>BOOK</t>
        </is>
      </c>
      <c r="BC152" t="inlineStr">
        <is>
          <t>32285001829463</t>
        </is>
      </c>
      <c r="BD152" t="inlineStr">
        <is>
          <t>893498793</t>
        </is>
      </c>
    </row>
    <row r="153">
      <c r="A153" t="inlineStr">
        <is>
          <t>No</t>
        </is>
      </c>
      <c r="B153" t="inlineStr">
        <is>
          <t>QB415 .D2</t>
        </is>
      </c>
      <c r="C153" t="inlineStr">
        <is>
          <t>0                      QB 0415000D  2</t>
        </is>
      </c>
      <c r="D153" t="inlineStr">
        <is>
          <t>The tides and kindred phenomena in the solar system : the substance of lectures delivered in 1897 at the Lowell institute, Boston, Massachusetts / by George Howard Darwin.</t>
        </is>
      </c>
      <c r="F153" t="inlineStr">
        <is>
          <t>No</t>
        </is>
      </c>
      <c r="G153" t="inlineStr">
        <is>
          <t>1</t>
        </is>
      </c>
      <c r="H153" t="inlineStr">
        <is>
          <t>No</t>
        </is>
      </c>
      <c r="I153" t="inlineStr">
        <is>
          <t>No</t>
        </is>
      </c>
      <c r="J153" t="inlineStr">
        <is>
          <t>0</t>
        </is>
      </c>
      <c r="K153" t="inlineStr">
        <is>
          <t>Darwin, George Howard, Sir, 1845-1912.</t>
        </is>
      </c>
      <c r="L153" t="inlineStr">
        <is>
          <t>Boston ; New York : Houghton, Mifflin and company, 1898.</t>
        </is>
      </c>
      <c r="M153" t="inlineStr">
        <is>
          <t>1898</t>
        </is>
      </c>
      <c r="O153" t="inlineStr">
        <is>
          <t>eng</t>
        </is>
      </c>
      <c r="P153" t="inlineStr">
        <is>
          <t xml:space="preserve">xx </t>
        </is>
      </c>
      <c r="R153" t="inlineStr">
        <is>
          <t xml:space="preserve">QB </t>
        </is>
      </c>
      <c r="S153" t="n">
        <v>10</v>
      </c>
      <c r="T153" t="n">
        <v>10</v>
      </c>
      <c r="U153" t="inlineStr">
        <is>
          <t>2009-11-19</t>
        </is>
      </c>
      <c r="V153" t="inlineStr">
        <is>
          <t>2009-11-19</t>
        </is>
      </c>
      <c r="W153" t="inlineStr">
        <is>
          <t>1993-08-09</t>
        </is>
      </c>
      <c r="X153" t="inlineStr">
        <is>
          <t>1993-08-09</t>
        </is>
      </c>
      <c r="Y153" t="n">
        <v>171</v>
      </c>
      <c r="Z153" t="n">
        <v>164</v>
      </c>
      <c r="AA153" t="n">
        <v>275</v>
      </c>
      <c r="AB153" t="n">
        <v>2</v>
      </c>
      <c r="AC153" t="n">
        <v>4</v>
      </c>
      <c r="AD153" t="n">
        <v>3</v>
      </c>
      <c r="AE153" t="n">
        <v>11</v>
      </c>
      <c r="AF153" t="n">
        <v>0</v>
      </c>
      <c r="AG153" t="n">
        <v>3</v>
      </c>
      <c r="AH153" t="n">
        <v>1</v>
      </c>
      <c r="AI153" t="n">
        <v>2</v>
      </c>
      <c r="AJ153" t="n">
        <v>1</v>
      </c>
      <c r="AK153" t="n">
        <v>4</v>
      </c>
      <c r="AL153" t="n">
        <v>1</v>
      </c>
      <c r="AM153" t="n">
        <v>3</v>
      </c>
      <c r="AN153" t="n">
        <v>0</v>
      </c>
      <c r="AO153" t="n">
        <v>1</v>
      </c>
      <c r="AP153" t="inlineStr">
        <is>
          <t>Yes</t>
        </is>
      </c>
      <c r="AQ153" t="inlineStr">
        <is>
          <t>No</t>
        </is>
      </c>
      <c r="AR153">
        <f>HYPERLINK("http://catalog.hathitrust.org/Record/000158149","HathiTrust Record")</f>
        <v/>
      </c>
      <c r="AS153">
        <f>HYPERLINK("https://creighton-primo.hosted.exlibrisgroup.com/primo-explore/search?tab=default_tab&amp;search_scope=EVERYTHING&amp;vid=01CRU&amp;lang=en_US&amp;offset=0&amp;query=any,contains,991004263159702656","Catalog Record")</f>
        <v/>
      </c>
      <c r="AT153">
        <f>HYPERLINK("http://www.worldcat.org/oclc/2855069","WorldCat Record")</f>
        <v/>
      </c>
      <c r="AU153" t="inlineStr">
        <is>
          <t>3943536490:eng</t>
        </is>
      </c>
      <c r="AV153" t="inlineStr">
        <is>
          <t>2855069</t>
        </is>
      </c>
      <c r="AW153" t="inlineStr">
        <is>
          <t>991004263159702656</t>
        </is>
      </c>
      <c r="AX153" t="inlineStr">
        <is>
          <t>991004263159702656</t>
        </is>
      </c>
      <c r="AY153" t="inlineStr">
        <is>
          <t>2265943590002656</t>
        </is>
      </c>
      <c r="AZ153" t="inlineStr">
        <is>
          <t>BOOK</t>
        </is>
      </c>
      <c r="BC153" t="inlineStr">
        <is>
          <t>32285001751253</t>
        </is>
      </c>
      <c r="BD153" t="inlineStr">
        <is>
          <t>893331379</t>
        </is>
      </c>
    </row>
    <row r="154">
      <c r="A154" t="inlineStr">
        <is>
          <t>No</t>
        </is>
      </c>
      <c r="B154" t="inlineStr">
        <is>
          <t>QB415 .D413</t>
        </is>
      </c>
      <c r="C154" t="inlineStr">
        <is>
          <t>0                      QB 0415000D  413</t>
        </is>
      </c>
      <c r="D154" t="inlineStr">
        <is>
          <t>Ebb and flow : the tides of earth, air, and water / [Translated by A. J. Pomerans]</t>
        </is>
      </c>
      <c r="F154" t="inlineStr">
        <is>
          <t>No</t>
        </is>
      </c>
      <c r="G154" t="inlineStr">
        <is>
          <t>1</t>
        </is>
      </c>
      <c r="H154" t="inlineStr">
        <is>
          <t>No</t>
        </is>
      </c>
      <c r="I154" t="inlineStr">
        <is>
          <t>No</t>
        </is>
      </c>
      <c r="J154" t="inlineStr">
        <is>
          <t>0</t>
        </is>
      </c>
      <c r="K154" t="inlineStr">
        <is>
          <t>Defant, Albert, 1884-1974.</t>
        </is>
      </c>
      <c r="L154" t="inlineStr">
        <is>
          <t>Ann Arbor : University of Michigan Press, [1958]</t>
        </is>
      </c>
      <c r="M154" t="inlineStr">
        <is>
          <t>1958</t>
        </is>
      </c>
      <c r="O154" t="inlineStr">
        <is>
          <t>eng</t>
        </is>
      </c>
      <c r="P154" t="inlineStr">
        <is>
          <t>miu</t>
        </is>
      </c>
      <c r="Q154" t="inlineStr">
        <is>
          <t>Ann Arbor science library</t>
        </is>
      </c>
      <c r="R154" t="inlineStr">
        <is>
          <t xml:space="preserve">QB </t>
        </is>
      </c>
      <c r="S154" t="n">
        <v>6</v>
      </c>
      <c r="T154" t="n">
        <v>6</v>
      </c>
      <c r="U154" t="inlineStr">
        <is>
          <t>2008-11-19</t>
        </is>
      </c>
      <c r="V154" t="inlineStr">
        <is>
          <t>2008-11-19</t>
        </is>
      </c>
      <c r="W154" t="inlineStr">
        <is>
          <t>1994-04-12</t>
        </is>
      </c>
      <c r="X154" t="inlineStr">
        <is>
          <t>1994-04-12</t>
        </is>
      </c>
      <c r="Y154" t="n">
        <v>943</v>
      </c>
      <c r="Z154" t="n">
        <v>852</v>
      </c>
      <c r="AA154" t="n">
        <v>865</v>
      </c>
      <c r="AB154" t="n">
        <v>7</v>
      </c>
      <c r="AC154" t="n">
        <v>7</v>
      </c>
      <c r="AD154" t="n">
        <v>23</v>
      </c>
      <c r="AE154" t="n">
        <v>23</v>
      </c>
      <c r="AF154" t="n">
        <v>7</v>
      </c>
      <c r="AG154" t="n">
        <v>7</v>
      </c>
      <c r="AH154" t="n">
        <v>4</v>
      </c>
      <c r="AI154" t="n">
        <v>4</v>
      </c>
      <c r="AJ154" t="n">
        <v>10</v>
      </c>
      <c r="AK154" t="n">
        <v>10</v>
      </c>
      <c r="AL154" t="n">
        <v>5</v>
      </c>
      <c r="AM154" t="n">
        <v>5</v>
      </c>
      <c r="AN154" t="n">
        <v>0</v>
      </c>
      <c r="AO154" t="n">
        <v>0</v>
      </c>
      <c r="AP154" t="inlineStr">
        <is>
          <t>No</t>
        </is>
      </c>
      <c r="AQ154" t="inlineStr">
        <is>
          <t>Yes</t>
        </is>
      </c>
      <c r="AR154">
        <f>HYPERLINK("http://catalog.hathitrust.org/Record/001476573","HathiTrust Record")</f>
        <v/>
      </c>
      <c r="AS154">
        <f>HYPERLINK("https://creighton-primo.hosted.exlibrisgroup.com/primo-explore/search?tab=default_tab&amp;search_scope=EVERYTHING&amp;vid=01CRU&amp;lang=en_US&amp;offset=0&amp;query=any,contains,991001400139702656","Catalog Record")</f>
        <v/>
      </c>
      <c r="AT154">
        <f>HYPERLINK("http://www.worldcat.org/oclc/229078","WorldCat Record")</f>
        <v/>
      </c>
      <c r="AU154" t="inlineStr">
        <is>
          <t>4714349067:eng</t>
        </is>
      </c>
      <c r="AV154" t="inlineStr">
        <is>
          <t>229078</t>
        </is>
      </c>
      <c r="AW154" t="inlineStr">
        <is>
          <t>991001400139702656</t>
        </is>
      </c>
      <c r="AX154" t="inlineStr">
        <is>
          <t>991001400139702656</t>
        </is>
      </c>
      <c r="AY154" t="inlineStr">
        <is>
          <t>2256440410002656</t>
        </is>
      </c>
      <c r="AZ154" t="inlineStr">
        <is>
          <t>BOOK</t>
        </is>
      </c>
      <c r="BC154" t="inlineStr">
        <is>
          <t>32285001886091</t>
        </is>
      </c>
      <c r="BD154" t="inlineStr">
        <is>
          <t>893772577</t>
        </is>
      </c>
    </row>
    <row r="155">
      <c r="A155" t="inlineStr">
        <is>
          <t>No</t>
        </is>
      </c>
      <c r="B155" t="inlineStr">
        <is>
          <t>QB415 .M3 1926</t>
        </is>
      </c>
      <c r="C155" t="inlineStr">
        <is>
          <t>0                      QB 0415000M  3           1926</t>
        </is>
      </c>
      <c r="D155" t="inlineStr">
        <is>
          <t>The tide / by H.A. Marmer.</t>
        </is>
      </c>
      <c r="F155" t="inlineStr">
        <is>
          <t>No</t>
        </is>
      </c>
      <c r="G155" t="inlineStr">
        <is>
          <t>1</t>
        </is>
      </c>
      <c r="H155" t="inlineStr">
        <is>
          <t>Yes</t>
        </is>
      </c>
      <c r="I155" t="inlineStr">
        <is>
          <t>No</t>
        </is>
      </c>
      <c r="J155" t="inlineStr">
        <is>
          <t>0</t>
        </is>
      </c>
      <c r="K155" t="inlineStr">
        <is>
          <t>Marmer, H. A. (Harry Aaron), 1885-</t>
        </is>
      </c>
      <c r="L155" t="inlineStr">
        <is>
          <t>New York ; London : D. Appleton and Company, 1926.</t>
        </is>
      </c>
      <c r="M155" t="inlineStr">
        <is>
          <t>1926</t>
        </is>
      </c>
      <c r="O155" t="inlineStr">
        <is>
          <t>eng</t>
        </is>
      </c>
      <c r="P155" t="inlineStr">
        <is>
          <t>nyu</t>
        </is>
      </c>
      <c r="R155" t="inlineStr">
        <is>
          <t xml:space="preserve">QB </t>
        </is>
      </c>
      <c r="S155" t="n">
        <v>10</v>
      </c>
      <c r="T155" t="n">
        <v>20</v>
      </c>
      <c r="U155" t="inlineStr">
        <is>
          <t>1995-11-13</t>
        </is>
      </c>
      <c r="V155" t="inlineStr">
        <is>
          <t>1995-11-13</t>
        </is>
      </c>
      <c r="W155" t="inlineStr">
        <is>
          <t>1993-07-08</t>
        </is>
      </c>
      <c r="X155" t="inlineStr">
        <is>
          <t>1993-07-08</t>
        </is>
      </c>
      <c r="Y155" t="n">
        <v>222</v>
      </c>
      <c r="Z155" t="n">
        <v>179</v>
      </c>
      <c r="AA155" t="n">
        <v>182</v>
      </c>
      <c r="AB155" t="n">
        <v>1</v>
      </c>
      <c r="AC155" t="n">
        <v>1</v>
      </c>
      <c r="AD155" t="n">
        <v>3</v>
      </c>
      <c r="AE155" t="n">
        <v>3</v>
      </c>
      <c r="AF155" t="n">
        <v>1</v>
      </c>
      <c r="AG155" t="n">
        <v>1</v>
      </c>
      <c r="AH155" t="n">
        <v>1</v>
      </c>
      <c r="AI155" t="n">
        <v>1</v>
      </c>
      <c r="AJ155" t="n">
        <v>2</v>
      </c>
      <c r="AK155" t="n">
        <v>2</v>
      </c>
      <c r="AL155" t="n">
        <v>0</v>
      </c>
      <c r="AM155" t="n">
        <v>0</v>
      </c>
      <c r="AN155" t="n">
        <v>0</v>
      </c>
      <c r="AO155" t="n">
        <v>0</v>
      </c>
      <c r="AP155" t="inlineStr">
        <is>
          <t>No</t>
        </is>
      </c>
      <c r="AQ155" t="inlineStr">
        <is>
          <t>Yes</t>
        </is>
      </c>
      <c r="AR155">
        <f>HYPERLINK("http://catalog.hathitrust.org/Record/001476576","HathiTrust Record")</f>
        <v/>
      </c>
      <c r="AS155">
        <f>HYPERLINK("https://creighton-primo.hosted.exlibrisgroup.com/primo-explore/search?tab=default_tab&amp;search_scope=EVERYTHING&amp;vid=01CRU&amp;lang=en_US&amp;offset=0&amp;query=any,contains,991002905049702656","Catalog Record")</f>
        <v/>
      </c>
      <c r="AT155">
        <f>HYPERLINK("http://www.worldcat.org/oclc/519059","WorldCat Record")</f>
        <v/>
      </c>
      <c r="AU155" t="inlineStr">
        <is>
          <t>1510880:eng</t>
        </is>
      </c>
      <c r="AV155" t="inlineStr">
        <is>
          <t>519059</t>
        </is>
      </c>
      <c r="AW155" t="inlineStr">
        <is>
          <t>991002905049702656</t>
        </is>
      </c>
      <c r="AX155" t="inlineStr">
        <is>
          <t>991002905049702656</t>
        </is>
      </c>
      <c r="AY155" t="inlineStr">
        <is>
          <t>2256996420002656</t>
        </is>
      </c>
      <c r="AZ155" t="inlineStr">
        <is>
          <t>BOOK</t>
        </is>
      </c>
      <c r="BC155" t="inlineStr">
        <is>
          <t>32285001432797</t>
        </is>
      </c>
      <c r="BD155" t="inlineStr">
        <is>
          <t>893530617</t>
        </is>
      </c>
    </row>
    <row r="156">
      <c r="A156" t="inlineStr">
        <is>
          <t>No</t>
        </is>
      </c>
      <c r="B156" t="inlineStr">
        <is>
          <t>QB415 .M3 1926</t>
        </is>
      </c>
      <c r="C156" t="inlineStr">
        <is>
          <t>0                      QB 0415000M  3           1926</t>
        </is>
      </c>
      <c r="D156" t="inlineStr">
        <is>
          <t>The tide / by H.A. Marmer.</t>
        </is>
      </c>
      <c r="F156" t="inlineStr">
        <is>
          <t>No</t>
        </is>
      </c>
      <c r="G156" t="inlineStr">
        <is>
          <t>1</t>
        </is>
      </c>
      <c r="H156" t="inlineStr">
        <is>
          <t>Yes</t>
        </is>
      </c>
      <c r="I156" t="inlineStr">
        <is>
          <t>No</t>
        </is>
      </c>
      <c r="J156" t="inlineStr">
        <is>
          <t>0</t>
        </is>
      </c>
      <c r="K156" t="inlineStr">
        <is>
          <t>Marmer, H. A. (Harry Aaron), 1885-</t>
        </is>
      </c>
      <c r="L156" t="inlineStr">
        <is>
          <t>New York ; London : D. Appleton and Company, 1926.</t>
        </is>
      </c>
      <c r="M156" t="inlineStr">
        <is>
          <t>1926</t>
        </is>
      </c>
      <c r="O156" t="inlineStr">
        <is>
          <t>eng</t>
        </is>
      </c>
      <c r="P156" t="inlineStr">
        <is>
          <t>nyu</t>
        </is>
      </c>
      <c r="R156" t="inlineStr">
        <is>
          <t xml:space="preserve">QB </t>
        </is>
      </c>
      <c r="S156" t="n">
        <v>10</v>
      </c>
      <c r="T156" t="n">
        <v>20</v>
      </c>
      <c r="U156" t="inlineStr">
        <is>
          <t>1995-11-12</t>
        </is>
      </c>
      <c r="V156" t="inlineStr">
        <is>
          <t>1995-11-13</t>
        </is>
      </c>
      <c r="W156" t="inlineStr">
        <is>
          <t>1992-11-19</t>
        </is>
      </c>
      <c r="X156" t="inlineStr">
        <is>
          <t>1993-07-08</t>
        </is>
      </c>
      <c r="Y156" t="n">
        <v>222</v>
      </c>
      <c r="Z156" t="n">
        <v>179</v>
      </c>
      <c r="AA156" t="n">
        <v>182</v>
      </c>
      <c r="AB156" t="n">
        <v>1</v>
      </c>
      <c r="AC156" t="n">
        <v>1</v>
      </c>
      <c r="AD156" t="n">
        <v>3</v>
      </c>
      <c r="AE156" t="n">
        <v>3</v>
      </c>
      <c r="AF156" t="n">
        <v>1</v>
      </c>
      <c r="AG156" t="n">
        <v>1</v>
      </c>
      <c r="AH156" t="n">
        <v>1</v>
      </c>
      <c r="AI156" t="n">
        <v>1</v>
      </c>
      <c r="AJ156" t="n">
        <v>2</v>
      </c>
      <c r="AK156" t="n">
        <v>2</v>
      </c>
      <c r="AL156" t="n">
        <v>0</v>
      </c>
      <c r="AM156" t="n">
        <v>0</v>
      </c>
      <c r="AN156" t="n">
        <v>0</v>
      </c>
      <c r="AO156" t="n">
        <v>0</v>
      </c>
      <c r="AP156" t="inlineStr">
        <is>
          <t>No</t>
        </is>
      </c>
      <c r="AQ156" t="inlineStr">
        <is>
          <t>Yes</t>
        </is>
      </c>
      <c r="AR156">
        <f>HYPERLINK("http://catalog.hathitrust.org/Record/001476576","HathiTrust Record")</f>
        <v/>
      </c>
      <c r="AS156">
        <f>HYPERLINK("https://creighton-primo.hosted.exlibrisgroup.com/primo-explore/search?tab=default_tab&amp;search_scope=EVERYTHING&amp;vid=01CRU&amp;lang=en_US&amp;offset=0&amp;query=any,contains,991002905049702656","Catalog Record")</f>
        <v/>
      </c>
      <c r="AT156">
        <f>HYPERLINK("http://www.worldcat.org/oclc/519059","WorldCat Record")</f>
        <v/>
      </c>
      <c r="AU156" t="inlineStr">
        <is>
          <t>1510880:eng</t>
        </is>
      </c>
      <c r="AV156" t="inlineStr">
        <is>
          <t>519059</t>
        </is>
      </c>
      <c r="AW156" t="inlineStr">
        <is>
          <t>991002905049702656</t>
        </is>
      </c>
      <c r="AX156" t="inlineStr">
        <is>
          <t>991002905049702656</t>
        </is>
      </c>
      <c r="AY156" t="inlineStr">
        <is>
          <t>2256996420002656</t>
        </is>
      </c>
      <c r="AZ156" t="inlineStr">
        <is>
          <t>BOOK</t>
        </is>
      </c>
      <c r="BC156" t="inlineStr">
        <is>
          <t>32285001432789</t>
        </is>
      </c>
      <c r="BD156" t="inlineStr">
        <is>
          <t>893511338</t>
        </is>
      </c>
    </row>
    <row r="157">
      <c r="A157" t="inlineStr">
        <is>
          <t>No</t>
        </is>
      </c>
      <c r="B157" t="inlineStr">
        <is>
          <t>QB415 .W3 1922</t>
        </is>
      </c>
      <c r="C157" t="inlineStr">
        <is>
          <t>0                      QB 0415000W  3           1922</t>
        </is>
      </c>
      <c r="D157" t="inlineStr">
        <is>
          <t>Tides and tidal streams : a manual compiled for the use of seamen / by Commander H.D. Warburg.</t>
        </is>
      </c>
      <c r="F157" t="inlineStr">
        <is>
          <t>No</t>
        </is>
      </c>
      <c r="G157" t="inlineStr">
        <is>
          <t>1</t>
        </is>
      </c>
      <c r="H157" t="inlineStr">
        <is>
          <t>No</t>
        </is>
      </c>
      <c r="I157" t="inlineStr">
        <is>
          <t>No</t>
        </is>
      </c>
      <c r="J157" t="inlineStr">
        <is>
          <t>0</t>
        </is>
      </c>
      <c r="K157" t="inlineStr">
        <is>
          <t>Warburg, Harold Dreyer.</t>
        </is>
      </c>
      <c r="L157" t="inlineStr">
        <is>
          <t>Cambridge, [Eng.] : The University Press, 1922.</t>
        </is>
      </c>
      <c r="M157" t="inlineStr">
        <is>
          <t>1922</t>
        </is>
      </c>
      <c r="O157" t="inlineStr">
        <is>
          <t>eng</t>
        </is>
      </c>
      <c r="P157" t="inlineStr">
        <is>
          <t>enk</t>
        </is>
      </c>
      <c r="R157" t="inlineStr">
        <is>
          <t xml:space="preserve">QB </t>
        </is>
      </c>
      <c r="S157" t="n">
        <v>2</v>
      </c>
      <c r="T157" t="n">
        <v>2</v>
      </c>
      <c r="U157" t="inlineStr">
        <is>
          <t>1995-11-13</t>
        </is>
      </c>
      <c r="V157" t="inlineStr">
        <is>
          <t>1995-11-13</t>
        </is>
      </c>
      <c r="W157" t="inlineStr">
        <is>
          <t>1994-12-22</t>
        </is>
      </c>
      <c r="X157" t="inlineStr">
        <is>
          <t>1994-12-22</t>
        </is>
      </c>
      <c r="Y157" t="n">
        <v>64</v>
      </c>
      <c r="Z157" t="n">
        <v>51</v>
      </c>
      <c r="AA157" t="n">
        <v>64</v>
      </c>
      <c r="AB157" t="n">
        <v>1</v>
      </c>
      <c r="AC157" t="n">
        <v>1</v>
      </c>
      <c r="AD157" t="n">
        <v>0</v>
      </c>
      <c r="AE157" t="n">
        <v>0</v>
      </c>
      <c r="AF157" t="n">
        <v>0</v>
      </c>
      <c r="AG157" t="n">
        <v>0</v>
      </c>
      <c r="AH157" t="n">
        <v>0</v>
      </c>
      <c r="AI157" t="n">
        <v>0</v>
      </c>
      <c r="AJ157" t="n">
        <v>0</v>
      </c>
      <c r="AK157" t="n">
        <v>0</v>
      </c>
      <c r="AL157" t="n">
        <v>0</v>
      </c>
      <c r="AM157" t="n">
        <v>0</v>
      </c>
      <c r="AN157" t="n">
        <v>0</v>
      </c>
      <c r="AO157" t="n">
        <v>0</v>
      </c>
      <c r="AP157" t="inlineStr">
        <is>
          <t>Yes</t>
        </is>
      </c>
      <c r="AQ157" t="inlineStr">
        <is>
          <t>No</t>
        </is>
      </c>
      <c r="AR157">
        <f>HYPERLINK("http://catalog.hathitrust.org/Record/007156792","HathiTrust Record")</f>
        <v/>
      </c>
      <c r="AS157">
        <f>HYPERLINK("https://creighton-primo.hosted.exlibrisgroup.com/primo-explore/search?tab=default_tab&amp;search_scope=EVERYTHING&amp;vid=01CRU&amp;lang=en_US&amp;offset=0&amp;query=any,contains,991002929059702656","Catalog Record")</f>
        <v/>
      </c>
      <c r="AT157">
        <f>HYPERLINK("http://www.worldcat.org/oclc/530316","WorldCat Record")</f>
        <v/>
      </c>
      <c r="AU157" t="inlineStr">
        <is>
          <t>422823084:eng</t>
        </is>
      </c>
      <c r="AV157" t="inlineStr">
        <is>
          <t>530316</t>
        </is>
      </c>
      <c r="AW157" t="inlineStr">
        <is>
          <t>991002929059702656</t>
        </is>
      </c>
      <c r="AX157" t="inlineStr">
        <is>
          <t>991002929059702656</t>
        </is>
      </c>
      <c r="AY157" t="inlineStr">
        <is>
          <t>2266605270002656</t>
        </is>
      </c>
      <c r="AZ157" t="inlineStr">
        <is>
          <t>BOOK</t>
        </is>
      </c>
      <c r="BC157" t="inlineStr">
        <is>
          <t>32285001978419</t>
        </is>
      </c>
      <c r="BD157" t="inlineStr">
        <is>
          <t>893698445</t>
        </is>
      </c>
    </row>
    <row r="158">
      <c r="A158" t="inlineStr">
        <is>
          <t>No</t>
        </is>
      </c>
      <c r="B158" t="inlineStr">
        <is>
          <t>QB43.2 .C47 1989</t>
        </is>
      </c>
      <c r="C158" t="inlineStr">
        <is>
          <t>0                      QB 0043200C  47          1989</t>
        </is>
      </c>
      <c r="D158" t="inlineStr">
        <is>
          <t>Cosmic catastrophes / Clark R. Chapman and David Morrison.</t>
        </is>
      </c>
      <c r="F158" t="inlineStr">
        <is>
          <t>No</t>
        </is>
      </c>
      <c r="G158" t="inlineStr">
        <is>
          <t>1</t>
        </is>
      </c>
      <c r="H158" t="inlineStr">
        <is>
          <t>No</t>
        </is>
      </c>
      <c r="I158" t="inlineStr">
        <is>
          <t>No</t>
        </is>
      </c>
      <c r="J158" t="inlineStr">
        <is>
          <t>0</t>
        </is>
      </c>
      <c r="K158" t="inlineStr">
        <is>
          <t>Chapman, Clark R.</t>
        </is>
      </c>
      <c r="L158" t="inlineStr">
        <is>
          <t>New York : Plenum Press, c1989.</t>
        </is>
      </c>
      <c r="M158" t="inlineStr">
        <is>
          <t>1989</t>
        </is>
      </c>
      <c r="O158" t="inlineStr">
        <is>
          <t>eng</t>
        </is>
      </c>
      <c r="P158" t="inlineStr">
        <is>
          <t>nyu</t>
        </is>
      </c>
      <c r="R158" t="inlineStr">
        <is>
          <t xml:space="preserve">QB </t>
        </is>
      </c>
      <c r="S158" t="n">
        <v>1</v>
      </c>
      <c r="T158" t="n">
        <v>1</v>
      </c>
      <c r="U158" t="inlineStr">
        <is>
          <t>1992-03-21</t>
        </is>
      </c>
      <c r="V158" t="inlineStr">
        <is>
          <t>1992-03-21</t>
        </is>
      </c>
      <c r="W158" t="inlineStr">
        <is>
          <t>1990-06-13</t>
        </is>
      </c>
      <c r="X158" t="inlineStr">
        <is>
          <t>1990-06-13</t>
        </is>
      </c>
      <c r="Y158" t="n">
        <v>861</v>
      </c>
      <c r="Z158" t="n">
        <v>768</v>
      </c>
      <c r="AA158" t="n">
        <v>786</v>
      </c>
      <c r="AB158" t="n">
        <v>5</v>
      </c>
      <c r="AC158" t="n">
        <v>5</v>
      </c>
      <c r="AD158" t="n">
        <v>25</v>
      </c>
      <c r="AE158" t="n">
        <v>25</v>
      </c>
      <c r="AF158" t="n">
        <v>8</v>
      </c>
      <c r="AG158" t="n">
        <v>8</v>
      </c>
      <c r="AH158" t="n">
        <v>7</v>
      </c>
      <c r="AI158" t="n">
        <v>7</v>
      </c>
      <c r="AJ158" t="n">
        <v>12</v>
      </c>
      <c r="AK158" t="n">
        <v>12</v>
      </c>
      <c r="AL158" t="n">
        <v>4</v>
      </c>
      <c r="AM158" t="n">
        <v>4</v>
      </c>
      <c r="AN158" t="n">
        <v>0</v>
      </c>
      <c r="AO158" t="n">
        <v>0</v>
      </c>
      <c r="AP158" t="inlineStr">
        <is>
          <t>No</t>
        </is>
      </c>
      <c r="AQ158" t="inlineStr">
        <is>
          <t>Yes</t>
        </is>
      </c>
      <c r="AR158">
        <f>HYPERLINK("http://catalog.hathitrust.org/Record/001293237","HathiTrust Record")</f>
        <v/>
      </c>
      <c r="AS158">
        <f>HYPERLINK("https://creighton-primo.hosted.exlibrisgroup.com/primo-explore/search?tab=default_tab&amp;search_scope=EVERYTHING&amp;vid=01CRU&amp;lang=en_US&amp;offset=0&amp;query=any,contains,991001387579702656","Catalog Record")</f>
        <v/>
      </c>
      <c r="AT158">
        <f>HYPERLINK("http://www.worldcat.org/oclc/18739464","WorldCat Record")</f>
        <v/>
      </c>
      <c r="AU158" t="inlineStr">
        <is>
          <t>11146796:eng</t>
        </is>
      </c>
      <c r="AV158" t="inlineStr">
        <is>
          <t>18739464</t>
        </is>
      </c>
      <c r="AW158" t="inlineStr">
        <is>
          <t>991001387579702656</t>
        </is>
      </c>
      <c r="AX158" t="inlineStr">
        <is>
          <t>991001387579702656</t>
        </is>
      </c>
      <c r="AY158" t="inlineStr">
        <is>
          <t>2261514400002656</t>
        </is>
      </c>
      <c r="AZ158" t="inlineStr">
        <is>
          <t>BOOK</t>
        </is>
      </c>
      <c r="BB158" t="inlineStr">
        <is>
          <t>9780306431630</t>
        </is>
      </c>
      <c r="BC158" t="inlineStr">
        <is>
          <t>32285000177237</t>
        </is>
      </c>
      <c r="BD158" t="inlineStr">
        <is>
          <t>893250212</t>
        </is>
      </c>
    </row>
    <row r="159">
      <c r="A159" t="inlineStr">
        <is>
          <t>No</t>
        </is>
      </c>
      <c r="B159" t="inlineStr">
        <is>
          <t>QB43.2 .G53 2003</t>
        </is>
      </c>
      <c r="C159" t="inlineStr">
        <is>
          <t>0                      QB 0043200G  53          2003</t>
        </is>
      </c>
      <c r="D159" t="inlineStr">
        <is>
          <t>Astronomy demystified / Stan Gibilisco.</t>
        </is>
      </c>
      <c r="F159" t="inlineStr">
        <is>
          <t>No</t>
        </is>
      </c>
      <c r="G159" t="inlineStr">
        <is>
          <t>1</t>
        </is>
      </c>
      <c r="H159" t="inlineStr">
        <is>
          <t>No</t>
        </is>
      </c>
      <c r="I159" t="inlineStr">
        <is>
          <t>No</t>
        </is>
      </c>
      <c r="J159" t="inlineStr">
        <is>
          <t>0</t>
        </is>
      </c>
      <c r="K159" t="inlineStr">
        <is>
          <t>Gibilisco, Stan.</t>
        </is>
      </c>
      <c r="L159" t="inlineStr">
        <is>
          <t>New York : McGraw-Hill, c2003.</t>
        </is>
      </c>
      <c r="M159" t="inlineStr">
        <is>
          <t>2003</t>
        </is>
      </c>
      <c r="O159" t="inlineStr">
        <is>
          <t>eng</t>
        </is>
      </c>
      <c r="P159" t="inlineStr">
        <is>
          <t>nyu</t>
        </is>
      </c>
      <c r="Q159" t="inlineStr">
        <is>
          <t>McGraw-Hill "Demystified" series</t>
        </is>
      </c>
      <c r="R159" t="inlineStr">
        <is>
          <t xml:space="preserve">QB </t>
        </is>
      </c>
      <c r="S159" t="n">
        <v>8</v>
      </c>
      <c r="T159" t="n">
        <v>8</v>
      </c>
      <c r="U159" t="inlineStr">
        <is>
          <t>2004-12-03</t>
        </is>
      </c>
      <c r="V159" t="inlineStr">
        <is>
          <t>2004-12-03</t>
        </is>
      </c>
      <c r="W159" t="inlineStr">
        <is>
          <t>2002-10-30</t>
        </is>
      </c>
      <c r="X159" t="inlineStr">
        <is>
          <t>2002-10-30</t>
        </is>
      </c>
      <c r="Y159" t="n">
        <v>428</v>
      </c>
      <c r="Z159" t="n">
        <v>363</v>
      </c>
      <c r="AA159" t="n">
        <v>1216</v>
      </c>
      <c r="AB159" t="n">
        <v>2</v>
      </c>
      <c r="AC159" t="n">
        <v>26</v>
      </c>
      <c r="AD159" t="n">
        <v>0</v>
      </c>
      <c r="AE159" t="n">
        <v>25</v>
      </c>
      <c r="AF159" t="n">
        <v>0</v>
      </c>
      <c r="AG159" t="n">
        <v>7</v>
      </c>
      <c r="AH159" t="n">
        <v>0</v>
      </c>
      <c r="AI159" t="n">
        <v>4</v>
      </c>
      <c r="AJ159" t="n">
        <v>0</v>
      </c>
      <c r="AK159" t="n">
        <v>6</v>
      </c>
      <c r="AL159" t="n">
        <v>0</v>
      </c>
      <c r="AM159" t="n">
        <v>12</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HYPERLINK("https://creighton-primo.hosted.exlibrisgroup.com/primo-explore/search?tab=default_tab&amp;search_scope=EVERYTHING&amp;vid=01CRU&amp;lang=en_US&amp;offset=0&amp;query=any,contains,991003907419702656","Catalog Record")</f>
        <v/>
      </c>
      <c r="AT159">
        <f>HYPERLINK("http://www.worldcat.org/oclc/50545002","WorldCat Record")</f>
        <v/>
      </c>
      <c r="AU159" t="inlineStr">
        <is>
          <t>981339:eng</t>
        </is>
      </c>
      <c r="AV159" t="inlineStr">
        <is>
          <t>50545002</t>
        </is>
      </c>
      <c r="AW159" t="inlineStr">
        <is>
          <t>991003907419702656</t>
        </is>
      </c>
      <c r="AX159" t="inlineStr">
        <is>
          <t>991003907419702656</t>
        </is>
      </c>
      <c r="AY159" t="inlineStr">
        <is>
          <t>2256673540002656</t>
        </is>
      </c>
      <c r="AZ159" t="inlineStr">
        <is>
          <t>BOOK</t>
        </is>
      </c>
      <c r="BB159" t="inlineStr">
        <is>
          <t>9780071384278</t>
        </is>
      </c>
      <c r="BC159" t="inlineStr">
        <is>
          <t>32285004658570</t>
        </is>
      </c>
      <c r="BD159" t="inlineStr">
        <is>
          <t>893599193</t>
        </is>
      </c>
    </row>
    <row r="160">
      <c r="A160" t="inlineStr">
        <is>
          <t>No</t>
        </is>
      </c>
      <c r="B160" t="inlineStr">
        <is>
          <t>QB43.2 .H37</t>
        </is>
      </c>
      <c r="C160" t="inlineStr">
        <is>
          <t>0                      QB 0043200H  37</t>
        </is>
      </c>
      <c r="D160" t="inlineStr">
        <is>
          <t>Cosmic discovery : the search, scope, and heritage of astronomy / Martin Harwit.</t>
        </is>
      </c>
      <c r="F160" t="inlineStr">
        <is>
          <t>No</t>
        </is>
      </c>
      <c r="G160" t="inlineStr">
        <is>
          <t>1</t>
        </is>
      </c>
      <c r="H160" t="inlineStr">
        <is>
          <t>No</t>
        </is>
      </c>
      <c r="I160" t="inlineStr">
        <is>
          <t>No</t>
        </is>
      </c>
      <c r="J160" t="inlineStr">
        <is>
          <t>0</t>
        </is>
      </c>
      <c r="K160" t="inlineStr">
        <is>
          <t>Harwit, Martin, 1931-</t>
        </is>
      </c>
      <c r="L160" t="inlineStr">
        <is>
          <t>New York : Basic Books, c1981.</t>
        </is>
      </c>
      <c r="M160" t="inlineStr">
        <is>
          <t>1981</t>
        </is>
      </c>
      <c r="O160" t="inlineStr">
        <is>
          <t>eng</t>
        </is>
      </c>
      <c r="P160" t="inlineStr">
        <is>
          <t>nyu</t>
        </is>
      </c>
      <c r="R160" t="inlineStr">
        <is>
          <t xml:space="preserve">QB </t>
        </is>
      </c>
      <c r="S160" t="n">
        <v>2</v>
      </c>
      <c r="T160" t="n">
        <v>2</v>
      </c>
      <c r="U160" t="inlineStr">
        <is>
          <t>1996-11-10</t>
        </is>
      </c>
      <c r="V160" t="inlineStr">
        <is>
          <t>1996-11-10</t>
        </is>
      </c>
      <c r="W160" t="inlineStr">
        <is>
          <t>1992-11-16</t>
        </is>
      </c>
      <c r="X160" t="inlineStr">
        <is>
          <t>1992-11-16</t>
        </is>
      </c>
      <c r="Y160" t="n">
        <v>524</v>
      </c>
      <c r="Z160" t="n">
        <v>471</v>
      </c>
      <c r="AA160" t="n">
        <v>578</v>
      </c>
      <c r="AB160" t="n">
        <v>3</v>
      </c>
      <c r="AC160" t="n">
        <v>3</v>
      </c>
      <c r="AD160" t="n">
        <v>12</v>
      </c>
      <c r="AE160" t="n">
        <v>14</v>
      </c>
      <c r="AF160" t="n">
        <v>3</v>
      </c>
      <c r="AG160" t="n">
        <v>4</v>
      </c>
      <c r="AH160" t="n">
        <v>4</v>
      </c>
      <c r="AI160" t="n">
        <v>4</v>
      </c>
      <c r="AJ160" t="n">
        <v>5</v>
      </c>
      <c r="AK160" t="n">
        <v>6</v>
      </c>
      <c r="AL160" t="n">
        <v>2</v>
      </c>
      <c r="AM160" t="n">
        <v>2</v>
      </c>
      <c r="AN160" t="n">
        <v>0</v>
      </c>
      <c r="AO160" t="n">
        <v>0</v>
      </c>
      <c r="AP160" t="inlineStr">
        <is>
          <t>No</t>
        </is>
      </c>
      <c r="AQ160" t="inlineStr">
        <is>
          <t>Yes</t>
        </is>
      </c>
      <c r="AR160">
        <f>HYPERLINK("http://catalog.hathitrust.org/Record/000181217","HathiTrust Record")</f>
        <v/>
      </c>
      <c r="AS160">
        <f>HYPERLINK("https://creighton-primo.hosted.exlibrisgroup.com/primo-explore/search?tab=default_tab&amp;search_scope=EVERYTHING&amp;vid=01CRU&amp;lang=en_US&amp;offset=0&amp;query=any,contains,991005098599702656","Catalog Record")</f>
        <v/>
      </c>
      <c r="AT160">
        <f>HYPERLINK("http://www.worldcat.org/oclc/7278089","WorldCat Record")</f>
        <v/>
      </c>
      <c r="AU160" t="inlineStr">
        <is>
          <t>502580207:eng</t>
        </is>
      </c>
      <c r="AV160" t="inlineStr">
        <is>
          <t>7278089</t>
        </is>
      </c>
      <c r="AW160" t="inlineStr">
        <is>
          <t>991005098599702656</t>
        </is>
      </c>
      <c r="AX160" t="inlineStr">
        <is>
          <t>991005098599702656</t>
        </is>
      </c>
      <c r="AY160" t="inlineStr">
        <is>
          <t>2263093580002656</t>
        </is>
      </c>
      <c r="AZ160" t="inlineStr">
        <is>
          <t>BOOK</t>
        </is>
      </c>
      <c r="BB160" t="inlineStr">
        <is>
          <t>9780465014286</t>
        </is>
      </c>
      <c r="BC160" t="inlineStr">
        <is>
          <t>32285001431278</t>
        </is>
      </c>
      <c r="BD160" t="inlineStr">
        <is>
          <t>893613117</t>
        </is>
      </c>
    </row>
    <row r="161">
      <c r="A161" t="inlineStr">
        <is>
          <t>No</t>
        </is>
      </c>
      <c r="B161" t="inlineStr">
        <is>
          <t>QB43.2 .H7</t>
        </is>
      </c>
      <c r="C161" t="inlineStr">
        <is>
          <t>0                      QB 0043200H  7</t>
        </is>
      </c>
      <c r="D161" t="inlineStr">
        <is>
          <t>The physics-astronomy frontier / Fred Hoyle, Jayant Narlikar ; John Faulkner, editoral consultant ; [artists, Evan Gillespie and John and Jean Foster].</t>
        </is>
      </c>
      <c r="F161" t="inlineStr">
        <is>
          <t>No</t>
        </is>
      </c>
      <c r="G161" t="inlineStr">
        <is>
          <t>1</t>
        </is>
      </c>
      <c r="H161" t="inlineStr">
        <is>
          <t>No</t>
        </is>
      </c>
      <c r="I161" t="inlineStr">
        <is>
          <t>No</t>
        </is>
      </c>
      <c r="J161" t="inlineStr">
        <is>
          <t>0</t>
        </is>
      </c>
      <c r="K161" t="inlineStr">
        <is>
          <t>Hoyle, Fred, 1915-2001.</t>
        </is>
      </c>
      <c r="L161" t="inlineStr">
        <is>
          <t>San Francisco : W. H. Freeman, c1980.</t>
        </is>
      </c>
      <c r="M161" t="inlineStr">
        <is>
          <t>1980</t>
        </is>
      </c>
      <c r="O161" t="inlineStr">
        <is>
          <t>eng</t>
        </is>
      </c>
      <c r="P161" t="inlineStr">
        <is>
          <t>cau</t>
        </is>
      </c>
      <c r="R161" t="inlineStr">
        <is>
          <t xml:space="preserve">QB </t>
        </is>
      </c>
      <c r="S161" t="n">
        <v>7</v>
      </c>
      <c r="T161" t="n">
        <v>7</v>
      </c>
      <c r="U161" t="inlineStr">
        <is>
          <t>1996-03-31</t>
        </is>
      </c>
      <c r="V161" t="inlineStr">
        <is>
          <t>1996-03-31</t>
        </is>
      </c>
      <c r="W161" t="inlineStr">
        <is>
          <t>1992-11-16</t>
        </is>
      </c>
      <c r="X161" t="inlineStr">
        <is>
          <t>1992-11-16</t>
        </is>
      </c>
      <c r="Y161" t="n">
        <v>485</v>
      </c>
      <c r="Z161" t="n">
        <v>352</v>
      </c>
      <c r="AA161" t="n">
        <v>354</v>
      </c>
      <c r="AB161" t="n">
        <v>1</v>
      </c>
      <c r="AC161" t="n">
        <v>1</v>
      </c>
      <c r="AD161" t="n">
        <v>10</v>
      </c>
      <c r="AE161" t="n">
        <v>10</v>
      </c>
      <c r="AF161" t="n">
        <v>4</v>
      </c>
      <c r="AG161" t="n">
        <v>4</v>
      </c>
      <c r="AH161" t="n">
        <v>3</v>
      </c>
      <c r="AI161" t="n">
        <v>3</v>
      </c>
      <c r="AJ161" t="n">
        <v>7</v>
      </c>
      <c r="AK161" t="n">
        <v>7</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HYPERLINK("https://creighton-primo.hosted.exlibrisgroup.com/primo-explore/search?tab=default_tab&amp;search_scope=EVERYTHING&amp;vid=01CRU&amp;lang=en_US&amp;offset=0&amp;query=any,contains,991004925859702656","Catalog Record")</f>
        <v/>
      </c>
      <c r="AT161">
        <f>HYPERLINK("http://www.worldcat.org/oclc/6085857","WorldCat Record")</f>
        <v/>
      </c>
      <c r="AU161" t="inlineStr">
        <is>
          <t>9349464570:eng</t>
        </is>
      </c>
      <c r="AV161" t="inlineStr">
        <is>
          <t>6085857</t>
        </is>
      </c>
      <c r="AW161" t="inlineStr">
        <is>
          <t>991004925859702656</t>
        </is>
      </c>
      <c r="AX161" t="inlineStr">
        <is>
          <t>991004925859702656</t>
        </is>
      </c>
      <c r="AY161" t="inlineStr">
        <is>
          <t>2261009530002656</t>
        </is>
      </c>
      <c r="AZ161" t="inlineStr">
        <is>
          <t>BOOK</t>
        </is>
      </c>
      <c r="BB161" t="inlineStr">
        <is>
          <t>9780716711605</t>
        </is>
      </c>
      <c r="BC161" t="inlineStr">
        <is>
          <t>32285001431286</t>
        </is>
      </c>
      <c r="BD161" t="inlineStr">
        <is>
          <t>893436909</t>
        </is>
      </c>
    </row>
    <row r="162">
      <c r="A162" t="inlineStr">
        <is>
          <t>No</t>
        </is>
      </c>
      <c r="B162" t="inlineStr">
        <is>
          <t>QB43.2 .J43</t>
        </is>
      </c>
      <c r="C162" t="inlineStr">
        <is>
          <t>0                      QB 0043200J  43</t>
        </is>
      </c>
      <c r="D162" t="inlineStr">
        <is>
          <t>Discovering astronomy / William H. Jefferys, R. Robert Robbins.</t>
        </is>
      </c>
      <c r="F162" t="inlineStr">
        <is>
          <t>No</t>
        </is>
      </c>
      <c r="G162" t="inlineStr">
        <is>
          <t>1</t>
        </is>
      </c>
      <c r="H162" t="inlineStr">
        <is>
          <t>No</t>
        </is>
      </c>
      <c r="I162" t="inlineStr">
        <is>
          <t>No</t>
        </is>
      </c>
      <c r="J162" t="inlineStr">
        <is>
          <t>0</t>
        </is>
      </c>
      <c r="K162" t="inlineStr">
        <is>
          <t>Jefferys, William H.</t>
        </is>
      </c>
      <c r="L162" t="inlineStr">
        <is>
          <t>New York : Wiley, c1981.</t>
        </is>
      </c>
      <c r="M162" t="inlineStr">
        <is>
          <t>1981</t>
        </is>
      </c>
      <c r="O162" t="inlineStr">
        <is>
          <t>eng</t>
        </is>
      </c>
      <c r="P162" t="inlineStr">
        <is>
          <t>nyu</t>
        </is>
      </c>
      <c r="R162" t="inlineStr">
        <is>
          <t xml:space="preserve">QB </t>
        </is>
      </c>
      <c r="S162" t="n">
        <v>4</v>
      </c>
      <c r="T162" t="n">
        <v>4</v>
      </c>
      <c r="U162" t="inlineStr">
        <is>
          <t>1997-02-11</t>
        </is>
      </c>
      <c r="V162" t="inlineStr">
        <is>
          <t>1997-02-11</t>
        </is>
      </c>
      <c r="W162" t="inlineStr">
        <is>
          <t>1992-11-16</t>
        </is>
      </c>
      <c r="X162" t="inlineStr">
        <is>
          <t>1992-11-16</t>
        </is>
      </c>
      <c r="Y162" t="n">
        <v>143</v>
      </c>
      <c r="Z162" t="n">
        <v>104</v>
      </c>
      <c r="AA162" t="n">
        <v>249</v>
      </c>
      <c r="AB162" t="n">
        <v>1</v>
      </c>
      <c r="AC162" t="n">
        <v>2</v>
      </c>
      <c r="AD162" t="n">
        <v>1</v>
      </c>
      <c r="AE162" t="n">
        <v>6</v>
      </c>
      <c r="AF162" t="n">
        <v>1</v>
      </c>
      <c r="AG162" t="n">
        <v>2</v>
      </c>
      <c r="AH162" t="n">
        <v>0</v>
      </c>
      <c r="AI162" t="n">
        <v>2</v>
      </c>
      <c r="AJ162" t="n">
        <v>0</v>
      </c>
      <c r="AK162" t="n">
        <v>3</v>
      </c>
      <c r="AL162" t="n">
        <v>0</v>
      </c>
      <c r="AM162" t="n">
        <v>1</v>
      </c>
      <c r="AN162" t="n">
        <v>0</v>
      </c>
      <c r="AO162" t="n">
        <v>0</v>
      </c>
      <c r="AP162" t="inlineStr">
        <is>
          <t>No</t>
        </is>
      </c>
      <c r="AQ162" t="inlineStr">
        <is>
          <t>Yes</t>
        </is>
      </c>
      <c r="AR162">
        <f>HYPERLINK("http://catalog.hathitrust.org/Record/000180744","HathiTrust Record")</f>
        <v/>
      </c>
      <c r="AS162">
        <f>HYPERLINK("https://creighton-primo.hosted.exlibrisgroup.com/primo-explore/search?tab=default_tab&amp;search_scope=EVERYTHING&amp;vid=01CRU&amp;lang=en_US&amp;offset=0&amp;query=any,contains,991005036529702656","Catalog Record")</f>
        <v/>
      </c>
      <c r="AT162">
        <f>HYPERLINK("http://www.worldcat.org/oclc/6762067","WorldCat Record")</f>
        <v/>
      </c>
      <c r="AU162" t="inlineStr">
        <is>
          <t>11000655:eng</t>
        </is>
      </c>
      <c r="AV162" t="inlineStr">
        <is>
          <t>6762067</t>
        </is>
      </c>
      <c r="AW162" t="inlineStr">
        <is>
          <t>991005036529702656</t>
        </is>
      </c>
      <c r="AX162" t="inlineStr">
        <is>
          <t>991005036529702656</t>
        </is>
      </c>
      <c r="AY162" t="inlineStr">
        <is>
          <t>2258401280002656</t>
        </is>
      </c>
      <c r="AZ162" t="inlineStr">
        <is>
          <t>BOOK</t>
        </is>
      </c>
      <c r="BB162" t="inlineStr">
        <is>
          <t>9780471441250</t>
        </is>
      </c>
      <c r="BC162" t="inlineStr">
        <is>
          <t>32285001431294</t>
        </is>
      </c>
      <c r="BD162" t="inlineStr">
        <is>
          <t>893507516</t>
        </is>
      </c>
    </row>
    <row r="163">
      <c r="A163" t="inlineStr">
        <is>
          <t>No</t>
        </is>
      </c>
      <c r="B163" t="inlineStr">
        <is>
          <t>QB43.2 .K555 1995</t>
        </is>
      </c>
      <c r="C163" t="inlineStr">
        <is>
          <t>0                      QB 0043200K  555         1995</t>
        </is>
      </c>
      <c r="D163" t="inlineStr">
        <is>
          <t>Telescopes and techniques : an introduction to practical astronomy / C.R. Kitchin.</t>
        </is>
      </c>
      <c r="F163" t="inlineStr">
        <is>
          <t>No</t>
        </is>
      </c>
      <c r="G163" t="inlineStr">
        <is>
          <t>1</t>
        </is>
      </c>
      <c r="H163" t="inlineStr">
        <is>
          <t>No</t>
        </is>
      </c>
      <c r="I163" t="inlineStr">
        <is>
          <t>No</t>
        </is>
      </c>
      <c r="J163" t="inlineStr">
        <is>
          <t>0</t>
        </is>
      </c>
      <c r="K163" t="inlineStr">
        <is>
          <t>Kitchin, C. R. (Christopher R.)</t>
        </is>
      </c>
      <c r="L163" t="inlineStr">
        <is>
          <t>London ; New York : Springer, c1995.</t>
        </is>
      </c>
      <c r="M163" t="inlineStr">
        <is>
          <t>1995</t>
        </is>
      </c>
      <c r="O163" t="inlineStr">
        <is>
          <t>eng</t>
        </is>
      </c>
      <c r="P163" t="inlineStr">
        <is>
          <t>enk</t>
        </is>
      </c>
      <c r="Q163" t="inlineStr">
        <is>
          <t>Practical astronomy</t>
        </is>
      </c>
      <c r="R163" t="inlineStr">
        <is>
          <t xml:space="preserve">QB </t>
        </is>
      </c>
      <c r="S163" t="n">
        <v>1</v>
      </c>
      <c r="T163" t="n">
        <v>1</v>
      </c>
      <c r="U163" t="inlineStr">
        <is>
          <t>2009-01-13</t>
        </is>
      </c>
      <c r="V163" t="inlineStr">
        <is>
          <t>2009-01-13</t>
        </is>
      </c>
      <c r="W163" t="inlineStr">
        <is>
          <t>2009-01-13</t>
        </is>
      </c>
      <c r="X163" t="inlineStr">
        <is>
          <t>2009-01-13</t>
        </is>
      </c>
      <c r="Y163" t="n">
        <v>286</v>
      </c>
      <c r="Z163" t="n">
        <v>206</v>
      </c>
      <c r="AA163" t="n">
        <v>304</v>
      </c>
      <c r="AB163" t="n">
        <v>2</v>
      </c>
      <c r="AC163" t="n">
        <v>3</v>
      </c>
      <c r="AD163" t="n">
        <v>5</v>
      </c>
      <c r="AE163" t="n">
        <v>11</v>
      </c>
      <c r="AF163" t="n">
        <v>0</v>
      </c>
      <c r="AG163" t="n">
        <v>3</v>
      </c>
      <c r="AH163" t="n">
        <v>1</v>
      </c>
      <c r="AI163" t="n">
        <v>2</v>
      </c>
      <c r="AJ163" t="n">
        <v>4</v>
      </c>
      <c r="AK163" t="n">
        <v>8</v>
      </c>
      <c r="AL163" t="n">
        <v>1</v>
      </c>
      <c r="AM163" t="n">
        <v>2</v>
      </c>
      <c r="AN163" t="n">
        <v>0</v>
      </c>
      <c r="AO163" t="n">
        <v>0</v>
      </c>
      <c r="AP163" t="inlineStr">
        <is>
          <t>No</t>
        </is>
      </c>
      <c r="AQ163" t="inlineStr">
        <is>
          <t>Yes</t>
        </is>
      </c>
      <c r="AR163">
        <f>HYPERLINK("http://catalog.hathitrust.org/Record/003039818","HathiTrust Record")</f>
        <v/>
      </c>
      <c r="AS163">
        <f>HYPERLINK("https://creighton-primo.hosted.exlibrisgroup.com/primo-explore/search?tab=default_tab&amp;search_scope=EVERYTHING&amp;vid=01CRU&amp;lang=en_US&amp;offset=0&amp;query=any,contains,991005289939702656","Catalog Record")</f>
        <v/>
      </c>
      <c r="AT163">
        <f>HYPERLINK("http://www.worldcat.org/oclc/32201546","WorldCat Record")</f>
        <v/>
      </c>
      <c r="AU163" t="inlineStr">
        <is>
          <t>4926303752:eng</t>
        </is>
      </c>
      <c r="AV163" t="inlineStr">
        <is>
          <t>32201546</t>
        </is>
      </c>
      <c r="AW163" t="inlineStr">
        <is>
          <t>991005289939702656</t>
        </is>
      </c>
      <c r="AX163" t="inlineStr">
        <is>
          <t>991005289939702656</t>
        </is>
      </c>
      <c r="AY163" t="inlineStr">
        <is>
          <t>2271927770002656</t>
        </is>
      </c>
      <c r="AZ163" t="inlineStr">
        <is>
          <t>BOOK</t>
        </is>
      </c>
      <c r="BB163" t="inlineStr">
        <is>
          <t>9780387198989</t>
        </is>
      </c>
      <c r="BC163" t="inlineStr">
        <is>
          <t>32285005477657</t>
        </is>
      </c>
      <c r="BD163" t="inlineStr">
        <is>
          <t>893514395</t>
        </is>
      </c>
    </row>
    <row r="164">
      <c r="A164" t="inlineStr">
        <is>
          <t>No</t>
        </is>
      </c>
      <c r="B164" t="inlineStr">
        <is>
          <t>QB43.2 .M58 1986</t>
        </is>
      </c>
      <c r="C164" t="inlineStr">
        <is>
          <t>0                      QB 0043200M  58          1986</t>
        </is>
      </c>
      <c r="D164" t="inlineStr">
        <is>
          <t>Invitation to astronomy / Simon and Jacqueline Mitton.</t>
        </is>
      </c>
      <c r="F164" t="inlineStr">
        <is>
          <t>No</t>
        </is>
      </c>
      <c r="G164" t="inlineStr">
        <is>
          <t>1</t>
        </is>
      </c>
      <c r="H164" t="inlineStr">
        <is>
          <t>No</t>
        </is>
      </c>
      <c r="I164" t="inlineStr">
        <is>
          <t>No</t>
        </is>
      </c>
      <c r="J164" t="inlineStr">
        <is>
          <t>0</t>
        </is>
      </c>
      <c r="K164" t="inlineStr">
        <is>
          <t>Mitton, Simon, 1946-</t>
        </is>
      </c>
      <c r="L164" t="inlineStr">
        <is>
          <t>Oxford [Oxfordshire] ; New York, NY : Blackwell, 1986.</t>
        </is>
      </c>
      <c r="M164" t="inlineStr">
        <is>
          <t>1986</t>
        </is>
      </c>
      <c r="O164" t="inlineStr">
        <is>
          <t>eng</t>
        </is>
      </c>
      <c r="P164" t="inlineStr">
        <is>
          <t>enk</t>
        </is>
      </c>
      <c r="Q164" t="inlineStr">
        <is>
          <t>Invitation series</t>
        </is>
      </c>
      <c r="R164" t="inlineStr">
        <is>
          <t xml:space="preserve">QB </t>
        </is>
      </c>
      <c r="S164" t="n">
        <v>1</v>
      </c>
      <c r="T164" t="n">
        <v>1</v>
      </c>
      <c r="U164" t="inlineStr">
        <is>
          <t>1995-11-13</t>
        </is>
      </c>
      <c r="V164" t="inlineStr">
        <is>
          <t>1995-11-13</t>
        </is>
      </c>
      <c r="W164" t="inlineStr">
        <is>
          <t>1992-11-16</t>
        </is>
      </c>
      <c r="X164" t="inlineStr">
        <is>
          <t>1992-11-16</t>
        </is>
      </c>
      <c r="Y164" t="n">
        <v>257</v>
      </c>
      <c r="Z164" t="n">
        <v>217</v>
      </c>
      <c r="AA164" t="n">
        <v>223</v>
      </c>
      <c r="AB164" t="n">
        <v>2</v>
      </c>
      <c r="AC164" t="n">
        <v>2</v>
      </c>
      <c r="AD164" t="n">
        <v>4</v>
      </c>
      <c r="AE164" t="n">
        <v>4</v>
      </c>
      <c r="AF164" t="n">
        <v>1</v>
      </c>
      <c r="AG164" t="n">
        <v>1</v>
      </c>
      <c r="AH164" t="n">
        <v>1</v>
      </c>
      <c r="AI164" t="n">
        <v>1</v>
      </c>
      <c r="AJ164" t="n">
        <v>3</v>
      </c>
      <c r="AK164" t="n">
        <v>3</v>
      </c>
      <c r="AL164" t="n">
        <v>1</v>
      </c>
      <c r="AM164" t="n">
        <v>1</v>
      </c>
      <c r="AN164" t="n">
        <v>0</v>
      </c>
      <c r="AO164" t="n">
        <v>0</v>
      </c>
      <c r="AP164" t="inlineStr">
        <is>
          <t>No</t>
        </is>
      </c>
      <c r="AQ164" t="inlineStr">
        <is>
          <t>Yes</t>
        </is>
      </c>
      <c r="AR164">
        <f>HYPERLINK("http://catalog.hathitrust.org/Record/000478516","HathiTrust Record")</f>
        <v/>
      </c>
      <c r="AS164">
        <f>HYPERLINK("https://creighton-primo.hosted.exlibrisgroup.com/primo-explore/search?tab=default_tab&amp;search_scope=EVERYTHING&amp;vid=01CRU&amp;lang=en_US&amp;offset=0&amp;query=any,contains,991000668949702656","Catalog Record")</f>
        <v/>
      </c>
      <c r="AT164">
        <f>HYPERLINK("http://www.worldcat.org/oclc/12312518","WorldCat Record")</f>
        <v/>
      </c>
      <c r="AU164" t="inlineStr">
        <is>
          <t>4937389:eng</t>
        </is>
      </c>
      <c r="AV164" t="inlineStr">
        <is>
          <t>12312518</t>
        </is>
      </c>
      <c r="AW164" t="inlineStr">
        <is>
          <t>991000668949702656</t>
        </is>
      </c>
      <c r="AX164" t="inlineStr">
        <is>
          <t>991000668949702656</t>
        </is>
      </c>
      <c r="AY164" t="inlineStr">
        <is>
          <t>2272221460002656</t>
        </is>
      </c>
      <c r="AZ164" t="inlineStr">
        <is>
          <t>BOOK</t>
        </is>
      </c>
      <c r="BB164" t="inlineStr">
        <is>
          <t>9780631146957</t>
        </is>
      </c>
      <c r="BC164" t="inlineStr">
        <is>
          <t>32285001431310</t>
        </is>
      </c>
      <c r="BD164" t="inlineStr">
        <is>
          <t>893808778</t>
        </is>
      </c>
    </row>
    <row r="165">
      <c r="A165" t="inlineStr">
        <is>
          <t>No</t>
        </is>
      </c>
      <c r="B165" t="inlineStr">
        <is>
          <t>QB43.2 .N53 1999</t>
        </is>
      </c>
      <c r="C165" t="inlineStr">
        <is>
          <t>0                      QB 0043200N  53          1999</t>
        </is>
      </c>
      <c r="D165" t="inlineStr">
        <is>
          <t>Unfolding our universe / Iain Nicolson ; original illustrations by Mark McLellan.</t>
        </is>
      </c>
      <c r="F165" t="inlineStr">
        <is>
          <t>No</t>
        </is>
      </c>
      <c r="G165" t="inlineStr">
        <is>
          <t>1</t>
        </is>
      </c>
      <c r="H165" t="inlineStr">
        <is>
          <t>No</t>
        </is>
      </c>
      <c r="I165" t="inlineStr">
        <is>
          <t>No</t>
        </is>
      </c>
      <c r="J165" t="inlineStr">
        <is>
          <t>0</t>
        </is>
      </c>
      <c r="K165" t="inlineStr">
        <is>
          <t>Nicolson, Iain.</t>
        </is>
      </c>
      <c r="L165" t="inlineStr">
        <is>
          <t>Cambridge ; New York : Cambridge University Press, 1999.</t>
        </is>
      </c>
      <c r="M165" t="inlineStr">
        <is>
          <t>1999</t>
        </is>
      </c>
      <c r="O165" t="inlineStr">
        <is>
          <t>eng</t>
        </is>
      </c>
      <c r="P165" t="inlineStr">
        <is>
          <t>enk</t>
        </is>
      </c>
      <c r="R165" t="inlineStr">
        <is>
          <t xml:space="preserve">QB </t>
        </is>
      </c>
      <c r="S165" t="n">
        <v>2</v>
      </c>
      <c r="T165" t="n">
        <v>2</v>
      </c>
      <c r="U165" t="inlineStr">
        <is>
          <t>2001-09-17</t>
        </is>
      </c>
      <c r="V165" t="inlineStr">
        <is>
          <t>2001-09-17</t>
        </is>
      </c>
      <c r="W165" t="inlineStr">
        <is>
          <t>2000-07-06</t>
        </is>
      </c>
      <c r="X165" t="inlineStr">
        <is>
          <t>2000-07-06</t>
        </is>
      </c>
      <c r="Y165" t="n">
        <v>797</v>
      </c>
      <c r="Z165" t="n">
        <v>692</v>
      </c>
      <c r="AA165" t="n">
        <v>707</v>
      </c>
      <c r="AB165" t="n">
        <v>3</v>
      </c>
      <c r="AC165" t="n">
        <v>3</v>
      </c>
      <c r="AD165" t="n">
        <v>25</v>
      </c>
      <c r="AE165" t="n">
        <v>25</v>
      </c>
      <c r="AF165" t="n">
        <v>10</v>
      </c>
      <c r="AG165" t="n">
        <v>10</v>
      </c>
      <c r="AH165" t="n">
        <v>7</v>
      </c>
      <c r="AI165" t="n">
        <v>7</v>
      </c>
      <c r="AJ165" t="n">
        <v>12</v>
      </c>
      <c r="AK165" t="n">
        <v>12</v>
      </c>
      <c r="AL165" t="n">
        <v>2</v>
      </c>
      <c r="AM165" t="n">
        <v>2</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HYPERLINK("https://creighton-primo.hosted.exlibrisgroup.com/primo-explore/search?tab=default_tab&amp;search_scope=EVERYTHING&amp;vid=01CRU&amp;lang=en_US&amp;offset=0&amp;query=any,contains,991003199649702656","Catalog Record")</f>
        <v/>
      </c>
      <c r="AT165">
        <f>HYPERLINK("http://www.worldcat.org/oclc/40668303","WorldCat Record")</f>
        <v/>
      </c>
      <c r="AU165" t="inlineStr">
        <is>
          <t>13634107:eng</t>
        </is>
      </c>
      <c r="AV165" t="inlineStr">
        <is>
          <t>40668303</t>
        </is>
      </c>
      <c r="AW165" t="inlineStr">
        <is>
          <t>991003199649702656</t>
        </is>
      </c>
      <c r="AX165" t="inlineStr">
        <is>
          <t>991003199649702656</t>
        </is>
      </c>
      <c r="AY165" t="inlineStr">
        <is>
          <t>2254989970002656</t>
        </is>
      </c>
      <c r="AZ165" t="inlineStr">
        <is>
          <t>BOOK</t>
        </is>
      </c>
      <c r="BB165" t="inlineStr">
        <is>
          <t>9780521592703</t>
        </is>
      </c>
      <c r="BC165" t="inlineStr">
        <is>
          <t>32285003686986</t>
        </is>
      </c>
      <c r="BD165" t="inlineStr">
        <is>
          <t>893422275</t>
        </is>
      </c>
    </row>
    <row r="166">
      <c r="A166" t="inlineStr">
        <is>
          <t>No</t>
        </is>
      </c>
      <c r="B166" t="inlineStr">
        <is>
          <t>QB43.2 .P33 1996</t>
        </is>
      </c>
      <c r="C166" t="inlineStr">
        <is>
          <t>0                      QB 0043200P  33          1996</t>
        </is>
      </c>
      <c r="D166" t="inlineStr">
        <is>
          <t>Chaos in the cosmos : the stunning complexity of the universe / Barry Parker.</t>
        </is>
      </c>
      <c r="F166" t="inlineStr">
        <is>
          <t>No</t>
        </is>
      </c>
      <c r="G166" t="inlineStr">
        <is>
          <t>1</t>
        </is>
      </c>
      <c r="H166" t="inlineStr">
        <is>
          <t>No</t>
        </is>
      </c>
      <c r="I166" t="inlineStr">
        <is>
          <t>No</t>
        </is>
      </c>
      <c r="J166" t="inlineStr">
        <is>
          <t>0</t>
        </is>
      </c>
      <c r="K166" t="inlineStr">
        <is>
          <t>Parker, Barry R.</t>
        </is>
      </c>
      <c r="L166" t="inlineStr">
        <is>
          <t>New York : Plenum Press, c1996.</t>
        </is>
      </c>
      <c r="M166" t="inlineStr">
        <is>
          <t>1996</t>
        </is>
      </c>
      <c r="O166" t="inlineStr">
        <is>
          <t>eng</t>
        </is>
      </c>
      <c r="P166" t="inlineStr">
        <is>
          <t>nyu</t>
        </is>
      </c>
      <c r="R166" t="inlineStr">
        <is>
          <t xml:space="preserve">QB </t>
        </is>
      </c>
      <c r="S166" t="n">
        <v>5</v>
      </c>
      <c r="T166" t="n">
        <v>5</v>
      </c>
      <c r="U166" t="inlineStr">
        <is>
          <t>1997-08-26</t>
        </is>
      </c>
      <c r="V166" t="inlineStr">
        <is>
          <t>1997-08-26</t>
        </is>
      </c>
      <c r="W166" t="inlineStr">
        <is>
          <t>1996-12-02</t>
        </is>
      </c>
      <c r="X166" t="inlineStr">
        <is>
          <t>1996-12-02</t>
        </is>
      </c>
      <c r="Y166" t="n">
        <v>859</v>
      </c>
      <c r="Z166" t="n">
        <v>788</v>
      </c>
      <c r="AA166" t="n">
        <v>850</v>
      </c>
      <c r="AB166" t="n">
        <v>7</v>
      </c>
      <c r="AC166" t="n">
        <v>7</v>
      </c>
      <c r="AD166" t="n">
        <v>28</v>
      </c>
      <c r="AE166" t="n">
        <v>28</v>
      </c>
      <c r="AF166" t="n">
        <v>10</v>
      </c>
      <c r="AG166" t="n">
        <v>10</v>
      </c>
      <c r="AH166" t="n">
        <v>5</v>
      </c>
      <c r="AI166" t="n">
        <v>5</v>
      </c>
      <c r="AJ166" t="n">
        <v>15</v>
      </c>
      <c r="AK166" t="n">
        <v>15</v>
      </c>
      <c r="AL166" t="n">
        <v>5</v>
      </c>
      <c r="AM166" t="n">
        <v>5</v>
      </c>
      <c r="AN166" t="n">
        <v>0</v>
      </c>
      <c r="AO166" t="n">
        <v>0</v>
      </c>
      <c r="AP166" t="inlineStr">
        <is>
          <t>No</t>
        </is>
      </c>
      <c r="AQ166" t="inlineStr">
        <is>
          <t>Yes</t>
        </is>
      </c>
      <c r="AR166">
        <f>HYPERLINK("http://catalog.hathitrust.org/Record/003057358","HathiTrust Record")</f>
        <v/>
      </c>
      <c r="AS166">
        <f>HYPERLINK("https://creighton-primo.hosted.exlibrisgroup.com/primo-explore/search?tab=default_tab&amp;search_scope=EVERYTHING&amp;vid=01CRU&amp;lang=en_US&amp;offset=0&amp;query=any,contains,991002608079702656","Catalog Record")</f>
        <v/>
      </c>
      <c r="AT166">
        <f>HYPERLINK("http://www.worldcat.org/oclc/34151612","WorldCat Record")</f>
        <v/>
      </c>
      <c r="AU166" t="inlineStr">
        <is>
          <t>797238256:eng</t>
        </is>
      </c>
      <c r="AV166" t="inlineStr">
        <is>
          <t>34151612</t>
        </is>
      </c>
      <c r="AW166" t="inlineStr">
        <is>
          <t>991002608079702656</t>
        </is>
      </c>
      <c r="AX166" t="inlineStr">
        <is>
          <t>991002608079702656</t>
        </is>
      </c>
      <c r="AY166" t="inlineStr">
        <is>
          <t>2260591160002656</t>
        </is>
      </c>
      <c r="AZ166" t="inlineStr">
        <is>
          <t>BOOK</t>
        </is>
      </c>
      <c r="BB166" t="inlineStr">
        <is>
          <t>9780306452611</t>
        </is>
      </c>
      <c r="BC166" t="inlineStr">
        <is>
          <t>32285002387289</t>
        </is>
      </c>
      <c r="BD166" t="inlineStr">
        <is>
          <t>893616324</t>
        </is>
      </c>
    </row>
    <row r="167">
      <c r="A167" t="inlineStr">
        <is>
          <t>No</t>
        </is>
      </c>
      <c r="B167" t="inlineStr">
        <is>
          <t>QB43.2 .S54 1982</t>
        </is>
      </c>
      <c r="C167" t="inlineStr">
        <is>
          <t>0                      QB 0043200S  54          1982</t>
        </is>
      </c>
      <c r="D167" t="inlineStr">
        <is>
          <t>The physical universe : an introduction to astronomy / Frank H. Shu.</t>
        </is>
      </c>
      <c r="F167" t="inlineStr">
        <is>
          <t>No</t>
        </is>
      </c>
      <c r="G167" t="inlineStr">
        <is>
          <t>1</t>
        </is>
      </c>
      <c r="H167" t="inlineStr">
        <is>
          <t>No</t>
        </is>
      </c>
      <c r="I167" t="inlineStr">
        <is>
          <t>No</t>
        </is>
      </c>
      <c r="J167" t="inlineStr">
        <is>
          <t>0</t>
        </is>
      </c>
      <c r="K167" t="inlineStr">
        <is>
          <t>Shu, Frank H.</t>
        </is>
      </c>
      <c r="L167" t="inlineStr">
        <is>
          <t>Mill Valley, Calif. : University Science Books, c1982.</t>
        </is>
      </c>
      <c r="M167" t="inlineStr">
        <is>
          <t>1982</t>
        </is>
      </c>
      <c r="O167" t="inlineStr">
        <is>
          <t>eng</t>
        </is>
      </c>
      <c r="P167" t="inlineStr">
        <is>
          <t>cau</t>
        </is>
      </c>
      <c r="Q167" t="inlineStr">
        <is>
          <t>A Series of books in astronomy</t>
        </is>
      </c>
      <c r="R167" t="inlineStr">
        <is>
          <t xml:space="preserve">QB </t>
        </is>
      </c>
      <c r="S167" t="n">
        <v>3</v>
      </c>
      <c r="T167" t="n">
        <v>3</v>
      </c>
      <c r="U167" t="inlineStr">
        <is>
          <t>2005-05-01</t>
        </is>
      </c>
      <c r="V167" t="inlineStr">
        <is>
          <t>2005-05-01</t>
        </is>
      </c>
      <c r="W167" t="inlineStr">
        <is>
          <t>1992-11-16</t>
        </is>
      </c>
      <c r="X167" t="inlineStr">
        <is>
          <t>1992-11-16</t>
        </is>
      </c>
      <c r="Y167" t="n">
        <v>623</v>
      </c>
      <c r="Z167" t="n">
        <v>456</v>
      </c>
      <c r="AA167" t="n">
        <v>463</v>
      </c>
      <c r="AB167" t="n">
        <v>1</v>
      </c>
      <c r="AC167" t="n">
        <v>1</v>
      </c>
      <c r="AD167" t="n">
        <v>16</v>
      </c>
      <c r="AE167" t="n">
        <v>16</v>
      </c>
      <c r="AF167" t="n">
        <v>7</v>
      </c>
      <c r="AG167" t="n">
        <v>7</v>
      </c>
      <c r="AH167" t="n">
        <v>3</v>
      </c>
      <c r="AI167" t="n">
        <v>3</v>
      </c>
      <c r="AJ167" t="n">
        <v>11</v>
      </c>
      <c r="AK167" t="n">
        <v>11</v>
      </c>
      <c r="AL167" t="n">
        <v>0</v>
      </c>
      <c r="AM167" t="n">
        <v>0</v>
      </c>
      <c r="AN167" t="n">
        <v>0</v>
      </c>
      <c r="AO167" t="n">
        <v>0</v>
      </c>
      <c r="AP167" t="inlineStr">
        <is>
          <t>No</t>
        </is>
      </c>
      <c r="AQ167" t="inlineStr">
        <is>
          <t>Yes</t>
        </is>
      </c>
      <c r="AR167">
        <f>HYPERLINK("http://catalog.hathitrust.org/Record/000187957","HathiTrust Record")</f>
        <v/>
      </c>
      <c r="AS167">
        <f>HYPERLINK("https://creighton-primo.hosted.exlibrisgroup.com/primo-explore/search?tab=default_tab&amp;search_scope=EVERYTHING&amp;vid=01CRU&amp;lang=en_US&amp;offset=0&amp;query=any,contains,991000074709702656","Catalog Record")</f>
        <v/>
      </c>
      <c r="AT167">
        <f>HYPERLINK("http://www.worldcat.org/oclc/8805302","WorldCat Record")</f>
        <v/>
      </c>
      <c r="AU167" t="inlineStr">
        <is>
          <t>364486578:eng</t>
        </is>
      </c>
      <c r="AV167" t="inlineStr">
        <is>
          <t>8805302</t>
        </is>
      </c>
      <c r="AW167" t="inlineStr">
        <is>
          <t>991000074709702656</t>
        </is>
      </c>
      <c r="AX167" t="inlineStr">
        <is>
          <t>991000074709702656</t>
        </is>
      </c>
      <c r="AY167" t="inlineStr">
        <is>
          <t>2270406500002656</t>
        </is>
      </c>
      <c r="AZ167" t="inlineStr">
        <is>
          <t>BOOK</t>
        </is>
      </c>
      <c r="BB167" t="inlineStr">
        <is>
          <t>9780935702057</t>
        </is>
      </c>
      <c r="BC167" t="inlineStr">
        <is>
          <t>32285001431385</t>
        </is>
      </c>
      <c r="BD167" t="inlineStr">
        <is>
          <t>893595242</t>
        </is>
      </c>
    </row>
    <row r="168">
      <c r="A168" t="inlineStr">
        <is>
          <t>No</t>
        </is>
      </c>
      <c r="B168" t="inlineStr">
        <is>
          <t>QB43.2 .U5713 1991</t>
        </is>
      </c>
      <c r="C168" t="inlineStr">
        <is>
          <t>0                      QB 0043200U  5713        1991</t>
        </is>
      </c>
      <c r="D168" t="inlineStr">
        <is>
          <t>The new cosmos / Albrecht Unsöld, Bodo Baschek ; translated by William D. Brewer.</t>
        </is>
      </c>
      <c r="F168" t="inlineStr">
        <is>
          <t>No</t>
        </is>
      </c>
      <c r="G168" t="inlineStr">
        <is>
          <t>1</t>
        </is>
      </c>
      <c r="H168" t="inlineStr">
        <is>
          <t>No</t>
        </is>
      </c>
      <c r="I168" t="inlineStr">
        <is>
          <t>No</t>
        </is>
      </c>
      <c r="J168" t="inlineStr">
        <is>
          <t>0</t>
        </is>
      </c>
      <c r="K168" t="inlineStr">
        <is>
          <t>Unsöld, Albrecht, 1905-1995.</t>
        </is>
      </c>
      <c r="L168" t="inlineStr">
        <is>
          <t>Berlin ; New York : Springer-Verlag, c1991.</t>
        </is>
      </c>
      <c r="M168" t="inlineStr">
        <is>
          <t>1991</t>
        </is>
      </c>
      <c r="N168" t="inlineStr">
        <is>
          <t>4th completely rev. ed.</t>
        </is>
      </c>
      <c r="O168" t="inlineStr">
        <is>
          <t>eng</t>
        </is>
      </c>
      <c r="P168" t="inlineStr">
        <is>
          <t xml:space="preserve">gw </t>
        </is>
      </c>
      <c r="R168" t="inlineStr">
        <is>
          <t xml:space="preserve">QB </t>
        </is>
      </c>
      <c r="S168" t="n">
        <v>4</v>
      </c>
      <c r="T168" t="n">
        <v>4</v>
      </c>
      <c r="U168" t="inlineStr">
        <is>
          <t>1995-09-25</t>
        </is>
      </c>
      <c r="V168" t="inlineStr">
        <is>
          <t>1995-09-25</t>
        </is>
      </c>
      <c r="W168" t="inlineStr">
        <is>
          <t>1992-11-02</t>
        </is>
      </c>
      <c r="X168" t="inlineStr">
        <is>
          <t>1992-11-02</t>
        </is>
      </c>
      <c r="Y168" t="n">
        <v>258</v>
      </c>
      <c r="Z168" t="n">
        <v>181</v>
      </c>
      <c r="AA168" t="n">
        <v>613</v>
      </c>
      <c r="AB168" t="n">
        <v>2</v>
      </c>
      <c r="AC168" t="n">
        <v>4</v>
      </c>
      <c r="AD168" t="n">
        <v>6</v>
      </c>
      <c r="AE168" t="n">
        <v>27</v>
      </c>
      <c r="AF168" t="n">
        <v>2</v>
      </c>
      <c r="AG168" t="n">
        <v>9</v>
      </c>
      <c r="AH168" t="n">
        <v>1</v>
      </c>
      <c r="AI168" t="n">
        <v>5</v>
      </c>
      <c r="AJ168" t="n">
        <v>4</v>
      </c>
      <c r="AK168" t="n">
        <v>17</v>
      </c>
      <c r="AL168" t="n">
        <v>1</v>
      </c>
      <c r="AM168" t="n">
        <v>3</v>
      </c>
      <c r="AN168" t="n">
        <v>0</v>
      </c>
      <c r="AO168" t="n">
        <v>0</v>
      </c>
      <c r="AP168" t="inlineStr">
        <is>
          <t>No</t>
        </is>
      </c>
      <c r="AQ168" t="inlineStr">
        <is>
          <t>Yes</t>
        </is>
      </c>
      <c r="AR168">
        <f>HYPERLINK("http://catalog.hathitrust.org/Record/002511091","HathiTrust Record")</f>
        <v/>
      </c>
      <c r="AS168">
        <f>HYPERLINK("https://creighton-primo.hosted.exlibrisgroup.com/primo-explore/search?tab=default_tab&amp;search_scope=EVERYTHING&amp;vid=01CRU&amp;lang=en_US&amp;offset=0&amp;query=any,contains,991001915629702656","Catalog Record")</f>
        <v/>
      </c>
      <c r="AT168">
        <f>HYPERLINK("http://www.worldcat.org/oclc/24175016","WorldCat Record")</f>
        <v/>
      </c>
      <c r="AU168" t="inlineStr">
        <is>
          <t>4916418164:eng</t>
        </is>
      </c>
      <c r="AV168" t="inlineStr">
        <is>
          <t>24175016</t>
        </is>
      </c>
      <c r="AW168" t="inlineStr">
        <is>
          <t>991001915629702656</t>
        </is>
      </c>
      <c r="AX168" t="inlineStr">
        <is>
          <t>991001915629702656</t>
        </is>
      </c>
      <c r="AY168" t="inlineStr">
        <is>
          <t>2259051760002656</t>
        </is>
      </c>
      <c r="AZ168" t="inlineStr">
        <is>
          <t>BOOK</t>
        </is>
      </c>
      <c r="BB168" t="inlineStr">
        <is>
          <t>9780387525938</t>
        </is>
      </c>
      <c r="BC168" t="inlineStr">
        <is>
          <t>32285001360212</t>
        </is>
      </c>
      <c r="BD168" t="inlineStr">
        <is>
          <t>893590738</t>
        </is>
      </c>
    </row>
    <row r="169">
      <c r="A169" t="inlineStr">
        <is>
          <t>No</t>
        </is>
      </c>
      <c r="B169" t="inlineStr">
        <is>
          <t>QB43.2 .V35613 1996</t>
        </is>
      </c>
      <c r="C169" t="inlineStr">
        <is>
          <t>0                      QB 0043200V  35613       1996</t>
        </is>
      </c>
      <c r="D169" t="inlineStr">
        <is>
          <t>Unveiling the universe : an introduction to astronomy / J.E. van Zyl.</t>
        </is>
      </c>
      <c r="F169" t="inlineStr">
        <is>
          <t>No</t>
        </is>
      </c>
      <c r="G169" t="inlineStr">
        <is>
          <t>1</t>
        </is>
      </c>
      <c r="H169" t="inlineStr">
        <is>
          <t>No</t>
        </is>
      </c>
      <c r="I169" t="inlineStr">
        <is>
          <t>No</t>
        </is>
      </c>
      <c r="J169" t="inlineStr">
        <is>
          <t>0</t>
        </is>
      </c>
      <c r="K169" t="inlineStr">
        <is>
          <t>Van Zyl, J. E. (Johannes Ebenhaezer), 1913-</t>
        </is>
      </c>
      <c r="L169" t="inlineStr">
        <is>
          <t>London ; New York : Springer, c1996.</t>
        </is>
      </c>
      <c r="M169" t="inlineStr">
        <is>
          <t>1996</t>
        </is>
      </c>
      <c r="O169" t="inlineStr">
        <is>
          <t>eng</t>
        </is>
      </c>
      <c r="P169" t="inlineStr">
        <is>
          <t>enk</t>
        </is>
      </c>
      <c r="R169" t="inlineStr">
        <is>
          <t xml:space="preserve">QB </t>
        </is>
      </c>
      <c r="S169" t="n">
        <v>1</v>
      </c>
      <c r="T169" t="n">
        <v>1</v>
      </c>
      <c r="U169" t="inlineStr">
        <is>
          <t>2000-11-12</t>
        </is>
      </c>
      <c r="V169" t="inlineStr">
        <is>
          <t>2000-11-12</t>
        </is>
      </c>
      <c r="W169" t="inlineStr">
        <is>
          <t>1997-05-08</t>
        </is>
      </c>
      <c r="X169" t="inlineStr">
        <is>
          <t>1997-05-08</t>
        </is>
      </c>
      <c r="Y169" t="n">
        <v>151</v>
      </c>
      <c r="Z169" t="n">
        <v>94</v>
      </c>
      <c r="AA169" t="n">
        <v>116</v>
      </c>
      <c r="AB169" t="n">
        <v>1</v>
      </c>
      <c r="AC169" t="n">
        <v>1</v>
      </c>
      <c r="AD169" t="n">
        <v>4</v>
      </c>
      <c r="AE169" t="n">
        <v>4</v>
      </c>
      <c r="AF169" t="n">
        <v>0</v>
      </c>
      <c r="AG169" t="n">
        <v>0</v>
      </c>
      <c r="AH169" t="n">
        <v>1</v>
      </c>
      <c r="AI169" t="n">
        <v>1</v>
      </c>
      <c r="AJ169" t="n">
        <v>4</v>
      </c>
      <c r="AK169" t="n">
        <v>4</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HYPERLINK("https://creighton-primo.hosted.exlibrisgroup.com/primo-explore/search?tab=default_tab&amp;search_scope=EVERYTHING&amp;vid=01CRU&amp;lang=en_US&amp;offset=0&amp;query=any,contains,991002633739702656","Catalog Record")</f>
        <v/>
      </c>
      <c r="AT169">
        <f>HYPERLINK("http://www.worldcat.org/oclc/34515156","WorldCat Record")</f>
        <v/>
      </c>
      <c r="AU169" t="inlineStr">
        <is>
          <t>194055800:eng</t>
        </is>
      </c>
      <c r="AV169" t="inlineStr">
        <is>
          <t>34515156</t>
        </is>
      </c>
      <c r="AW169" t="inlineStr">
        <is>
          <t>991002633739702656</t>
        </is>
      </c>
      <c r="AX169" t="inlineStr">
        <is>
          <t>991002633739702656</t>
        </is>
      </c>
      <c r="AY169" t="inlineStr">
        <is>
          <t>2271918820002656</t>
        </is>
      </c>
      <c r="AZ169" t="inlineStr">
        <is>
          <t>BOOK</t>
        </is>
      </c>
      <c r="BB169" t="inlineStr">
        <is>
          <t>9783540760238</t>
        </is>
      </c>
      <c r="BC169" t="inlineStr">
        <is>
          <t>32285002606209</t>
        </is>
      </c>
      <c r="BD169" t="inlineStr">
        <is>
          <t>893685588</t>
        </is>
      </c>
    </row>
    <row r="170">
      <c r="A170" t="inlineStr">
        <is>
          <t>No</t>
        </is>
      </c>
      <c r="B170" t="inlineStr">
        <is>
          <t>QB43.2 .Z43 1983</t>
        </is>
      </c>
      <c r="C170" t="inlineStr">
        <is>
          <t>0                      QB 0043200Z  43          1983</t>
        </is>
      </c>
      <c r="D170" t="inlineStr">
        <is>
          <t>Astronomy, the cosmic perspective / Michael Zeilik, John Gaustad.</t>
        </is>
      </c>
      <c r="F170" t="inlineStr">
        <is>
          <t>No</t>
        </is>
      </c>
      <c r="G170" t="inlineStr">
        <is>
          <t>1</t>
        </is>
      </c>
      <c r="H170" t="inlineStr">
        <is>
          <t>No</t>
        </is>
      </c>
      <c r="I170" t="inlineStr">
        <is>
          <t>No</t>
        </is>
      </c>
      <c r="J170" t="inlineStr">
        <is>
          <t>0</t>
        </is>
      </c>
      <c r="K170" t="inlineStr">
        <is>
          <t>Zeilik, Michael.</t>
        </is>
      </c>
      <c r="L170" t="inlineStr">
        <is>
          <t>New York : Harper &amp; Row, c1983.</t>
        </is>
      </c>
      <c r="M170" t="inlineStr">
        <is>
          <t>1983</t>
        </is>
      </c>
      <c r="O170" t="inlineStr">
        <is>
          <t>eng</t>
        </is>
      </c>
      <c r="P170" t="inlineStr">
        <is>
          <t>nyu</t>
        </is>
      </c>
      <c r="R170" t="inlineStr">
        <is>
          <t xml:space="preserve">QB </t>
        </is>
      </c>
      <c r="S170" t="n">
        <v>12</v>
      </c>
      <c r="T170" t="n">
        <v>12</v>
      </c>
      <c r="U170" t="inlineStr">
        <is>
          <t>1996-02-12</t>
        </is>
      </c>
      <c r="V170" t="inlineStr">
        <is>
          <t>1996-02-12</t>
        </is>
      </c>
      <c r="W170" t="inlineStr">
        <is>
          <t>1990-03-29</t>
        </is>
      </c>
      <c r="X170" t="inlineStr">
        <is>
          <t>1990-03-29</t>
        </is>
      </c>
      <c r="Y170" t="n">
        <v>194</v>
      </c>
      <c r="Z170" t="n">
        <v>156</v>
      </c>
      <c r="AA170" t="n">
        <v>215</v>
      </c>
      <c r="AB170" t="n">
        <v>1</v>
      </c>
      <c r="AC170" t="n">
        <v>2</v>
      </c>
      <c r="AD170" t="n">
        <v>3</v>
      </c>
      <c r="AE170" t="n">
        <v>5</v>
      </c>
      <c r="AF170" t="n">
        <v>1</v>
      </c>
      <c r="AG170" t="n">
        <v>1</v>
      </c>
      <c r="AH170" t="n">
        <v>2</v>
      </c>
      <c r="AI170" t="n">
        <v>3</v>
      </c>
      <c r="AJ170" t="n">
        <v>1</v>
      </c>
      <c r="AK170" t="n">
        <v>2</v>
      </c>
      <c r="AL170" t="n">
        <v>0</v>
      </c>
      <c r="AM170" t="n">
        <v>1</v>
      </c>
      <c r="AN170" t="n">
        <v>0</v>
      </c>
      <c r="AO170" t="n">
        <v>0</v>
      </c>
      <c r="AP170" t="inlineStr">
        <is>
          <t>No</t>
        </is>
      </c>
      <c r="AQ170" t="inlineStr">
        <is>
          <t>Yes</t>
        </is>
      </c>
      <c r="AR170">
        <f>HYPERLINK("http://catalog.hathitrust.org/Record/000238689","HathiTrust Record")</f>
        <v/>
      </c>
      <c r="AS170">
        <f>HYPERLINK("https://creighton-primo.hosted.exlibrisgroup.com/primo-explore/search?tab=default_tab&amp;search_scope=EVERYTHING&amp;vid=01CRU&amp;lang=en_US&amp;offset=0&amp;query=any,contains,991000127679702656","Catalog Record")</f>
        <v/>
      </c>
      <c r="AT170">
        <f>HYPERLINK("http://www.worldcat.org/oclc/9084680","WorldCat Record")</f>
        <v/>
      </c>
      <c r="AU170" t="inlineStr">
        <is>
          <t>3901198784:eng</t>
        </is>
      </c>
      <c r="AV170" t="inlineStr">
        <is>
          <t>9084680</t>
        </is>
      </c>
      <c r="AW170" t="inlineStr">
        <is>
          <t>991000127679702656</t>
        </is>
      </c>
      <c r="AX170" t="inlineStr">
        <is>
          <t>991000127679702656</t>
        </is>
      </c>
      <c r="AY170" t="inlineStr">
        <is>
          <t>2255432530002656</t>
        </is>
      </c>
      <c r="AZ170" t="inlineStr">
        <is>
          <t>BOOK</t>
        </is>
      </c>
      <c r="BB170" t="inlineStr">
        <is>
          <t>9780060473877</t>
        </is>
      </c>
      <c r="BC170" t="inlineStr">
        <is>
          <t>32285000106459</t>
        </is>
      </c>
      <c r="BD170" t="inlineStr">
        <is>
          <t>893896635</t>
        </is>
      </c>
    </row>
    <row r="171">
      <c r="A171" t="inlineStr">
        <is>
          <t>No</t>
        </is>
      </c>
      <c r="B171" t="inlineStr">
        <is>
          <t>QB44 .B32</t>
        </is>
      </c>
      <c r="C171" t="inlineStr">
        <is>
          <t>0                      QB 0044000B  32</t>
        </is>
      </c>
      <c r="D171" t="inlineStr">
        <is>
          <t>Astronomy / Frank N. Bash, consulting author.</t>
        </is>
      </c>
      <c r="F171" t="inlineStr">
        <is>
          <t>No</t>
        </is>
      </c>
      <c r="G171" t="inlineStr">
        <is>
          <t>1</t>
        </is>
      </c>
      <c r="H171" t="inlineStr">
        <is>
          <t>No</t>
        </is>
      </c>
      <c r="I171" t="inlineStr">
        <is>
          <t>No</t>
        </is>
      </c>
      <c r="J171" t="inlineStr">
        <is>
          <t>0</t>
        </is>
      </c>
      <c r="K171" t="inlineStr">
        <is>
          <t>Bash, Frank N.</t>
        </is>
      </c>
      <c r="L171" t="inlineStr">
        <is>
          <t>New York : Harper &amp; Row, c1977.</t>
        </is>
      </c>
      <c r="M171" t="inlineStr">
        <is>
          <t>1977</t>
        </is>
      </c>
      <c r="O171" t="inlineStr">
        <is>
          <t>eng</t>
        </is>
      </c>
      <c r="P171" t="inlineStr">
        <is>
          <t>nyu</t>
        </is>
      </c>
      <c r="R171" t="inlineStr">
        <is>
          <t xml:space="preserve">QB </t>
        </is>
      </c>
      <c r="S171" t="n">
        <v>6</v>
      </c>
      <c r="T171" t="n">
        <v>6</v>
      </c>
      <c r="U171" t="inlineStr">
        <is>
          <t>1996-02-10</t>
        </is>
      </c>
      <c r="V171" t="inlineStr">
        <is>
          <t>1996-02-10</t>
        </is>
      </c>
      <c r="W171" t="inlineStr">
        <is>
          <t>1992-03-31</t>
        </is>
      </c>
      <c r="X171" t="inlineStr">
        <is>
          <t>1992-03-31</t>
        </is>
      </c>
      <c r="Y171" t="n">
        <v>155</v>
      </c>
      <c r="Z171" t="n">
        <v>113</v>
      </c>
      <c r="AA171" t="n">
        <v>123</v>
      </c>
      <c r="AB171" t="n">
        <v>2</v>
      </c>
      <c r="AC171" t="n">
        <v>2</v>
      </c>
      <c r="AD171" t="n">
        <v>3</v>
      </c>
      <c r="AE171" t="n">
        <v>3</v>
      </c>
      <c r="AF171" t="n">
        <v>1</v>
      </c>
      <c r="AG171" t="n">
        <v>1</v>
      </c>
      <c r="AH171" t="n">
        <v>1</v>
      </c>
      <c r="AI171" t="n">
        <v>1</v>
      </c>
      <c r="AJ171" t="n">
        <v>1</v>
      </c>
      <c r="AK171" t="n">
        <v>1</v>
      </c>
      <c r="AL171" t="n">
        <v>1</v>
      </c>
      <c r="AM171" t="n">
        <v>1</v>
      </c>
      <c r="AN171" t="n">
        <v>0</v>
      </c>
      <c r="AO171" t="n">
        <v>0</v>
      </c>
      <c r="AP171" t="inlineStr">
        <is>
          <t>No</t>
        </is>
      </c>
      <c r="AQ171" t="inlineStr">
        <is>
          <t>Yes</t>
        </is>
      </c>
      <c r="AR171">
        <f>HYPERLINK("http://catalog.hathitrust.org/Record/000251716","HathiTrust Record")</f>
        <v/>
      </c>
      <c r="AS171">
        <f>HYPERLINK("https://creighton-primo.hosted.exlibrisgroup.com/primo-explore/search?tab=default_tab&amp;search_scope=EVERYTHING&amp;vid=01CRU&amp;lang=en_US&amp;offset=0&amp;query=any,contains,991004318899702656","Catalog Record")</f>
        <v/>
      </c>
      <c r="AT171">
        <f>HYPERLINK("http://www.worldcat.org/oclc/3015956","WorldCat Record")</f>
        <v/>
      </c>
      <c r="AU171" t="inlineStr">
        <is>
          <t>7090612:eng</t>
        </is>
      </c>
      <c r="AV171" t="inlineStr">
        <is>
          <t>3015956</t>
        </is>
      </c>
      <c r="AW171" t="inlineStr">
        <is>
          <t>991004318899702656</t>
        </is>
      </c>
      <c r="AX171" t="inlineStr">
        <is>
          <t>991004318899702656</t>
        </is>
      </c>
      <c r="AY171" t="inlineStr">
        <is>
          <t>2271099800002656</t>
        </is>
      </c>
      <c r="AZ171" t="inlineStr">
        <is>
          <t>BOOK</t>
        </is>
      </c>
      <c r="BB171" t="inlineStr">
        <is>
          <t>9780060438531</t>
        </is>
      </c>
      <c r="BC171" t="inlineStr">
        <is>
          <t>32285001050284</t>
        </is>
      </c>
      <c r="BD171" t="inlineStr">
        <is>
          <t>893605873</t>
        </is>
      </c>
    </row>
    <row r="172">
      <c r="A172" t="inlineStr">
        <is>
          <t>No</t>
        </is>
      </c>
      <c r="B172" t="inlineStr">
        <is>
          <t>QB44 .K713</t>
        </is>
      </c>
      <c r="C172" t="inlineStr">
        <is>
          <t>0                      QB 0044000K  713</t>
        </is>
      </c>
      <c r="D172" t="inlineStr">
        <is>
          <t>The stars, by W. Kruse and W. Dieckvoss. [Translated by Ralph Manheim]</t>
        </is>
      </c>
      <c r="F172" t="inlineStr">
        <is>
          <t>No</t>
        </is>
      </c>
      <c r="G172" t="inlineStr">
        <is>
          <t>1</t>
        </is>
      </c>
      <c r="H172" t="inlineStr">
        <is>
          <t>No</t>
        </is>
      </c>
      <c r="I172" t="inlineStr">
        <is>
          <t>No</t>
        </is>
      </c>
      <c r="J172" t="inlineStr">
        <is>
          <t>0</t>
        </is>
      </c>
      <c r="K172" t="inlineStr">
        <is>
          <t>Kruse, Willy, 1889-1945.</t>
        </is>
      </c>
      <c r="L172" t="inlineStr">
        <is>
          <t>Ann Arbor, University of Michigan Press [1957]</t>
        </is>
      </c>
      <c r="M172" t="inlineStr">
        <is>
          <t>1957</t>
        </is>
      </c>
      <c r="O172" t="inlineStr">
        <is>
          <t>eng</t>
        </is>
      </c>
      <c r="P172" t="inlineStr">
        <is>
          <t>miu</t>
        </is>
      </c>
      <c r="Q172" t="inlineStr">
        <is>
          <t>Ann Arbor science library</t>
        </is>
      </c>
      <c r="R172" t="inlineStr">
        <is>
          <t xml:space="preserve">QB </t>
        </is>
      </c>
      <c r="S172" t="n">
        <v>2</v>
      </c>
      <c r="T172" t="n">
        <v>2</v>
      </c>
      <c r="U172" t="inlineStr">
        <is>
          <t>1998-04-27</t>
        </is>
      </c>
      <c r="V172" t="inlineStr">
        <is>
          <t>1998-04-27</t>
        </is>
      </c>
      <c r="W172" t="inlineStr">
        <is>
          <t>1997-04-29</t>
        </is>
      </c>
      <c r="X172" t="inlineStr">
        <is>
          <t>1997-04-29</t>
        </is>
      </c>
      <c r="Y172" t="n">
        <v>470</v>
      </c>
      <c r="Z172" t="n">
        <v>431</v>
      </c>
      <c r="AA172" t="n">
        <v>442</v>
      </c>
      <c r="AB172" t="n">
        <v>2</v>
      </c>
      <c r="AC172" t="n">
        <v>2</v>
      </c>
      <c r="AD172" t="n">
        <v>8</v>
      </c>
      <c r="AE172" t="n">
        <v>8</v>
      </c>
      <c r="AF172" t="n">
        <v>3</v>
      </c>
      <c r="AG172" t="n">
        <v>3</v>
      </c>
      <c r="AH172" t="n">
        <v>1</v>
      </c>
      <c r="AI172" t="n">
        <v>1</v>
      </c>
      <c r="AJ172" t="n">
        <v>4</v>
      </c>
      <c r="AK172" t="n">
        <v>4</v>
      </c>
      <c r="AL172" t="n">
        <v>1</v>
      </c>
      <c r="AM172" t="n">
        <v>1</v>
      </c>
      <c r="AN172" t="n">
        <v>0</v>
      </c>
      <c r="AO172" t="n">
        <v>0</v>
      </c>
      <c r="AP172" t="inlineStr">
        <is>
          <t>No</t>
        </is>
      </c>
      <c r="AQ172" t="inlineStr">
        <is>
          <t>Yes</t>
        </is>
      </c>
      <c r="AR172">
        <f>HYPERLINK("http://catalog.hathitrust.org/Record/001475870","HathiTrust Record")</f>
        <v/>
      </c>
      <c r="AS172">
        <f>HYPERLINK("https://creighton-primo.hosted.exlibrisgroup.com/primo-explore/search?tab=default_tab&amp;search_scope=EVERYTHING&amp;vid=01CRU&amp;lang=en_US&amp;offset=0&amp;query=any,contains,991002930799702656","Catalog Record")</f>
        <v/>
      </c>
      <c r="AT172">
        <f>HYPERLINK("http://www.worldcat.org/oclc/530849","WorldCat Record")</f>
        <v/>
      </c>
      <c r="AU172" t="inlineStr">
        <is>
          <t>1544140:eng</t>
        </is>
      </c>
      <c r="AV172" t="inlineStr">
        <is>
          <t>530849</t>
        </is>
      </c>
      <c r="AW172" t="inlineStr">
        <is>
          <t>991002930799702656</t>
        </is>
      </c>
      <c r="AX172" t="inlineStr">
        <is>
          <t>991002930799702656</t>
        </is>
      </c>
      <c r="AY172" t="inlineStr">
        <is>
          <t>2266539980002656</t>
        </is>
      </c>
      <c r="AZ172" t="inlineStr">
        <is>
          <t>BOOK</t>
        </is>
      </c>
      <c r="BC172" t="inlineStr">
        <is>
          <t>32285002583788</t>
        </is>
      </c>
      <c r="BD172" t="inlineStr">
        <is>
          <t>893698448</t>
        </is>
      </c>
    </row>
    <row r="173">
      <c r="A173" t="inlineStr">
        <is>
          <t>No</t>
        </is>
      </c>
      <c r="B173" t="inlineStr">
        <is>
          <t>QB44 .M56 1969</t>
        </is>
      </c>
      <c r="C173" t="inlineStr">
        <is>
          <t>0                      QB 0044000M  56          1969</t>
        </is>
      </c>
      <c r="D173" t="inlineStr">
        <is>
          <t>Suns, myths, and men.</t>
        </is>
      </c>
      <c r="F173" t="inlineStr">
        <is>
          <t>No</t>
        </is>
      </c>
      <c r="G173" t="inlineStr">
        <is>
          <t>1</t>
        </is>
      </c>
      <c r="H173" t="inlineStr">
        <is>
          <t>No</t>
        </is>
      </c>
      <c r="I173" t="inlineStr">
        <is>
          <t>No</t>
        </is>
      </c>
      <c r="J173" t="inlineStr">
        <is>
          <t>0</t>
        </is>
      </c>
      <c r="K173" t="inlineStr">
        <is>
          <t>Moore, Patrick.</t>
        </is>
      </c>
      <c r="L173" t="inlineStr">
        <is>
          <t>New York, Norton [1969, c1968]</t>
        </is>
      </c>
      <c r="M173" t="inlineStr">
        <is>
          <t>1969</t>
        </is>
      </c>
      <c r="O173" t="inlineStr">
        <is>
          <t>eng</t>
        </is>
      </c>
      <c r="P173" t="inlineStr">
        <is>
          <t>nyu</t>
        </is>
      </c>
      <c r="Q173" t="inlineStr">
        <is>
          <t>The Amateur astronomer's library</t>
        </is>
      </c>
      <c r="R173" t="inlineStr">
        <is>
          <t xml:space="preserve">QB </t>
        </is>
      </c>
      <c r="S173" t="n">
        <v>1</v>
      </c>
      <c r="T173" t="n">
        <v>1</v>
      </c>
      <c r="U173" t="inlineStr">
        <is>
          <t>2001-01-24</t>
        </is>
      </c>
      <c r="V173" t="inlineStr">
        <is>
          <t>2001-01-24</t>
        </is>
      </c>
      <c r="W173" t="inlineStr">
        <is>
          <t>1997-04-29</t>
        </is>
      </c>
      <c r="X173" t="inlineStr">
        <is>
          <t>1997-04-29</t>
        </is>
      </c>
      <c r="Y173" t="n">
        <v>227</v>
      </c>
      <c r="Z173" t="n">
        <v>224</v>
      </c>
      <c r="AA173" t="n">
        <v>427</v>
      </c>
      <c r="AB173" t="n">
        <v>1</v>
      </c>
      <c r="AC173" t="n">
        <v>4</v>
      </c>
      <c r="AD173" t="n">
        <v>4</v>
      </c>
      <c r="AE173" t="n">
        <v>11</v>
      </c>
      <c r="AF173" t="n">
        <v>0</v>
      </c>
      <c r="AG173" t="n">
        <v>3</v>
      </c>
      <c r="AH173" t="n">
        <v>0</v>
      </c>
      <c r="AI173" t="n">
        <v>2</v>
      </c>
      <c r="AJ173" t="n">
        <v>4</v>
      </c>
      <c r="AK173" t="n">
        <v>7</v>
      </c>
      <c r="AL173" t="n">
        <v>0</v>
      </c>
      <c r="AM173" t="n">
        <v>2</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HYPERLINK("https://creighton-primo.hosted.exlibrisgroup.com/primo-explore/search?tab=default_tab&amp;search_scope=EVERYTHING&amp;vid=01CRU&amp;lang=en_US&amp;offset=0&amp;query=any,contains,991001299159702656","Catalog Record")</f>
        <v/>
      </c>
      <c r="AT173">
        <f>HYPERLINK("http://www.worldcat.org/oclc/220379","WorldCat Record")</f>
        <v/>
      </c>
      <c r="AU173" t="inlineStr">
        <is>
          <t>460237:eng</t>
        </is>
      </c>
      <c r="AV173" t="inlineStr">
        <is>
          <t>220379</t>
        </is>
      </c>
      <c r="AW173" t="inlineStr">
        <is>
          <t>991001299159702656</t>
        </is>
      </c>
      <c r="AX173" t="inlineStr">
        <is>
          <t>991001299159702656</t>
        </is>
      </c>
      <c r="AY173" t="inlineStr">
        <is>
          <t>2261505690002656</t>
        </is>
      </c>
      <c r="AZ173" t="inlineStr">
        <is>
          <t>BOOK</t>
        </is>
      </c>
      <c r="BC173" t="inlineStr">
        <is>
          <t>32285002583879</t>
        </is>
      </c>
      <c r="BD173" t="inlineStr">
        <is>
          <t>893408028</t>
        </is>
      </c>
    </row>
    <row r="174">
      <c r="A174" t="inlineStr">
        <is>
          <t>No</t>
        </is>
      </c>
      <c r="B174" t="inlineStr">
        <is>
          <t>QB44 .O6 1954</t>
        </is>
      </c>
      <c r="C174" t="inlineStr">
        <is>
          <t>0                      QB 0044000O  6           1954</t>
        </is>
      </c>
      <c r="D174" t="inlineStr">
        <is>
          <t>Field book of the skies / rev. by R. Newton Mayall and Margaret W. Mayall.</t>
        </is>
      </c>
      <c r="F174" t="inlineStr">
        <is>
          <t>No</t>
        </is>
      </c>
      <c r="G174" t="inlineStr">
        <is>
          <t>1</t>
        </is>
      </c>
      <c r="H174" t="inlineStr">
        <is>
          <t>No</t>
        </is>
      </c>
      <c r="I174" t="inlineStr">
        <is>
          <t>No</t>
        </is>
      </c>
      <c r="J174" t="inlineStr">
        <is>
          <t>0</t>
        </is>
      </c>
      <c r="K174" t="inlineStr">
        <is>
          <t>Olcott, William Tyler, 1873-1936.</t>
        </is>
      </c>
      <c r="L174" t="inlineStr">
        <is>
          <t>New York : Putnam, [1954]</t>
        </is>
      </c>
      <c r="M174" t="inlineStr">
        <is>
          <t>1954</t>
        </is>
      </c>
      <c r="N174" t="inlineStr">
        <is>
          <t>4th ed.</t>
        </is>
      </c>
      <c r="O174" t="inlineStr">
        <is>
          <t>eng</t>
        </is>
      </c>
      <c r="P174" t="inlineStr">
        <is>
          <t>nyu</t>
        </is>
      </c>
      <c r="Q174" t="inlineStr">
        <is>
          <t>Putnam's nature field books</t>
        </is>
      </c>
      <c r="R174" t="inlineStr">
        <is>
          <t xml:space="preserve">QB </t>
        </is>
      </c>
      <c r="S174" t="n">
        <v>4</v>
      </c>
      <c r="T174" t="n">
        <v>4</v>
      </c>
      <c r="U174" t="inlineStr">
        <is>
          <t>1996-10-27</t>
        </is>
      </c>
      <c r="V174" t="inlineStr">
        <is>
          <t>1996-10-27</t>
        </is>
      </c>
      <c r="W174" t="inlineStr">
        <is>
          <t>1993-06-01</t>
        </is>
      </c>
      <c r="X174" t="inlineStr">
        <is>
          <t>1993-06-01</t>
        </is>
      </c>
      <c r="Y174" t="n">
        <v>544</v>
      </c>
      <c r="Z174" t="n">
        <v>525</v>
      </c>
      <c r="AA174" t="n">
        <v>547</v>
      </c>
      <c r="AB174" t="n">
        <v>8</v>
      </c>
      <c r="AC174" t="n">
        <v>8</v>
      </c>
      <c r="AD174" t="n">
        <v>12</v>
      </c>
      <c r="AE174" t="n">
        <v>12</v>
      </c>
      <c r="AF174" t="n">
        <v>3</v>
      </c>
      <c r="AG174" t="n">
        <v>3</v>
      </c>
      <c r="AH174" t="n">
        <v>0</v>
      </c>
      <c r="AI174" t="n">
        <v>0</v>
      </c>
      <c r="AJ174" t="n">
        <v>5</v>
      </c>
      <c r="AK174" t="n">
        <v>5</v>
      </c>
      <c r="AL174" t="n">
        <v>4</v>
      </c>
      <c r="AM174" t="n">
        <v>4</v>
      </c>
      <c r="AN174" t="n">
        <v>0</v>
      </c>
      <c r="AO174" t="n">
        <v>0</v>
      </c>
      <c r="AP174" t="inlineStr">
        <is>
          <t>No</t>
        </is>
      </c>
      <c r="AQ174" t="inlineStr">
        <is>
          <t>Yes</t>
        </is>
      </c>
      <c r="AR174">
        <f>HYPERLINK("http://catalog.hathitrust.org/Record/000007268","HathiTrust Record")</f>
        <v/>
      </c>
      <c r="AS174">
        <f>HYPERLINK("https://creighton-primo.hosted.exlibrisgroup.com/primo-explore/search?tab=default_tab&amp;search_scope=EVERYTHING&amp;vid=01CRU&amp;lang=en_US&amp;offset=0&amp;query=any,contains,991002944679702656","Catalog Record")</f>
        <v/>
      </c>
      <c r="AT174">
        <f>HYPERLINK("http://www.worldcat.org/oclc/536567","WorldCat Record")</f>
        <v/>
      </c>
      <c r="AU174" t="inlineStr">
        <is>
          <t>472665:eng</t>
        </is>
      </c>
      <c r="AV174" t="inlineStr">
        <is>
          <t>536567</t>
        </is>
      </c>
      <c r="AW174" t="inlineStr">
        <is>
          <t>991002944679702656</t>
        </is>
      </c>
      <c r="AX174" t="inlineStr">
        <is>
          <t>991002944679702656</t>
        </is>
      </c>
      <c r="AY174" t="inlineStr">
        <is>
          <t>2260856640002656</t>
        </is>
      </c>
      <c r="AZ174" t="inlineStr">
        <is>
          <t>BOOK</t>
        </is>
      </c>
      <c r="BC174" t="inlineStr">
        <is>
          <t>32285001715076</t>
        </is>
      </c>
      <c r="BD174" t="inlineStr">
        <is>
          <t>893251805</t>
        </is>
      </c>
    </row>
    <row r="175">
      <c r="A175" t="inlineStr">
        <is>
          <t>No</t>
        </is>
      </c>
      <c r="B175" t="inlineStr">
        <is>
          <t>QB44 .R47 1960</t>
        </is>
      </c>
      <c r="C175" t="inlineStr">
        <is>
          <t>0                      QB 0044000R  47          1960</t>
        </is>
      </c>
      <c r="D175" t="inlineStr">
        <is>
          <t>The fascinating world of astronomy / Robert S. Richardson.</t>
        </is>
      </c>
      <c r="F175" t="inlineStr">
        <is>
          <t>No</t>
        </is>
      </c>
      <c r="G175" t="inlineStr">
        <is>
          <t>1</t>
        </is>
      </c>
      <c r="H175" t="inlineStr">
        <is>
          <t>No</t>
        </is>
      </c>
      <c r="I175" t="inlineStr">
        <is>
          <t>No</t>
        </is>
      </c>
      <c r="J175" t="inlineStr">
        <is>
          <t>0</t>
        </is>
      </c>
      <c r="K175" t="inlineStr">
        <is>
          <t>Richardson, Robert S. (Robert Shirley), 1902-1981.</t>
        </is>
      </c>
      <c r="L175" t="inlineStr">
        <is>
          <t>New York : McGraw-Hill, [1960]</t>
        </is>
      </c>
      <c r="M175" t="inlineStr">
        <is>
          <t>1960</t>
        </is>
      </c>
      <c r="N175" t="inlineStr">
        <is>
          <t>[1st ed.]</t>
        </is>
      </c>
      <c r="O175" t="inlineStr">
        <is>
          <t>eng</t>
        </is>
      </c>
      <c r="P175" t="inlineStr">
        <is>
          <t xml:space="preserve">xx </t>
        </is>
      </c>
      <c r="R175" t="inlineStr">
        <is>
          <t xml:space="preserve">QB </t>
        </is>
      </c>
      <c r="S175" t="n">
        <v>3</v>
      </c>
      <c r="T175" t="n">
        <v>3</v>
      </c>
      <c r="U175" t="inlineStr">
        <is>
          <t>1998-04-27</t>
        </is>
      </c>
      <c r="V175" t="inlineStr">
        <is>
          <t>1998-04-27</t>
        </is>
      </c>
      <c r="W175" t="inlineStr">
        <is>
          <t>1992-11-16</t>
        </is>
      </c>
      <c r="X175" t="inlineStr">
        <is>
          <t>1992-11-16</t>
        </is>
      </c>
      <c r="Y175" t="n">
        <v>411</v>
      </c>
      <c r="Z175" t="n">
        <v>380</v>
      </c>
      <c r="AA175" t="n">
        <v>390</v>
      </c>
      <c r="AB175" t="n">
        <v>6</v>
      </c>
      <c r="AC175" t="n">
        <v>6</v>
      </c>
      <c r="AD175" t="n">
        <v>14</v>
      </c>
      <c r="AE175" t="n">
        <v>14</v>
      </c>
      <c r="AF175" t="n">
        <v>4</v>
      </c>
      <c r="AG175" t="n">
        <v>4</v>
      </c>
      <c r="AH175" t="n">
        <v>2</v>
      </c>
      <c r="AI175" t="n">
        <v>2</v>
      </c>
      <c r="AJ175" t="n">
        <v>7</v>
      </c>
      <c r="AK175" t="n">
        <v>7</v>
      </c>
      <c r="AL175" t="n">
        <v>4</v>
      </c>
      <c r="AM175" t="n">
        <v>4</v>
      </c>
      <c r="AN175" t="n">
        <v>0</v>
      </c>
      <c r="AO175" t="n">
        <v>0</v>
      </c>
      <c r="AP175" t="inlineStr">
        <is>
          <t>Yes</t>
        </is>
      </c>
      <c r="AQ175" t="inlineStr">
        <is>
          <t>No</t>
        </is>
      </c>
      <c r="AR175">
        <f>HYPERLINK("http://catalog.hathitrust.org/Record/001475898","HathiTrust Record")</f>
        <v/>
      </c>
      <c r="AS175">
        <f>HYPERLINK("https://creighton-primo.hosted.exlibrisgroup.com/primo-explore/search?tab=default_tab&amp;search_scope=EVERYTHING&amp;vid=01CRU&amp;lang=en_US&amp;offset=0&amp;query=any,contains,991003457199702656","Catalog Record")</f>
        <v/>
      </c>
      <c r="AT175">
        <f>HYPERLINK("http://www.worldcat.org/oclc/997380","WorldCat Record")</f>
        <v/>
      </c>
      <c r="AU175" t="inlineStr">
        <is>
          <t>1993841:eng</t>
        </is>
      </c>
      <c r="AV175" t="inlineStr">
        <is>
          <t>997380</t>
        </is>
      </c>
      <c r="AW175" t="inlineStr">
        <is>
          <t>991003457199702656</t>
        </is>
      </c>
      <c r="AX175" t="inlineStr">
        <is>
          <t>991003457199702656</t>
        </is>
      </c>
      <c r="AY175" t="inlineStr">
        <is>
          <t>2271501560002656</t>
        </is>
      </c>
      <c r="AZ175" t="inlineStr">
        <is>
          <t>BOOK</t>
        </is>
      </c>
      <c r="BC175" t="inlineStr">
        <is>
          <t>32285001431427</t>
        </is>
      </c>
      <c r="BD175" t="inlineStr">
        <is>
          <t>893499308</t>
        </is>
      </c>
    </row>
    <row r="176">
      <c r="A176" t="inlineStr">
        <is>
          <t>No</t>
        </is>
      </c>
      <c r="B176" t="inlineStr">
        <is>
          <t>QB44.2 .G63 1991</t>
        </is>
      </c>
      <c r="C176" t="inlineStr">
        <is>
          <t>0                      QB 0044200G  63          1991</t>
        </is>
      </c>
      <c r="D176" t="inlineStr">
        <is>
          <t>The astronomers / Donald Goldsmith.</t>
        </is>
      </c>
      <c r="F176" t="inlineStr">
        <is>
          <t>No</t>
        </is>
      </c>
      <c r="G176" t="inlineStr">
        <is>
          <t>1</t>
        </is>
      </c>
      <c r="H176" t="inlineStr">
        <is>
          <t>No</t>
        </is>
      </c>
      <c r="I176" t="inlineStr">
        <is>
          <t>No</t>
        </is>
      </c>
      <c r="J176" t="inlineStr">
        <is>
          <t>0</t>
        </is>
      </c>
      <c r="K176" t="inlineStr">
        <is>
          <t>Goldsmith, Donald.</t>
        </is>
      </c>
      <c r="L176" t="inlineStr">
        <is>
          <t>New York : St. Martin's Press, c1991.</t>
        </is>
      </c>
      <c r="M176" t="inlineStr">
        <is>
          <t>1991</t>
        </is>
      </c>
      <c r="N176" t="inlineStr">
        <is>
          <t>1st ed.</t>
        </is>
      </c>
      <c r="O176" t="inlineStr">
        <is>
          <t>eng</t>
        </is>
      </c>
      <c r="P176" t="inlineStr">
        <is>
          <t>nyu</t>
        </is>
      </c>
      <c r="R176" t="inlineStr">
        <is>
          <t xml:space="preserve">QB </t>
        </is>
      </c>
      <c r="S176" t="n">
        <v>3</v>
      </c>
      <c r="T176" t="n">
        <v>3</v>
      </c>
      <c r="U176" t="inlineStr">
        <is>
          <t>1993-04-02</t>
        </is>
      </c>
      <c r="V176" t="inlineStr">
        <is>
          <t>1993-04-02</t>
        </is>
      </c>
      <c r="W176" t="inlineStr">
        <is>
          <t>1991-05-31</t>
        </is>
      </c>
      <c r="X176" t="inlineStr">
        <is>
          <t>1991-05-31</t>
        </is>
      </c>
      <c r="Y176" t="n">
        <v>955</v>
      </c>
      <c r="Z176" t="n">
        <v>907</v>
      </c>
      <c r="AA176" t="n">
        <v>931</v>
      </c>
      <c r="AB176" t="n">
        <v>4</v>
      </c>
      <c r="AC176" t="n">
        <v>4</v>
      </c>
      <c r="AD176" t="n">
        <v>10</v>
      </c>
      <c r="AE176" t="n">
        <v>10</v>
      </c>
      <c r="AF176" t="n">
        <v>1</v>
      </c>
      <c r="AG176" t="n">
        <v>1</v>
      </c>
      <c r="AH176" t="n">
        <v>4</v>
      </c>
      <c r="AI176" t="n">
        <v>4</v>
      </c>
      <c r="AJ176" t="n">
        <v>7</v>
      </c>
      <c r="AK176" t="n">
        <v>7</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HYPERLINK("https://creighton-primo.hosted.exlibrisgroup.com/primo-explore/search?tab=default_tab&amp;search_scope=EVERYTHING&amp;vid=01CRU&amp;lang=en_US&amp;offset=0&amp;query=any,contains,991001784539702656","Catalog Record")</f>
        <v/>
      </c>
      <c r="AT176">
        <f>HYPERLINK("http://www.worldcat.org/oclc/22493115","WorldCat Record")</f>
        <v/>
      </c>
      <c r="AU176" t="inlineStr">
        <is>
          <t>395464:eng</t>
        </is>
      </c>
      <c r="AV176" t="inlineStr">
        <is>
          <t>22493115</t>
        </is>
      </c>
      <c r="AW176" t="inlineStr">
        <is>
          <t>991001784539702656</t>
        </is>
      </c>
      <c r="AX176" t="inlineStr">
        <is>
          <t>991001784539702656</t>
        </is>
      </c>
      <c r="AY176" t="inlineStr">
        <is>
          <t>2256000630002656</t>
        </is>
      </c>
      <c r="AZ176" t="inlineStr">
        <is>
          <t>BOOK</t>
        </is>
      </c>
      <c r="BB176" t="inlineStr">
        <is>
          <t>9780312053802</t>
        </is>
      </c>
      <c r="BC176" t="inlineStr">
        <is>
          <t>32285000622042</t>
        </is>
      </c>
      <c r="BD176" t="inlineStr">
        <is>
          <t>893534675</t>
        </is>
      </c>
    </row>
    <row r="177">
      <c r="A177" t="inlineStr">
        <is>
          <t>No</t>
        </is>
      </c>
      <c r="B177" t="inlineStr">
        <is>
          <t>QB44.2 .G65 1985</t>
        </is>
      </c>
      <c r="C177" t="inlineStr">
        <is>
          <t>0                      QB 0044200G  65          1985</t>
        </is>
      </c>
      <c r="D177" t="inlineStr">
        <is>
          <t>Nemesis : the death-star and other theories of mass extinction / Donald Goldsmith.</t>
        </is>
      </c>
      <c r="F177" t="inlineStr">
        <is>
          <t>No</t>
        </is>
      </c>
      <c r="G177" t="inlineStr">
        <is>
          <t>1</t>
        </is>
      </c>
      <c r="H177" t="inlineStr">
        <is>
          <t>No</t>
        </is>
      </c>
      <c r="I177" t="inlineStr">
        <is>
          <t>No</t>
        </is>
      </c>
      <c r="J177" t="inlineStr">
        <is>
          <t>0</t>
        </is>
      </c>
      <c r="K177" t="inlineStr">
        <is>
          <t>Goldsmith, Donald.</t>
        </is>
      </c>
      <c r="L177" t="inlineStr">
        <is>
          <t>New York : Walker, 1985.</t>
        </is>
      </c>
      <c r="M177" t="inlineStr">
        <is>
          <t>1985</t>
        </is>
      </c>
      <c r="O177" t="inlineStr">
        <is>
          <t>eng</t>
        </is>
      </c>
      <c r="P177" t="inlineStr">
        <is>
          <t>nyu</t>
        </is>
      </c>
      <c r="R177" t="inlineStr">
        <is>
          <t xml:space="preserve">QB </t>
        </is>
      </c>
      <c r="S177" t="n">
        <v>2</v>
      </c>
      <c r="T177" t="n">
        <v>2</v>
      </c>
      <c r="U177" t="inlineStr">
        <is>
          <t>1996-02-18</t>
        </is>
      </c>
      <c r="V177" t="inlineStr">
        <is>
          <t>1996-02-18</t>
        </is>
      </c>
      <c r="W177" t="inlineStr">
        <is>
          <t>1992-11-17</t>
        </is>
      </c>
      <c r="X177" t="inlineStr">
        <is>
          <t>1992-11-17</t>
        </is>
      </c>
      <c r="Y177" t="n">
        <v>667</v>
      </c>
      <c r="Z177" t="n">
        <v>638</v>
      </c>
      <c r="AA177" t="n">
        <v>653</v>
      </c>
      <c r="AB177" t="n">
        <v>4</v>
      </c>
      <c r="AC177" t="n">
        <v>4</v>
      </c>
      <c r="AD177" t="n">
        <v>14</v>
      </c>
      <c r="AE177" t="n">
        <v>14</v>
      </c>
      <c r="AF177" t="n">
        <v>6</v>
      </c>
      <c r="AG177" t="n">
        <v>6</v>
      </c>
      <c r="AH177" t="n">
        <v>2</v>
      </c>
      <c r="AI177" t="n">
        <v>2</v>
      </c>
      <c r="AJ177" t="n">
        <v>7</v>
      </c>
      <c r="AK177" t="n">
        <v>7</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HYPERLINK("https://creighton-primo.hosted.exlibrisgroup.com/primo-explore/search?tab=default_tab&amp;search_scope=EVERYTHING&amp;vid=01CRU&amp;lang=en_US&amp;offset=0&amp;query=any,contains,991000673999702656","Catalog Record")</f>
        <v/>
      </c>
      <c r="AT177">
        <f>HYPERLINK("http://www.worldcat.org/oclc/12342598","WorldCat Record")</f>
        <v/>
      </c>
      <c r="AU177" t="inlineStr">
        <is>
          <t>895845967:eng</t>
        </is>
      </c>
      <c r="AV177" t="inlineStr">
        <is>
          <t>12342598</t>
        </is>
      </c>
      <c r="AW177" t="inlineStr">
        <is>
          <t>991000673999702656</t>
        </is>
      </c>
      <c r="AX177" t="inlineStr">
        <is>
          <t>991000673999702656</t>
        </is>
      </c>
      <c r="AY177" t="inlineStr">
        <is>
          <t>2268708360002656</t>
        </is>
      </c>
      <c r="AZ177" t="inlineStr">
        <is>
          <t>BOOK</t>
        </is>
      </c>
      <c r="BB177" t="inlineStr">
        <is>
          <t>9780802708724</t>
        </is>
      </c>
      <c r="BC177" t="inlineStr">
        <is>
          <t>32285001405629</t>
        </is>
      </c>
      <c r="BD177" t="inlineStr">
        <is>
          <t>893790750</t>
        </is>
      </c>
    </row>
    <row r="178">
      <c r="A178" t="inlineStr">
        <is>
          <t>No</t>
        </is>
      </c>
      <c r="B178" t="inlineStr">
        <is>
          <t>QB44.2 .G753</t>
        </is>
      </c>
      <c r="C178" t="inlineStr">
        <is>
          <t>0                      QB 0044200G  753</t>
        </is>
      </c>
      <c r="D178" t="inlineStr">
        <is>
          <t>Genesis : the origins of man and the universe / John Gribbin.</t>
        </is>
      </c>
      <c r="F178" t="inlineStr">
        <is>
          <t>No</t>
        </is>
      </c>
      <c r="G178" t="inlineStr">
        <is>
          <t>1</t>
        </is>
      </c>
      <c r="H178" t="inlineStr">
        <is>
          <t>No</t>
        </is>
      </c>
      <c r="I178" t="inlineStr">
        <is>
          <t>No</t>
        </is>
      </c>
      <c r="J178" t="inlineStr">
        <is>
          <t>0</t>
        </is>
      </c>
      <c r="K178" t="inlineStr">
        <is>
          <t>Gribbin, John, 1946-</t>
        </is>
      </c>
      <c r="L178" t="inlineStr">
        <is>
          <t>New York : Delacorte Press/Eleanor Friede, c1981.</t>
        </is>
      </c>
      <c r="M178" t="inlineStr">
        <is>
          <t>1981</t>
        </is>
      </c>
      <c r="O178" t="inlineStr">
        <is>
          <t>eng</t>
        </is>
      </c>
      <c r="P178" t="inlineStr">
        <is>
          <t>nyu</t>
        </is>
      </c>
      <c r="R178" t="inlineStr">
        <is>
          <t xml:space="preserve">QB </t>
        </is>
      </c>
      <c r="S178" t="n">
        <v>2</v>
      </c>
      <c r="T178" t="n">
        <v>2</v>
      </c>
      <c r="U178" t="inlineStr">
        <is>
          <t>1995-12-06</t>
        </is>
      </c>
      <c r="V178" t="inlineStr">
        <is>
          <t>1995-12-06</t>
        </is>
      </c>
      <c r="W178" t="inlineStr">
        <is>
          <t>1992-11-16</t>
        </is>
      </c>
      <c r="X178" t="inlineStr">
        <is>
          <t>1992-11-16</t>
        </is>
      </c>
      <c r="Y178" t="n">
        <v>993</v>
      </c>
      <c r="Z178" t="n">
        <v>938</v>
      </c>
      <c r="AA178" t="n">
        <v>1020</v>
      </c>
      <c r="AB178" t="n">
        <v>4</v>
      </c>
      <c r="AC178" t="n">
        <v>4</v>
      </c>
      <c r="AD178" t="n">
        <v>23</v>
      </c>
      <c r="AE178" t="n">
        <v>24</v>
      </c>
      <c r="AF178" t="n">
        <v>11</v>
      </c>
      <c r="AG178" t="n">
        <v>11</v>
      </c>
      <c r="AH178" t="n">
        <v>3</v>
      </c>
      <c r="AI178" t="n">
        <v>4</v>
      </c>
      <c r="AJ178" t="n">
        <v>12</v>
      </c>
      <c r="AK178" t="n">
        <v>12</v>
      </c>
      <c r="AL178" t="n">
        <v>3</v>
      </c>
      <c r="AM178" t="n">
        <v>3</v>
      </c>
      <c r="AN178" t="n">
        <v>0</v>
      </c>
      <c r="AO178" t="n">
        <v>0</v>
      </c>
      <c r="AP178" t="inlineStr">
        <is>
          <t>No</t>
        </is>
      </c>
      <c r="AQ178" t="inlineStr">
        <is>
          <t>Yes</t>
        </is>
      </c>
      <c r="AR178">
        <f>HYPERLINK("http://catalog.hathitrust.org/Record/000141020","HathiTrust Record")</f>
        <v/>
      </c>
      <c r="AS178">
        <f>HYPERLINK("https://creighton-primo.hosted.exlibrisgroup.com/primo-explore/search?tab=default_tab&amp;search_scope=EVERYTHING&amp;vid=01CRU&amp;lang=en_US&amp;offset=0&amp;query=any,contains,991005047919702656","Catalog Record")</f>
        <v/>
      </c>
      <c r="AT178">
        <f>HYPERLINK("http://www.worldcat.org/oclc/6861550","WorldCat Record")</f>
        <v/>
      </c>
      <c r="AU178" t="inlineStr">
        <is>
          <t>796518172:eng</t>
        </is>
      </c>
      <c r="AV178" t="inlineStr">
        <is>
          <t>6861550</t>
        </is>
      </c>
      <c r="AW178" t="inlineStr">
        <is>
          <t>991005047919702656</t>
        </is>
      </c>
      <c r="AX178" t="inlineStr">
        <is>
          <t>991005047919702656</t>
        </is>
      </c>
      <c r="AY178" t="inlineStr">
        <is>
          <t>2271267070002656</t>
        </is>
      </c>
      <c r="AZ178" t="inlineStr">
        <is>
          <t>BOOK</t>
        </is>
      </c>
      <c r="BB178" t="inlineStr">
        <is>
          <t>9780440028321</t>
        </is>
      </c>
      <c r="BC178" t="inlineStr">
        <is>
          <t>32285001431443</t>
        </is>
      </c>
      <c r="BD178" t="inlineStr">
        <is>
          <t>893446523</t>
        </is>
      </c>
    </row>
    <row r="179">
      <c r="A179" t="inlineStr">
        <is>
          <t>No</t>
        </is>
      </c>
      <c r="B179" t="inlineStr">
        <is>
          <t>QB44.2 .J36 1979</t>
        </is>
      </c>
      <c r="C179" t="inlineStr">
        <is>
          <t>0                      QB 0044200J  36          1979</t>
        </is>
      </c>
      <c r="D179" t="inlineStr">
        <is>
          <t>Red giants and white dwarfs / Robert Jastrow.</t>
        </is>
      </c>
      <c r="F179" t="inlineStr">
        <is>
          <t>No</t>
        </is>
      </c>
      <c r="G179" t="inlineStr">
        <is>
          <t>1</t>
        </is>
      </c>
      <c r="H179" t="inlineStr">
        <is>
          <t>No</t>
        </is>
      </c>
      <c r="I179" t="inlineStr">
        <is>
          <t>No</t>
        </is>
      </c>
      <c r="J179" t="inlineStr">
        <is>
          <t>0</t>
        </is>
      </c>
      <c r="K179" t="inlineStr">
        <is>
          <t>Jastrow, Robert, 1925-2008.</t>
        </is>
      </c>
      <c r="L179" t="inlineStr">
        <is>
          <t>New York : W. W. Norton, c1979.</t>
        </is>
      </c>
      <c r="M179" t="inlineStr">
        <is>
          <t>1979</t>
        </is>
      </c>
      <c r="N179" t="inlineStr">
        <is>
          <t>New ed.</t>
        </is>
      </c>
      <c r="O179" t="inlineStr">
        <is>
          <t>eng</t>
        </is>
      </c>
      <c r="P179" t="inlineStr">
        <is>
          <t>nyu</t>
        </is>
      </c>
      <c r="R179" t="inlineStr">
        <is>
          <t xml:space="preserve">QB </t>
        </is>
      </c>
      <c r="S179" t="n">
        <v>1</v>
      </c>
      <c r="T179" t="n">
        <v>1</v>
      </c>
      <c r="U179" t="inlineStr">
        <is>
          <t>1993-05-28</t>
        </is>
      </c>
      <c r="V179" t="inlineStr">
        <is>
          <t>1993-05-28</t>
        </is>
      </c>
      <c r="W179" t="inlineStr">
        <is>
          <t>1990-07-09</t>
        </is>
      </c>
      <c r="X179" t="inlineStr">
        <is>
          <t>1990-07-09</t>
        </is>
      </c>
      <c r="Y179" t="n">
        <v>532</v>
      </c>
      <c r="Z179" t="n">
        <v>495</v>
      </c>
      <c r="AA179" t="n">
        <v>967</v>
      </c>
      <c r="AB179" t="n">
        <v>3</v>
      </c>
      <c r="AC179" t="n">
        <v>8</v>
      </c>
      <c r="AD179" t="n">
        <v>9</v>
      </c>
      <c r="AE179" t="n">
        <v>24</v>
      </c>
      <c r="AF179" t="n">
        <v>6</v>
      </c>
      <c r="AG179" t="n">
        <v>12</v>
      </c>
      <c r="AH179" t="n">
        <v>1</v>
      </c>
      <c r="AI179" t="n">
        <v>5</v>
      </c>
      <c r="AJ179" t="n">
        <v>6</v>
      </c>
      <c r="AK179" t="n">
        <v>11</v>
      </c>
      <c r="AL179" t="n">
        <v>1</v>
      </c>
      <c r="AM179" t="n">
        <v>4</v>
      </c>
      <c r="AN179" t="n">
        <v>0</v>
      </c>
      <c r="AO179" t="n">
        <v>0</v>
      </c>
      <c r="AP179" t="inlineStr">
        <is>
          <t>No</t>
        </is>
      </c>
      <c r="AQ179" t="inlineStr">
        <is>
          <t>Yes</t>
        </is>
      </c>
      <c r="AR179">
        <f>HYPERLINK("http://catalog.hathitrust.org/Record/000019091","HathiTrust Record")</f>
        <v/>
      </c>
      <c r="AS179">
        <f>HYPERLINK("https://creighton-primo.hosted.exlibrisgroup.com/primo-explore/search?tab=default_tab&amp;search_scope=EVERYTHING&amp;vid=01CRU&amp;lang=en_US&amp;offset=0&amp;query=any,contains,991004874969702656","Catalog Record")</f>
        <v/>
      </c>
      <c r="AT179">
        <f>HYPERLINK("http://www.worldcat.org/oclc/5782277","WorldCat Record")</f>
        <v/>
      </c>
      <c r="AU179" t="inlineStr">
        <is>
          <t>119932567:eng</t>
        </is>
      </c>
      <c r="AV179" t="inlineStr">
        <is>
          <t>5782277</t>
        </is>
      </c>
      <c r="AW179" t="inlineStr">
        <is>
          <t>991004874969702656</t>
        </is>
      </c>
      <c r="AX179" t="inlineStr">
        <is>
          <t>991004874969702656</t>
        </is>
      </c>
      <c r="AY179" t="inlineStr">
        <is>
          <t>2267137680002656</t>
        </is>
      </c>
      <c r="AZ179" t="inlineStr">
        <is>
          <t>BOOK</t>
        </is>
      </c>
      <c r="BB179" t="inlineStr">
        <is>
          <t>9780393850024</t>
        </is>
      </c>
      <c r="BC179" t="inlineStr">
        <is>
          <t>32285000222181</t>
        </is>
      </c>
      <c r="BD179" t="inlineStr">
        <is>
          <t>893338225</t>
        </is>
      </c>
    </row>
    <row r="180">
      <c r="A180" t="inlineStr">
        <is>
          <t>No</t>
        </is>
      </c>
      <c r="B180" t="inlineStr">
        <is>
          <t>QB44.2 .M43 1979</t>
        </is>
      </c>
      <c r="C180" t="inlineStr">
        <is>
          <t>0                      QB 0044200M  43          1979</t>
        </is>
      </c>
      <c r="D180" t="inlineStr">
        <is>
          <t>Astronomy and the origin of the earth / Theodore Mehlin, Charles A. Schweighauser.</t>
        </is>
      </c>
      <c r="F180" t="inlineStr">
        <is>
          <t>No</t>
        </is>
      </c>
      <c r="G180" t="inlineStr">
        <is>
          <t>1</t>
        </is>
      </c>
      <c r="H180" t="inlineStr">
        <is>
          <t>No</t>
        </is>
      </c>
      <c r="I180" t="inlineStr">
        <is>
          <t>No</t>
        </is>
      </c>
      <c r="J180" t="inlineStr">
        <is>
          <t>0</t>
        </is>
      </c>
      <c r="K180" t="inlineStr">
        <is>
          <t>Mehlin, Theodore Grefe, 1906-</t>
        </is>
      </c>
      <c r="L180" t="inlineStr">
        <is>
          <t>Dubuque, Iowa : W. C. Brown Co., c1979.</t>
        </is>
      </c>
      <c r="M180" t="inlineStr">
        <is>
          <t>1979</t>
        </is>
      </c>
      <c r="N180" t="inlineStr">
        <is>
          <t>3d ed.</t>
        </is>
      </c>
      <c r="O180" t="inlineStr">
        <is>
          <t>eng</t>
        </is>
      </c>
      <c r="P180" t="inlineStr">
        <is>
          <t>iau</t>
        </is>
      </c>
      <c r="R180" t="inlineStr">
        <is>
          <t xml:space="preserve">QB </t>
        </is>
      </c>
      <c r="S180" t="n">
        <v>2</v>
      </c>
      <c r="T180" t="n">
        <v>2</v>
      </c>
      <c r="U180" t="inlineStr">
        <is>
          <t>1995-09-11</t>
        </is>
      </c>
      <c r="V180" t="inlineStr">
        <is>
          <t>1995-09-11</t>
        </is>
      </c>
      <c r="W180" t="inlineStr">
        <is>
          <t>1991-07-10</t>
        </is>
      </c>
      <c r="X180" t="inlineStr">
        <is>
          <t>1991-07-10</t>
        </is>
      </c>
      <c r="Y180" t="n">
        <v>29</v>
      </c>
      <c r="Z180" t="n">
        <v>24</v>
      </c>
      <c r="AA180" t="n">
        <v>310</v>
      </c>
      <c r="AB180" t="n">
        <v>1</v>
      </c>
      <c r="AC180" t="n">
        <v>2</v>
      </c>
      <c r="AD180" t="n">
        <v>1</v>
      </c>
      <c r="AE180" t="n">
        <v>8</v>
      </c>
      <c r="AF180" t="n">
        <v>1</v>
      </c>
      <c r="AG180" t="n">
        <v>3</v>
      </c>
      <c r="AH180" t="n">
        <v>0</v>
      </c>
      <c r="AI180" t="n">
        <v>0</v>
      </c>
      <c r="AJ180" t="n">
        <v>0</v>
      </c>
      <c r="AK180" t="n">
        <v>4</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HYPERLINK("https://creighton-primo.hosted.exlibrisgroup.com/primo-explore/search?tab=default_tab&amp;search_scope=EVERYTHING&amp;vid=01CRU&amp;lang=en_US&amp;offset=0&amp;query=any,contains,991004751019702656","Catalog Record")</f>
        <v/>
      </c>
      <c r="AT180">
        <f>HYPERLINK("http://www.worldcat.org/oclc/4933534","WorldCat Record")</f>
        <v/>
      </c>
      <c r="AU180" t="inlineStr">
        <is>
          <t>1399842:eng</t>
        </is>
      </c>
      <c r="AV180" t="inlineStr">
        <is>
          <t>4933534</t>
        </is>
      </c>
      <c r="AW180" t="inlineStr">
        <is>
          <t>991004751019702656</t>
        </is>
      </c>
      <c r="AX180" t="inlineStr">
        <is>
          <t>991004751019702656</t>
        </is>
      </c>
      <c r="AY180" t="inlineStr">
        <is>
          <t>2268906670002656</t>
        </is>
      </c>
      <c r="AZ180" t="inlineStr">
        <is>
          <t>BOOK</t>
        </is>
      </c>
      <c r="BB180" t="inlineStr">
        <is>
          <t>9780697050182</t>
        </is>
      </c>
      <c r="BC180" t="inlineStr">
        <is>
          <t>32285000648583</t>
        </is>
      </c>
      <c r="BD180" t="inlineStr">
        <is>
          <t>893594056</t>
        </is>
      </c>
    </row>
    <row r="181">
      <c r="A181" t="inlineStr">
        <is>
          <t>No</t>
        </is>
      </c>
      <c r="B181" t="inlineStr">
        <is>
          <t>QB44.2 .M869</t>
        </is>
      </c>
      <c r="C181" t="inlineStr">
        <is>
          <t>0                      QB 0044200M  869</t>
        </is>
      </c>
      <c r="D181" t="inlineStr">
        <is>
          <t>Catalogue of the universe / by Paul Murdin and David Allen ; with original photos. by David Malin.</t>
        </is>
      </c>
      <c r="F181" t="inlineStr">
        <is>
          <t>No</t>
        </is>
      </c>
      <c r="G181" t="inlineStr">
        <is>
          <t>1</t>
        </is>
      </c>
      <c r="H181" t="inlineStr">
        <is>
          <t>No</t>
        </is>
      </c>
      <c r="I181" t="inlineStr">
        <is>
          <t>No</t>
        </is>
      </c>
      <c r="J181" t="inlineStr">
        <is>
          <t>0</t>
        </is>
      </c>
      <c r="K181" t="inlineStr">
        <is>
          <t>Murdin, Paul.</t>
        </is>
      </c>
      <c r="L181" t="inlineStr">
        <is>
          <t>New York : Crown Publishers, 1979.</t>
        </is>
      </c>
      <c r="M181" t="inlineStr">
        <is>
          <t>1979</t>
        </is>
      </c>
      <c r="O181" t="inlineStr">
        <is>
          <t>eng</t>
        </is>
      </c>
      <c r="P181" t="inlineStr">
        <is>
          <t>nyu</t>
        </is>
      </c>
      <c r="R181" t="inlineStr">
        <is>
          <t xml:space="preserve">QB </t>
        </is>
      </c>
      <c r="S181" t="n">
        <v>5</v>
      </c>
      <c r="T181" t="n">
        <v>5</v>
      </c>
      <c r="U181" t="inlineStr">
        <is>
          <t>1996-02-29</t>
        </is>
      </c>
      <c r="V181" t="inlineStr">
        <is>
          <t>1996-02-29</t>
        </is>
      </c>
      <c r="W181" t="inlineStr">
        <is>
          <t>1990-07-09</t>
        </is>
      </c>
      <c r="X181" t="inlineStr">
        <is>
          <t>1990-07-09</t>
        </is>
      </c>
      <c r="Y181" t="n">
        <v>566</v>
      </c>
      <c r="Z181" t="n">
        <v>525</v>
      </c>
      <c r="AA181" t="n">
        <v>695</v>
      </c>
      <c r="AB181" t="n">
        <v>3</v>
      </c>
      <c r="AC181" t="n">
        <v>3</v>
      </c>
      <c r="AD181" t="n">
        <v>9</v>
      </c>
      <c r="AE181" t="n">
        <v>14</v>
      </c>
      <c r="AF181" t="n">
        <v>4</v>
      </c>
      <c r="AG181" t="n">
        <v>6</v>
      </c>
      <c r="AH181" t="n">
        <v>2</v>
      </c>
      <c r="AI181" t="n">
        <v>2</v>
      </c>
      <c r="AJ181" t="n">
        <v>4</v>
      </c>
      <c r="AK181" t="n">
        <v>7</v>
      </c>
      <c r="AL181" t="n">
        <v>1</v>
      </c>
      <c r="AM181" t="n">
        <v>1</v>
      </c>
      <c r="AN181" t="n">
        <v>0</v>
      </c>
      <c r="AO181" t="n">
        <v>0</v>
      </c>
      <c r="AP181" t="inlineStr">
        <is>
          <t>No</t>
        </is>
      </c>
      <c r="AQ181" t="inlineStr">
        <is>
          <t>Yes</t>
        </is>
      </c>
      <c r="AR181">
        <f>HYPERLINK("http://catalog.hathitrust.org/Record/000030301","HathiTrust Record")</f>
        <v/>
      </c>
      <c r="AS181">
        <f>HYPERLINK("https://creighton-primo.hosted.exlibrisgroup.com/primo-explore/search?tab=default_tab&amp;search_scope=EVERYTHING&amp;vid=01CRU&amp;lang=en_US&amp;offset=0&amp;query=any,contains,991004695409702656","Catalog Record")</f>
        <v/>
      </c>
      <c r="AT181">
        <f>HYPERLINK("http://www.worldcat.org/oclc/4638967","WorldCat Record")</f>
        <v/>
      </c>
      <c r="AU181" t="inlineStr">
        <is>
          <t>12161739:eng</t>
        </is>
      </c>
      <c r="AV181" t="inlineStr">
        <is>
          <t>4638967</t>
        </is>
      </c>
      <c r="AW181" t="inlineStr">
        <is>
          <t>991004695409702656</t>
        </is>
      </c>
      <c r="AX181" t="inlineStr">
        <is>
          <t>991004695409702656</t>
        </is>
      </c>
      <c r="AY181" t="inlineStr">
        <is>
          <t>2255825290002656</t>
        </is>
      </c>
      <c r="AZ181" t="inlineStr">
        <is>
          <t>BOOK</t>
        </is>
      </c>
      <c r="BB181" t="inlineStr">
        <is>
          <t>9780517536162</t>
        </is>
      </c>
      <c r="BC181" t="inlineStr">
        <is>
          <t>32285000222199</t>
        </is>
      </c>
      <c r="BD181" t="inlineStr">
        <is>
          <t>893331920</t>
        </is>
      </c>
    </row>
    <row r="182">
      <c r="A182" t="inlineStr">
        <is>
          <t>No</t>
        </is>
      </c>
      <c r="B182" t="inlineStr">
        <is>
          <t>QB44.2 .S59 1984</t>
        </is>
      </c>
      <c r="C182" t="inlineStr">
        <is>
          <t>0                      QB 0044200S  59          1984</t>
        </is>
      </c>
      <c r="D182" t="inlineStr">
        <is>
          <t>The cosmic cycle / Theodore P. Snow.</t>
        </is>
      </c>
      <c r="F182" t="inlineStr">
        <is>
          <t>No</t>
        </is>
      </c>
      <c r="G182" t="inlineStr">
        <is>
          <t>1</t>
        </is>
      </c>
      <c r="H182" t="inlineStr">
        <is>
          <t>No</t>
        </is>
      </c>
      <c r="I182" t="inlineStr">
        <is>
          <t>No</t>
        </is>
      </c>
      <c r="J182" t="inlineStr">
        <is>
          <t>0</t>
        </is>
      </c>
      <c r="K182" t="inlineStr">
        <is>
          <t>Snow, Theodore P. (Theodore Peck)</t>
        </is>
      </c>
      <c r="L182" t="inlineStr">
        <is>
          <t>Princeton, N.J. : Darwin Press, c1984.</t>
        </is>
      </c>
      <c r="M182" t="inlineStr">
        <is>
          <t>1984</t>
        </is>
      </c>
      <c r="O182" t="inlineStr">
        <is>
          <t>eng</t>
        </is>
      </c>
      <c r="P182" t="inlineStr">
        <is>
          <t>nju</t>
        </is>
      </c>
      <c r="R182" t="inlineStr">
        <is>
          <t xml:space="preserve">QB </t>
        </is>
      </c>
      <c r="S182" t="n">
        <v>1</v>
      </c>
      <c r="T182" t="n">
        <v>1</v>
      </c>
      <c r="U182" t="inlineStr">
        <is>
          <t>1995-04-11</t>
        </is>
      </c>
      <c r="V182" t="inlineStr">
        <is>
          <t>1995-04-11</t>
        </is>
      </c>
      <c r="W182" t="inlineStr">
        <is>
          <t>1992-11-16</t>
        </is>
      </c>
      <c r="X182" t="inlineStr">
        <is>
          <t>1992-11-16</t>
        </is>
      </c>
      <c r="Y182" t="n">
        <v>175</v>
      </c>
      <c r="Z182" t="n">
        <v>167</v>
      </c>
      <c r="AA182" t="n">
        <v>168</v>
      </c>
      <c r="AB182" t="n">
        <v>2</v>
      </c>
      <c r="AC182" t="n">
        <v>2</v>
      </c>
      <c r="AD182" t="n">
        <v>4</v>
      </c>
      <c r="AE182" t="n">
        <v>4</v>
      </c>
      <c r="AF182" t="n">
        <v>2</v>
      </c>
      <c r="AG182" t="n">
        <v>2</v>
      </c>
      <c r="AH182" t="n">
        <v>2</v>
      </c>
      <c r="AI182" t="n">
        <v>2</v>
      </c>
      <c r="AJ182" t="n">
        <v>2</v>
      </c>
      <c r="AK182" t="n">
        <v>2</v>
      </c>
      <c r="AL182" t="n">
        <v>1</v>
      </c>
      <c r="AM182" t="n">
        <v>1</v>
      </c>
      <c r="AN182" t="n">
        <v>0</v>
      </c>
      <c r="AO182" t="n">
        <v>0</v>
      </c>
      <c r="AP182" t="inlineStr">
        <is>
          <t>No</t>
        </is>
      </c>
      <c r="AQ182" t="inlineStr">
        <is>
          <t>Yes</t>
        </is>
      </c>
      <c r="AR182">
        <f>HYPERLINK("http://catalog.hathitrust.org/Record/000410917","HathiTrust Record")</f>
        <v/>
      </c>
      <c r="AS182">
        <f>HYPERLINK("https://creighton-primo.hosted.exlibrisgroup.com/primo-explore/search?tab=default_tab&amp;search_scope=EVERYTHING&amp;vid=01CRU&amp;lang=en_US&amp;offset=0&amp;query=any,contains,991000263439702656","Catalog Record")</f>
        <v/>
      </c>
      <c r="AT182">
        <f>HYPERLINK("http://www.worldcat.org/oclc/9827538","WorldCat Record")</f>
        <v/>
      </c>
      <c r="AU182" t="inlineStr">
        <is>
          <t>43221138:eng</t>
        </is>
      </c>
      <c r="AV182" t="inlineStr">
        <is>
          <t>9827538</t>
        </is>
      </c>
      <c r="AW182" t="inlineStr">
        <is>
          <t>991000263439702656</t>
        </is>
      </c>
      <c r="AX182" t="inlineStr">
        <is>
          <t>991000263439702656</t>
        </is>
      </c>
      <c r="AY182" t="inlineStr">
        <is>
          <t>2269169540002656</t>
        </is>
      </c>
      <c r="AZ182" t="inlineStr">
        <is>
          <t>BOOK</t>
        </is>
      </c>
      <c r="BB182" t="inlineStr">
        <is>
          <t>9780878500413</t>
        </is>
      </c>
      <c r="BC182" t="inlineStr">
        <is>
          <t>32285001431518</t>
        </is>
      </c>
      <c r="BD182" t="inlineStr">
        <is>
          <t>893527931</t>
        </is>
      </c>
    </row>
    <row r="183">
      <c r="A183" t="inlineStr">
        <is>
          <t>No</t>
        </is>
      </c>
      <c r="B183" t="inlineStr">
        <is>
          <t>QB45 .F815 1997</t>
        </is>
      </c>
      <c r="C183" t="inlineStr">
        <is>
          <t>0                      QB 0045000F  815         1997</t>
        </is>
      </c>
      <c r="D183" t="inlineStr">
        <is>
          <t>Voyages through the universe / Andrew Fraknoi, David Morrison, Sidney Wolff.</t>
        </is>
      </c>
      <c r="F183" t="inlineStr">
        <is>
          <t>No</t>
        </is>
      </c>
      <c r="G183" t="inlineStr">
        <is>
          <t>1</t>
        </is>
      </c>
      <c r="H183" t="inlineStr">
        <is>
          <t>No</t>
        </is>
      </c>
      <c r="I183" t="inlineStr">
        <is>
          <t>No</t>
        </is>
      </c>
      <c r="J183" t="inlineStr">
        <is>
          <t>0</t>
        </is>
      </c>
      <c r="K183" t="inlineStr">
        <is>
          <t>Fraknoi, Andrew.</t>
        </is>
      </c>
      <c r="L183" t="inlineStr">
        <is>
          <t>Fort Worth : Saunders College Pub., c1997.</t>
        </is>
      </c>
      <c r="M183" t="inlineStr">
        <is>
          <t>1997</t>
        </is>
      </c>
      <c r="O183" t="inlineStr">
        <is>
          <t>eng</t>
        </is>
      </c>
      <c r="P183" t="inlineStr">
        <is>
          <t>pau</t>
        </is>
      </c>
      <c r="Q183" t="inlineStr">
        <is>
          <t>Saunders golden sunburst series</t>
        </is>
      </c>
      <c r="R183" t="inlineStr">
        <is>
          <t xml:space="preserve">QB </t>
        </is>
      </c>
      <c r="S183" t="n">
        <v>22</v>
      </c>
      <c r="T183" t="n">
        <v>22</v>
      </c>
      <c r="U183" t="inlineStr">
        <is>
          <t>2001-02-06</t>
        </is>
      </c>
      <c r="V183" t="inlineStr">
        <is>
          <t>2001-02-06</t>
        </is>
      </c>
      <c r="W183" t="inlineStr">
        <is>
          <t>1998-05-06</t>
        </is>
      </c>
      <c r="X183" t="inlineStr">
        <is>
          <t>1998-05-06</t>
        </is>
      </c>
      <c r="Y183" t="n">
        <v>87</v>
      </c>
      <c r="Z183" t="n">
        <v>71</v>
      </c>
      <c r="AA183" t="n">
        <v>131</v>
      </c>
      <c r="AB183" t="n">
        <v>1</v>
      </c>
      <c r="AC183" t="n">
        <v>3</v>
      </c>
      <c r="AD183" t="n">
        <v>2</v>
      </c>
      <c r="AE183" t="n">
        <v>3</v>
      </c>
      <c r="AF183" t="n">
        <v>0</v>
      </c>
      <c r="AG183" t="n">
        <v>0</v>
      </c>
      <c r="AH183" t="n">
        <v>0</v>
      </c>
      <c r="AI183" t="n">
        <v>0</v>
      </c>
      <c r="AJ183" t="n">
        <v>2</v>
      </c>
      <c r="AK183" t="n">
        <v>2</v>
      </c>
      <c r="AL183" t="n">
        <v>0</v>
      </c>
      <c r="AM183" t="n">
        <v>1</v>
      </c>
      <c r="AN183" t="n">
        <v>0</v>
      </c>
      <c r="AO183" t="n">
        <v>0</v>
      </c>
      <c r="AP183" t="inlineStr">
        <is>
          <t>No</t>
        </is>
      </c>
      <c r="AQ183" t="inlineStr">
        <is>
          <t>Yes</t>
        </is>
      </c>
      <c r="AR183">
        <f>HYPERLINK("http://catalog.hathitrust.org/Record/012274892","HathiTrust Record")</f>
        <v/>
      </c>
      <c r="AS183">
        <f>HYPERLINK("https://creighton-primo.hosted.exlibrisgroup.com/primo-explore/search?tab=default_tab&amp;search_scope=EVERYTHING&amp;vid=01CRU&amp;lang=en_US&amp;offset=0&amp;query=any,contains,991002772729702656","Catalog Record")</f>
        <v/>
      </c>
      <c r="AT183">
        <f>HYPERLINK("http://www.worldcat.org/oclc/36411754","WorldCat Record")</f>
        <v/>
      </c>
      <c r="AU183" t="inlineStr">
        <is>
          <t>3133963682:eng</t>
        </is>
      </c>
      <c r="AV183" t="inlineStr">
        <is>
          <t>36411754</t>
        </is>
      </c>
      <c r="AW183" t="inlineStr">
        <is>
          <t>991002772729702656</t>
        </is>
      </c>
      <c r="AX183" t="inlineStr">
        <is>
          <t>991002772729702656</t>
        </is>
      </c>
      <c r="AY183" t="inlineStr">
        <is>
          <t>2271129410002656</t>
        </is>
      </c>
      <c r="AZ183" t="inlineStr">
        <is>
          <t>BOOK</t>
        </is>
      </c>
      <c r="BC183" t="inlineStr">
        <is>
          <t>32285003406468</t>
        </is>
      </c>
      <c r="BD183" t="inlineStr">
        <is>
          <t>893622707</t>
        </is>
      </c>
    </row>
    <row r="184">
      <c r="A184" t="inlineStr">
        <is>
          <t>No</t>
        </is>
      </c>
      <c r="B184" t="inlineStr">
        <is>
          <t>QB45 .M693 1979</t>
        </is>
      </c>
      <c r="C184" t="inlineStr">
        <is>
          <t>0                      QB 0045000M  693         1979</t>
        </is>
      </c>
      <c r="D184" t="inlineStr">
        <is>
          <t>Astronomy : an introduction for the amateur astronomer / Jaqueline Mitton.</t>
        </is>
      </c>
      <c r="F184" t="inlineStr">
        <is>
          <t>No</t>
        </is>
      </c>
      <c r="G184" t="inlineStr">
        <is>
          <t>1</t>
        </is>
      </c>
      <c r="H184" t="inlineStr">
        <is>
          <t>No</t>
        </is>
      </c>
      <c r="I184" t="inlineStr">
        <is>
          <t>No</t>
        </is>
      </c>
      <c r="J184" t="inlineStr">
        <is>
          <t>0</t>
        </is>
      </c>
      <c r="K184" t="inlineStr">
        <is>
          <t>Mitton, Jacqueline.</t>
        </is>
      </c>
      <c r="L184" t="inlineStr">
        <is>
          <t>New York : Scribner, [1979] c1978.</t>
        </is>
      </c>
      <c r="M184" t="inlineStr">
        <is>
          <t>1979</t>
        </is>
      </c>
      <c r="O184" t="inlineStr">
        <is>
          <t>eng</t>
        </is>
      </c>
      <c r="P184" t="inlineStr">
        <is>
          <t>nyu</t>
        </is>
      </c>
      <c r="R184" t="inlineStr">
        <is>
          <t xml:space="preserve">QB </t>
        </is>
      </c>
      <c r="S184" t="n">
        <v>3</v>
      </c>
      <c r="T184" t="n">
        <v>3</v>
      </c>
      <c r="U184" t="inlineStr">
        <is>
          <t>1994-04-12</t>
        </is>
      </c>
      <c r="V184" t="inlineStr">
        <is>
          <t>1994-04-12</t>
        </is>
      </c>
      <c r="W184" t="inlineStr">
        <is>
          <t>1992-11-17</t>
        </is>
      </c>
      <c r="X184" t="inlineStr">
        <is>
          <t>1992-11-17</t>
        </is>
      </c>
      <c r="Y184" t="n">
        <v>188</v>
      </c>
      <c r="Z184" t="n">
        <v>188</v>
      </c>
      <c r="AA184" t="n">
        <v>192</v>
      </c>
      <c r="AB184" t="n">
        <v>2</v>
      </c>
      <c r="AC184" t="n">
        <v>2</v>
      </c>
      <c r="AD184" t="n">
        <v>6</v>
      </c>
      <c r="AE184" t="n">
        <v>6</v>
      </c>
      <c r="AF184" t="n">
        <v>3</v>
      </c>
      <c r="AG184" t="n">
        <v>3</v>
      </c>
      <c r="AH184" t="n">
        <v>3</v>
      </c>
      <c r="AI184" t="n">
        <v>3</v>
      </c>
      <c r="AJ184" t="n">
        <v>2</v>
      </c>
      <c r="AK184" t="n">
        <v>2</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HYPERLINK("https://creighton-primo.hosted.exlibrisgroup.com/primo-explore/search?tab=default_tab&amp;search_scope=EVERYTHING&amp;vid=01CRU&amp;lang=en_US&amp;offset=0&amp;query=any,contains,991004595249702656","Catalog Record")</f>
        <v/>
      </c>
      <c r="AT184">
        <f>HYPERLINK("http://www.worldcat.org/oclc/4136466","WorldCat Record")</f>
        <v/>
      </c>
      <c r="AU184" t="inlineStr">
        <is>
          <t>3768899472:eng</t>
        </is>
      </c>
      <c r="AV184" t="inlineStr">
        <is>
          <t>4136466</t>
        </is>
      </c>
      <c r="AW184" t="inlineStr">
        <is>
          <t>991004595249702656</t>
        </is>
      </c>
      <c r="AX184" t="inlineStr">
        <is>
          <t>991004595249702656</t>
        </is>
      </c>
      <c r="AY184" t="inlineStr">
        <is>
          <t>2258145430002656</t>
        </is>
      </c>
      <c r="AZ184" t="inlineStr">
        <is>
          <t>BOOK</t>
        </is>
      </c>
      <c r="BB184" t="inlineStr">
        <is>
          <t>9780684160429</t>
        </is>
      </c>
      <c r="BC184" t="inlineStr">
        <is>
          <t>32285001431534</t>
        </is>
      </c>
      <c r="BD184" t="inlineStr">
        <is>
          <t>893331810</t>
        </is>
      </c>
    </row>
    <row r="185">
      <c r="A185" t="inlineStr">
        <is>
          <t>No</t>
        </is>
      </c>
      <c r="B185" t="inlineStr">
        <is>
          <t>QB45 .P289</t>
        </is>
      </c>
      <c r="C185" t="inlineStr">
        <is>
          <t>0                      QB 0045000P  289</t>
        </is>
      </c>
      <c r="D185" t="inlineStr">
        <is>
          <t>Astronomy now / Jay M. Pasachoff. --</t>
        </is>
      </c>
      <c r="F185" t="inlineStr">
        <is>
          <t>No</t>
        </is>
      </c>
      <c r="G185" t="inlineStr">
        <is>
          <t>1</t>
        </is>
      </c>
      <c r="H185" t="inlineStr">
        <is>
          <t>No</t>
        </is>
      </c>
      <c r="I185" t="inlineStr">
        <is>
          <t>No</t>
        </is>
      </c>
      <c r="J185" t="inlineStr">
        <is>
          <t>0</t>
        </is>
      </c>
      <c r="K185" t="inlineStr">
        <is>
          <t>Pasachoff, Jay M.</t>
        </is>
      </c>
      <c r="L185" t="inlineStr">
        <is>
          <t>Philadelphia : Saunders, 1978.</t>
        </is>
      </c>
      <c r="M185" t="inlineStr">
        <is>
          <t>1978</t>
        </is>
      </c>
      <c r="O185" t="inlineStr">
        <is>
          <t>eng</t>
        </is>
      </c>
      <c r="P185" t="inlineStr">
        <is>
          <t>pau</t>
        </is>
      </c>
      <c r="Q185" t="inlineStr">
        <is>
          <t>Saunders golden sunburst series</t>
        </is>
      </c>
      <c r="R185" t="inlineStr">
        <is>
          <t xml:space="preserve">QB </t>
        </is>
      </c>
      <c r="S185" t="n">
        <v>8</v>
      </c>
      <c r="T185" t="n">
        <v>8</v>
      </c>
      <c r="U185" t="inlineStr">
        <is>
          <t>1999-09-21</t>
        </is>
      </c>
      <c r="V185" t="inlineStr">
        <is>
          <t>1999-09-21</t>
        </is>
      </c>
      <c r="W185" t="inlineStr">
        <is>
          <t>1992-11-17</t>
        </is>
      </c>
      <c r="X185" t="inlineStr">
        <is>
          <t>1992-11-17</t>
        </is>
      </c>
      <c r="Y185" t="n">
        <v>282</v>
      </c>
      <c r="Z185" t="n">
        <v>237</v>
      </c>
      <c r="AA185" t="n">
        <v>243</v>
      </c>
      <c r="AB185" t="n">
        <v>2</v>
      </c>
      <c r="AC185" t="n">
        <v>2</v>
      </c>
      <c r="AD185" t="n">
        <v>5</v>
      </c>
      <c r="AE185" t="n">
        <v>5</v>
      </c>
      <c r="AF185" t="n">
        <v>1</v>
      </c>
      <c r="AG185" t="n">
        <v>1</v>
      </c>
      <c r="AH185" t="n">
        <v>2</v>
      </c>
      <c r="AI185" t="n">
        <v>2</v>
      </c>
      <c r="AJ185" t="n">
        <v>1</v>
      </c>
      <c r="AK185" t="n">
        <v>1</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HYPERLINK("https://creighton-primo.hosted.exlibrisgroup.com/primo-explore/search?tab=default_tab&amp;search_scope=EVERYTHING&amp;vid=01CRU&amp;lang=en_US&amp;offset=0&amp;query=any,contains,991004403739702656","Catalog Record")</f>
        <v/>
      </c>
      <c r="AT185">
        <f>HYPERLINK("http://www.worldcat.org/oclc/3311908","WorldCat Record")</f>
        <v/>
      </c>
      <c r="AU185" t="inlineStr">
        <is>
          <t>3373096205:eng</t>
        </is>
      </c>
      <c r="AV185" t="inlineStr">
        <is>
          <t>3311908</t>
        </is>
      </c>
      <c r="AW185" t="inlineStr">
        <is>
          <t>991004403739702656</t>
        </is>
      </c>
      <c r="AX185" t="inlineStr">
        <is>
          <t>991004403739702656</t>
        </is>
      </c>
      <c r="AY185" t="inlineStr">
        <is>
          <t>2271541810002656</t>
        </is>
      </c>
      <c r="AZ185" t="inlineStr">
        <is>
          <t>BOOK</t>
        </is>
      </c>
      <c r="BB185" t="inlineStr">
        <is>
          <t>9780721671000</t>
        </is>
      </c>
      <c r="BC185" t="inlineStr">
        <is>
          <t>32285001431575</t>
        </is>
      </c>
      <c r="BD185" t="inlineStr">
        <is>
          <t>893876064</t>
        </is>
      </c>
    </row>
    <row r="186">
      <c r="A186" t="inlineStr">
        <is>
          <t>No</t>
        </is>
      </c>
      <c r="B186" t="inlineStr">
        <is>
          <t>QB45 .P29</t>
        </is>
      </c>
      <c r="C186" t="inlineStr">
        <is>
          <t>0                      QB 0045000P  29</t>
        </is>
      </c>
      <c r="D186" t="inlineStr">
        <is>
          <t>Contemporary astronomy / Jay M. Pasachoff.</t>
        </is>
      </c>
      <c r="F186" t="inlineStr">
        <is>
          <t>No</t>
        </is>
      </c>
      <c r="G186" t="inlineStr">
        <is>
          <t>1</t>
        </is>
      </c>
      <c r="H186" t="inlineStr">
        <is>
          <t>No</t>
        </is>
      </c>
      <c r="I186" t="inlineStr">
        <is>
          <t>No</t>
        </is>
      </c>
      <c r="J186" t="inlineStr">
        <is>
          <t>0</t>
        </is>
      </c>
      <c r="K186" t="inlineStr">
        <is>
          <t>Pasachoff, Jay M.</t>
        </is>
      </c>
      <c r="L186" t="inlineStr">
        <is>
          <t>Philadelphia : Saunders, 1977.</t>
        </is>
      </c>
      <c r="M186" t="inlineStr">
        <is>
          <t>1977</t>
        </is>
      </c>
      <c r="O186" t="inlineStr">
        <is>
          <t>eng</t>
        </is>
      </c>
      <c r="P186" t="inlineStr">
        <is>
          <t>pau</t>
        </is>
      </c>
      <c r="Q186" t="inlineStr">
        <is>
          <t>Saunders golden sunburst series</t>
        </is>
      </c>
      <c r="R186" t="inlineStr">
        <is>
          <t xml:space="preserve">QB </t>
        </is>
      </c>
      <c r="S186" t="n">
        <v>2</v>
      </c>
      <c r="T186" t="n">
        <v>2</v>
      </c>
      <c r="U186" t="inlineStr">
        <is>
          <t>1998-09-17</t>
        </is>
      </c>
      <c r="V186" t="inlineStr">
        <is>
          <t>1998-09-17</t>
        </is>
      </c>
      <c r="W186" t="inlineStr">
        <is>
          <t>1997-04-29</t>
        </is>
      </c>
      <c r="X186" t="inlineStr">
        <is>
          <t>1997-04-29</t>
        </is>
      </c>
      <c r="Y186" t="n">
        <v>225</v>
      </c>
      <c r="Z186" t="n">
        <v>181</v>
      </c>
      <c r="AA186" t="n">
        <v>410</v>
      </c>
      <c r="AB186" t="n">
        <v>3</v>
      </c>
      <c r="AC186" t="n">
        <v>4</v>
      </c>
      <c r="AD186" t="n">
        <v>7</v>
      </c>
      <c r="AE186" t="n">
        <v>15</v>
      </c>
      <c r="AF186" t="n">
        <v>3</v>
      </c>
      <c r="AG186" t="n">
        <v>5</v>
      </c>
      <c r="AH186" t="n">
        <v>0</v>
      </c>
      <c r="AI186" t="n">
        <v>2</v>
      </c>
      <c r="AJ186" t="n">
        <v>3</v>
      </c>
      <c r="AK186" t="n">
        <v>8</v>
      </c>
      <c r="AL186" t="n">
        <v>2</v>
      </c>
      <c r="AM186" t="n">
        <v>3</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HYPERLINK("https://creighton-primo.hosted.exlibrisgroup.com/primo-explore/search?tab=default_tab&amp;search_scope=EVERYTHING&amp;vid=01CRU&amp;lang=en_US&amp;offset=0&amp;query=any,contains,991004196439702656","Catalog Record")</f>
        <v/>
      </c>
      <c r="AT186">
        <f>HYPERLINK("http://www.worldcat.org/oclc/2644671","WorldCat Record")</f>
        <v/>
      </c>
      <c r="AU186" t="inlineStr">
        <is>
          <t>3252644:eng</t>
        </is>
      </c>
      <c r="AV186" t="inlineStr">
        <is>
          <t>2644671</t>
        </is>
      </c>
      <c r="AW186" t="inlineStr">
        <is>
          <t>991004196439702656</t>
        </is>
      </c>
      <c r="AX186" t="inlineStr">
        <is>
          <t>991004196439702656</t>
        </is>
      </c>
      <c r="AY186" t="inlineStr">
        <is>
          <t>2255238340002656</t>
        </is>
      </c>
      <c r="AZ186" t="inlineStr">
        <is>
          <t>BOOK</t>
        </is>
      </c>
      <c r="BB186" t="inlineStr">
        <is>
          <t>9780721671017</t>
        </is>
      </c>
      <c r="BC186" t="inlineStr">
        <is>
          <t>32285002584315</t>
        </is>
      </c>
      <c r="BD186" t="inlineStr">
        <is>
          <t>893875799</t>
        </is>
      </c>
    </row>
    <row r="187">
      <c r="A187" t="inlineStr">
        <is>
          <t>No</t>
        </is>
      </c>
      <c r="B187" t="inlineStr">
        <is>
          <t>QB45 .S587</t>
        </is>
      </c>
      <c r="C187" t="inlineStr">
        <is>
          <t>0                      QB 0045000S  587</t>
        </is>
      </c>
      <c r="D187" t="inlineStr">
        <is>
          <t>Introductory astronomy and astrophysics / [by] Elske v. P. Smith [and] Kenneth C. Jacobs.</t>
        </is>
      </c>
      <c r="F187" t="inlineStr">
        <is>
          <t>No</t>
        </is>
      </c>
      <c r="G187" t="inlineStr">
        <is>
          <t>1</t>
        </is>
      </c>
      <c r="H187" t="inlineStr">
        <is>
          <t>No</t>
        </is>
      </c>
      <c r="I187" t="inlineStr">
        <is>
          <t>No</t>
        </is>
      </c>
      <c r="J187" t="inlineStr">
        <is>
          <t>0</t>
        </is>
      </c>
      <c r="K187" t="inlineStr">
        <is>
          <t>Smith, Elske v. P. (Elske van Panhuys), 1929-</t>
        </is>
      </c>
      <c r="L187" t="inlineStr">
        <is>
          <t>Philadelphia : Saunders, 1973.</t>
        </is>
      </c>
      <c r="M187" t="inlineStr">
        <is>
          <t>1973</t>
        </is>
      </c>
      <c r="O187" t="inlineStr">
        <is>
          <t>eng</t>
        </is>
      </c>
      <c r="P187" t="inlineStr">
        <is>
          <t>pau</t>
        </is>
      </c>
      <c r="R187" t="inlineStr">
        <is>
          <t xml:space="preserve">QB </t>
        </is>
      </c>
      <c r="S187" t="n">
        <v>3</v>
      </c>
      <c r="T187" t="n">
        <v>3</v>
      </c>
      <c r="U187" t="inlineStr">
        <is>
          <t>1997-05-03</t>
        </is>
      </c>
      <c r="V187" t="inlineStr">
        <is>
          <t>1997-05-03</t>
        </is>
      </c>
      <c r="W187" t="inlineStr">
        <is>
          <t>1994-06-10</t>
        </is>
      </c>
      <c r="X187" t="inlineStr">
        <is>
          <t>1994-06-10</t>
        </is>
      </c>
      <c r="Y187" t="n">
        <v>454</v>
      </c>
      <c r="Z187" t="n">
        <v>334</v>
      </c>
      <c r="AA187" t="n">
        <v>340</v>
      </c>
      <c r="AB187" t="n">
        <v>2</v>
      </c>
      <c r="AC187" t="n">
        <v>2</v>
      </c>
      <c r="AD187" t="n">
        <v>9</v>
      </c>
      <c r="AE187" t="n">
        <v>9</v>
      </c>
      <c r="AF187" t="n">
        <v>3</v>
      </c>
      <c r="AG187" t="n">
        <v>3</v>
      </c>
      <c r="AH187" t="n">
        <v>2</v>
      </c>
      <c r="AI187" t="n">
        <v>2</v>
      </c>
      <c r="AJ187" t="n">
        <v>6</v>
      </c>
      <c r="AK187" t="n">
        <v>6</v>
      </c>
      <c r="AL187" t="n">
        <v>1</v>
      </c>
      <c r="AM187" t="n">
        <v>1</v>
      </c>
      <c r="AN187" t="n">
        <v>0</v>
      </c>
      <c r="AO187" t="n">
        <v>0</v>
      </c>
      <c r="AP187" t="inlineStr">
        <is>
          <t>No</t>
        </is>
      </c>
      <c r="AQ187" t="inlineStr">
        <is>
          <t>Yes</t>
        </is>
      </c>
      <c r="AR187">
        <f>HYPERLINK("http://catalog.hathitrust.org/Record/001475961","HathiTrust Record")</f>
        <v/>
      </c>
      <c r="AS187">
        <f>HYPERLINK("https://creighton-primo.hosted.exlibrisgroup.com/primo-explore/search?tab=default_tab&amp;search_scope=EVERYTHING&amp;vid=01CRU&amp;lang=en_US&amp;offset=0&amp;query=any,contains,991003148009702656","Catalog Record")</f>
        <v/>
      </c>
      <c r="AT187">
        <f>HYPERLINK("http://www.worldcat.org/oclc/688169","WorldCat Record")</f>
        <v/>
      </c>
      <c r="AU187" t="inlineStr">
        <is>
          <t>5616723995:eng</t>
        </is>
      </c>
      <c r="AV187" t="inlineStr">
        <is>
          <t>688169</t>
        </is>
      </c>
      <c r="AW187" t="inlineStr">
        <is>
          <t>991003148009702656</t>
        </is>
      </c>
      <c r="AX187" t="inlineStr">
        <is>
          <t>991003148009702656</t>
        </is>
      </c>
      <c r="AY187" t="inlineStr">
        <is>
          <t>2272222100002656</t>
        </is>
      </c>
      <c r="AZ187" t="inlineStr">
        <is>
          <t>BOOK</t>
        </is>
      </c>
      <c r="BB187" t="inlineStr">
        <is>
          <t>9780721683874</t>
        </is>
      </c>
      <c r="BC187" t="inlineStr">
        <is>
          <t>32285001928810</t>
        </is>
      </c>
      <c r="BD187" t="inlineStr">
        <is>
          <t>893623197</t>
        </is>
      </c>
    </row>
    <row r="188">
      <c r="A188" t="inlineStr">
        <is>
          <t>No</t>
        </is>
      </c>
      <c r="B188" t="inlineStr">
        <is>
          <t>QB450 .G75 2000</t>
        </is>
      </c>
      <c r="C188" t="inlineStr">
        <is>
          <t>0                      QB 0450000G  75          2000</t>
        </is>
      </c>
      <c r="D188" t="inlineStr">
        <is>
          <t>Stardust : supernovae and life-- the cosmic connection / John Gribbin with Mary Gribbin.</t>
        </is>
      </c>
      <c r="F188" t="inlineStr">
        <is>
          <t>No</t>
        </is>
      </c>
      <c r="G188" t="inlineStr">
        <is>
          <t>1</t>
        </is>
      </c>
      <c r="H188" t="inlineStr">
        <is>
          <t>No</t>
        </is>
      </c>
      <c r="I188" t="inlineStr">
        <is>
          <t>No</t>
        </is>
      </c>
      <c r="J188" t="inlineStr">
        <is>
          <t>0</t>
        </is>
      </c>
      <c r="K188" t="inlineStr">
        <is>
          <t>Gribbin, John, 1946-</t>
        </is>
      </c>
      <c r="L188" t="inlineStr">
        <is>
          <t>New Haven : Yale University Press, c2000.</t>
        </is>
      </c>
      <c r="M188" t="inlineStr">
        <is>
          <t>2000</t>
        </is>
      </c>
      <c r="O188" t="inlineStr">
        <is>
          <t>eng</t>
        </is>
      </c>
      <c r="P188" t="inlineStr">
        <is>
          <t>ctu</t>
        </is>
      </c>
      <c r="R188" t="inlineStr">
        <is>
          <t xml:space="preserve">QB </t>
        </is>
      </c>
      <c r="S188" t="n">
        <v>2</v>
      </c>
      <c r="T188" t="n">
        <v>2</v>
      </c>
      <c r="U188" t="inlineStr">
        <is>
          <t>2008-11-18</t>
        </is>
      </c>
      <c r="V188" t="inlineStr">
        <is>
          <t>2008-11-18</t>
        </is>
      </c>
      <c r="W188" t="inlineStr">
        <is>
          <t>2002-07-09</t>
        </is>
      </c>
      <c r="X188" t="inlineStr">
        <is>
          <t>2002-07-09</t>
        </is>
      </c>
      <c r="Y188" t="n">
        <v>914</v>
      </c>
      <c r="Z188" t="n">
        <v>865</v>
      </c>
      <c r="AA188" t="n">
        <v>888</v>
      </c>
      <c r="AB188" t="n">
        <v>8</v>
      </c>
      <c r="AC188" t="n">
        <v>9</v>
      </c>
      <c r="AD188" t="n">
        <v>32</v>
      </c>
      <c r="AE188" t="n">
        <v>34</v>
      </c>
      <c r="AF188" t="n">
        <v>14</v>
      </c>
      <c r="AG188" t="n">
        <v>14</v>
      </c>
      <c r="AH188" t="n">
        <v>6</v>
      </c>
      <c r="AI188" t="n">
        <v>6</v>
      </c>
      <c r="AJ188" t="n">
        <v>12</v>
      </c>
      <c r="AK188" t="n">
        <v>13</v>
      </c>
      <c r="AL188" t="n">
        <v>7</v>
      </c>
      <c r="AM188" t="n">
        <v>8</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HYPERLINK("https://creighton-primo.hosted.exlibrisgroup.com/primo-explore/search?tab=default_tab&amp;search_scope=EVERYTHING&amp;vid=01CRU&amp;lang=en_US&amp;offset=0&amp;query=any,contains,991003827219702656","Catalog Record")</f>
        <v/>
      </c>
      <c r="AT188">
        <f>HYPERLINK("http://www.worldcat.org/oclc/43701624","WorldCat Record")</f>
        <v/>
      </c>
      <c r="AU188" t="inlineStr">
        <is>
          <t>19198656:eng</t>
        </is>
      </c>
      <c r="AV188" t="inlineStr">
        <is>
          <t>43701624</t>
        </is>
      </c>
      <c r="AW188" t="inlineStr">
        <is>
          <t>991003827219702656</t>
        </is>
      </c>
      <c r="AX188" t="inlineStr">
        <is>
          <t>991003827219702656</t>
        </is>
      </c>
      <c r="AY188" t="inlineStr">
        <is>
          <t>2271474800002656</t>
        </is>
      </c>
      <c r="AZ188" t="inlineStr">
        <is>
          <t>BOOK</t>
        </is>
      </c>
      <c r="BB188" t="inlineStr">
        <is>
          <t>9780300084191</t>
        </is>
      </c>
      <c r="BC188" t="inlineStr">
        <is>
          <t>32285004496880</t>
        </is>
      </c>
      <c r="BD188" t="inlineStr">
        <is>
          <t>893343069</t>
        </is>
      </c>
    </row>
    <row r="189">
      <c r="A189" t="inlineStr">
        <is>
          <t>No</t>
        </is>
      </c>
      <c r="B189" t="inlineStr">
        <is>
          <t>QB46 .D53 1987</t>
        </is>
      </c>
      <c r="C189" t="inlineStr">
        <is>
          <t>0                      QB 0046000D  53          1987</t>
        </is>
      </c>
      <c r="D189" t="inlineStr">
        <is>
          <t>Exploring the night sky : the equinox astronomy guide for beginners / Terence Dickinson ; principal illustrations by John Bianchi.</t>
        </is>
      </c>
      <c r="F189" t="inlineStr">
        <is>
          <t>No</t>
        </is>
      </c>
      <c r="G189" t="inlineStr">
        <is>
          <t>1</t>
        </is>
      </c>
      <c r="H189" t="inlineStr">
        <is>
          <t>No</t>
        </is>
      </c>
      <c r="I189" t="inlineStr">
        <is>
          <t>No</t>
        </is>
      </c>
      <c r="J189" t="inlineStr">
        <is>
          <t>0</t>
        </is>
      </c>
      <c r="K189" t="inlineStr">
        <is>
          <t>Dickinson, Terence.</t>
        </is>
      </c>
      <c r="L189" t="inlineStr">
        <is>
          <t>Camden East, Ont. : Camden House, 1987.</t>
        </is>
      </c>
      <c r="M189" t="inlineStr">
        <is>
          <t>1987</t>
        </is>
      </c>
      <c r="O189" t="inlineStr">
        <is>
          <t>eng</t>
        </is>
      </c>
      <c r="P189" t="inlineStr">
        <is>
          <t>onc</t>
        </is>
      </c>
      <c r="R189" t="inlineStr">
        <is>
          <t xml:space="preserve">QB </t>
        </is>
      </c>
      <c r="S189" t="n">
        <v>23</v>
      </c>
      <c r="T189" t="n">
        <v>23</v>
      </c>
      <c r="U189" t="inlineStr">
        <is>
          <t>2009-10-07</t>
        </is>
      </c>
      <c r="V189" t="inlineStr">
        <is>
          <t>2009-10-07</t>
        </is>
      </c>
      <c r="W189" t="inlineStr">
        <is>
          <t>1993-04-13</t>
        </is>
      </c>
      <c r="X189" t="inlineStr">
        <is>
          <t>1993-04-13</t>
        </is>
      </c>
      <c r="Y189" t="n">
        <v>799</v>
      </c>
      <c r="Z189" t="n">
        <v>704</v>
      </c>
      <c r="AA189" t="n">
        <v>925</v>
      </c>
      <c r="AB189" t="n">
        <v>7</v>
      </c>
      <c r="AC189" t="n">
        <v>10</v>
      </c>
      <c r="AD189" t="n">
        <v>2</v>
      </c>
      <c r="AE189" t="n">
        <v>3</v>
      </c>
      <c r="AF189" t="n">
        <v>1</v>
      </c>
      <c r="AG189" t="n">
        <v>2</v>
      </c>
      <c r="AH189" t="n">
        <v>1</v>
      </c>
      <c r="AI189" t="n">
        <v>1</v>
      </c>
      <c r="AJ189" t="n">
        <v>1</v>
      </c>
      <c r="AK189" t="n">
        <v>1</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HYPERLINK("https://creighton-primo.hosted.exlibrisgroup.com/primo-explore/search?tab=default_tab&amp;search_scope=EVERYTHING&amp;vid=01CRU&amp;lang=en_US&amp;offset=0&amp;query=any,contains,991004447989702656","Catalog Record")</f>
        <v/>
      </c>
      <c r="AT189">
        <f>HYPERLINK("http://www.worldcat.org/oclc/16174200","WorldCat Record")</f>
        <v/>
      </c>
      <c r="AU189" t="inlineStr">
        <is>
          <t>986885:eng</t>
        </is>
      </c>
      <c r="AV189" t="inlineStr">
        <is>
          <t>16174200</t>
        </is>
      </c>
      <c r="AW189" t="inlineStr">
        <is>
          <t>991004447989702656</t>
        </is>
      </c>
      <c r="AX189" t="inlineStr">
        <is>
          <t>991004447989702656</t>
        </is>
      </c>
      <c r="AY189" t="inlineStr">
        <is>
          <t>2269715480002656</t>
        </is>
      </c>
      <c r="AZ189" t="inlineStr">
        <is>
          <t>BOOK</t>
        </is>
      </c>
      <c r="BB189" t="inlineStr">
        <is>
          <t>9780920656648</t>
        </is>
      </c>
      <c r="BC189" t="inlineStr">
        <is>
          <t>32285001445344</t>
        </is>
      </c>
      <c r="BD189" t="inlineStr">
        <is>
          <t>893682578</t>
        </is>
      </c>
    </row>
    <row r="190">
      <c r="A190" t="inlineStr">
        <is>
          <t>No</t>
        </is>
      </c>
      <c r="B190" t="inlineStr">
        <is>
          <t>QB460.72.T97 A3 2004</t>
        </is>
      </c>
      <c r="C190" t="inlineStr">
        <is>
          <t>0                      QB 0460720T  97                 A  3           2004</t>
        </is>
      </c>
      <c r="D190" t="inlineStr">
        <is>
          <t>The sky is not the limit : adventures of an urban astrophysicist / Neil deGrasse Tyson.</t>
        </is>
      </c>
      <c r="F190" t="inlineStr">
        <is>
          <t>No</t>
        </is>
      </c>
      <c r="G190" t="inlineStr">
        <is>
          <t>1</t>
        </is>
      </c>
      <c r="H190" t="inlineStr">
        <is>
          <t>No</t>
        </is>
      </c>
      <c r="I190" t="inlineStr">
        <is>
          <t>No</t>
        </is>
      </c>
      <c r="J190" t="inlineStr">
        <is>
          <t>0</t>
        </is>
      </c>
      <c r="K190" t="inlineStr">
        <is>
          <t>Tyson, Neil deGrasse.</t>
        </is>
      </c>
      <c r="L190" t="inlineStr">
        <is>
          <t>Amherst, N.Y. : Prometheus Books, c2004.</t>
        </is>
      </c>
      <c r="M190" t="inlineStr">
        <is>
          <t>2004</t>
        </is>
      </c>
      <c r="O190" t="inlineStr">
        <is>
          <t>eng</t>
        </is>
      </c>
      <c r="P190" t="inlineStr">
        <is>
          <t>nyu</t>
        </is>
      </c>
      <c r="R190" t="inlineStr">
        <is>
          <t xml:space="preserve">QB </t>
        </is>
      </c>
      <c r="S190" t="n">
        <v>1</v>
      </c>
      <c r="T190" t="n">
        <v>1</v>
      </c>
      <c r="U190" t="inlineStr">
        <is>
          <t>2005-01-04</t>
        </is>
      </c>
      <c r="V190" t="inlineStr">
        <is>
          <t>2005-01-04</t>
        </is>
      </c>
      <c r="W190" t="inlineStr">
        <is>
          <t>2005-01-04</t>
        </is>
      </c>
      <c r="X190" t="inlineStr">
        <is>
          <t>2005-01-04</t>
        </is>
      </c>
      <c r="Y190" t="n">
        <v>383</v>
      </c>
      <c r="Z190" t="n">
        <v>360</v>
      </c>
      <c r="AA190" t="n">
        <v>388</v>
      </c>
      <c r="AB190" t="n">
        <v>2</v>
      </c>
      <c r="AC190" t="n">
        <v>2</v>
      </c>
      <c r="AD190" t="n">
        <v>6</v>
      </c>
      <c r="AE190" t="n">
        <v>7</v>
      </c>
      <c r="AF190" t="n">
        <v>3</v>
      </c>
      <c r="AG190" t="n">
        <v>4</v>
      </c>
      <c r="AH190" t="n">
        <v>0</v>
      </c>
      <c r="AI190" t="n">
        <v>1</v>
      </c>
      <c r="AJ190" t="n">
        <v>3</v>
      </c>
      <c r="AK190" t="n">
        <v>3</v>
      </c>
      <c r="AL190" t="n">
        <v>1</v>
      </c>
      <c r="AM190" t="n">
        <v>1</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HYPERLINK("https://creighton-primo.hosted.exlibrisgroup.com/primo-explore/search?tab=default_tab&amp;search_scope=EVERYTHING&amp;vid=01CRU&amp;lang=en_US&amp;offset=0&amp;query=any,contains,991004433479702656","Catalog Record")</f>
        <v/>
      </c>
      <c r="AT190">
        <f>HYPERLINK("http://www.worldcat.org/oclc/54499923","WorldCat Record")</f>
        <v/>
      </c>
      <c r="AU190" t="inlineStr">
        <is>
          <t>807836:eng</t>
        </is>
      </c>
      <c r="AV190" t="inlineStr">
        <is>
          <t>54499923</t>
        </is>
      </c>
      <c r="AW190" t="inlineStr">
        <is>
          <t>991004433479702656</t>
        </is>
      </c>
      <c r="AX190" t="inlineStr">
        <is>
          <t>991004433479702656</t>
        </is>
      </c>
      <c r="AY190" t="inlineStr">
        <is>
          <t>2267777020002656</t>
        </is>
      </c>
      <c r="AZ190" t="inlineStr">
        <is>
          <t>BOOK</t>
        </is>
      </c>
      <c r="BB190" t="inlineStr">
        <is>
          <t>9781591021889</t>
        </is>
      </c>
      <c r="BC190" t="inlineStr">
        <is>
          <t>32285005018493</t>
        </is>
      </c>
      <c r="BD190" t="inlineStr">
        <is>
          <t>893687723</t>
        </is>
      </c>
    </row>
    <row r="191">
      <c r="A191" t="inlineStr">
        <is>
          <t>No</t>
        </is>
      </c>
      <c r="B191" t="inlineStr">
        <is>
          <t>QB461 .A568 1991</t>
        </is>
      </c>
      <c r="C191" t="inlineStr">
        <is>
          <t>0                      QB 0461000A  568         1991</t>
        </is>
      </c>
      <c r="D191" t="inlineStr">
        <is>
          <t>Atoms, stars, and nebulae / Lawrence H. Aller.</t>
        </is>
      </c>
      <c r="F191" t="inlineStr">
        <is>
          <t>No</t>
        </is>
      </c>
      <c r="G191" t="inlineStr">
        <is>
          <t>1</t>
        </is>
      </c>
      <c r="H191" t="inlineStr">
        <is>
          <t>No</t>
        </is>
      </c>
      <c r="I191" t="inlineStr">
        <is>
          <t>No</t>
        </is>
      </c>
      <c r="J191" t="inlineStr">
        <is>
          <t>0</t>
        </is>
      </c>
      <c r="K191" t="inlineStr">
        <is>
          <t>Aller, Lawrence H. (Lawrence Hugh), 1913-2003.</t>
        </is>
      </c>
      <c r="L191" t="inlineStr">
        <is>
          <t>Cambridge ; New York : Cambridge University Press, 1991.</t>
        </is>
      </c>
      <c r="M191" t="inlineStr">
        <is>
          <t>1991</t>
        </is>
      </c>
      <c r="N191" t="inlineStr">
        <is>
          <t>3rd ed.</t>
        </is>
      </c>
      <c r="O191" t="inlineStr">
        <is>
          <t>eng</t>
        </is>
      </c>
      <c r="P191" t="inlineStr">
        <is>
          <t>enk</t>
        </is>
      </c>
      <c r="R191" t="inlineStr">
        <is>
          <t xml:space="preserve">QB </t>
        </is>
      </c>
      <c r="S191" t="n">
        <v>2</v>
      </c>
      <c r="T191" t="n">
        <v>2</v>
      </c>
      <c r="U191" t="inlineStr">
        <is>
          <t>1995-09-22</t>
        </is>
      </c>
      <c r="V191" t="inlineStr">
        <is>
          <t>1995-09-22</t>
        </is>
      </c>
      <c r="W191" t="inlineStr">
        <is>
          <t>1993-01-19</t>
        </is>
      </c>
      <c r="X191" t="inlineStr">
        <is>
          <t>1993-01-19</t>
        </is>
      </c>
      <c r="Y191" t="n">
        <v>427</v>
      </c>
      <c r="Z191" t="n">
        <v>331</v>
      </c>
      <c r="AA191" t="n">
        <v>567</v>
      </c>
      <c r="AB191" t="n">
        <v>3</v>
      </c>
      <c r="AC191" t="n">
        <v>5</v>
      </c>
      <c r="AD191" t="n">
        <v>12</v>
      </c>
      <c r="AE191" t="n">
        <v>20</v>
      </c>
      <c r="AF191" t="n">
        <v>6</v>
      </c>
      <c r="AG191" t="n">
        <v>6</v>
      </c>
      <c r="AH191" t="n">
        <v>3</v>
      </c>
      <c r="AI191" t="n">
        <v>4</v>
      </c>
      <c r="AJ191" t="n">
        <v>3</v>
      </c>
      <c r="AK191" t="n">
        <v>9</v>
      </c>
      <c r="AL191" t="n">
        <v>2</v>
      </c>
      <c r="AM191" t="n">
        <v>4</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HYPERLINK("https://creighton-primo.hosted.exlibrisgroup.com/primo-explore/search?tab=default_tab&amp;search_scope=EVERYTHING&amp;vid=01CRU&amp;lang=en_US&amp;offset=0&amp;query=any,contains,991001745319702656","Catalog Record")</f>
        <v/>
      </c>
      <c r="AT191">
        <f>HYPERLINK("http://www.worldcat.org/oclc/22112056","WorldCat Record")</f>
        <v/>
      </c>
      <c r="AU191" t="inlineStr">
        <is>
          <t>8910230239:eng</t>
        </is>
      </c>
      <c r="AV191" t="inlineStr">
        <is>
          <t>22112056</t>
        </is>
      </c>
      <c r="AW191" t="inlineStr">
        <is>
          <t>991001745319702656</t>
        </is>
      </c>
      <c r="AX191" t="inlineStr">
        <is>
          <t>991001745319702656</t>
        </is>
      </c>
      <c r="AY191" t="inlineStr">
        <is>
          <t>2265570100002656</t>
        </is>
      </c>
      <c r="AZ191" t="inlineStr">
        <is>
          <t>BOOK</t>
        </is>
      </c>
      <c r="BB191" t="inlineStr">
        <is>
          <t>9780521310406</t>
        </is>
      </c>
      <c r="BC191" t="inlineStr">
        <is>
          <t>32285001446607</t>
        </is>
      </c>
      <c r="BD191" t="inlineStr">
        <is>
          <t>893328341</t>
        </is>
      </c>
    </row>
    <row r="192">
      <c r="A192" t="inlineStr">
        <is>
          <t>No</t>
        </is>
      </c>
      <c r="B192" t="inlineStr">
        <is>
          <t>QB461 .C47 1989</t>
        </is>
      </c>
      <c r="C192" t="inlineStr">
        <is>
          <t>0                      QB 0461000C  47          1989</t>
        </is>
      </c>
      <c r="D192" t="inlineStr">
        <is>
          <t>Stochastic, statistical, and hydromagnetic problems in physics and astronomy / S. Chandrasekhar.</t>
        </is>
      </c>
      <c r="F192" t="inlineStr">
        <is>
          <t>No</t>
        </is>
      </c>
      <c r="G192" t="inlineStr">
        <is>
          <t>1</t>
        </is>
      </c>
      <c r="H192" t="inlineStr">
        <is>
          <t>No</t>
        </is>
      </c>
      <c r="I192" t="inlineStr">
        <is>
          <t>No</t>
        </is>
      </c>
      <c r="J192" t="inlineStr">
        <is>
          <t>0</t>
        </is>
      </c>
      <c r="K192" t="inlineStr">
        <is>
          <t>Chandrasekhar, S. (Subrahmanyan), 1910-1995.</t>
        </is>
      </c>
      <c r="L192" t="inlineStr">
        <is>
          <t>Chicago : University of Chicago Press, c1989.</t>
        </is>
      </c>
      <c r="M192" t="inlineStr">
        <is>
          <t>1989</t>
        </is>
      </c>
      <c r="O192" t="inlineStr">
        <is>
          <t>eng</t>
        </is>
      </c>
      <c r="P192" t="inlineStr">
        <is>
          <t>ilu</t>
        </is>
      </c>
      <c r="Q192" t="inlineStr">
        <is>
          <t>Selected papers ; v. 3</t>
        </is>
      </c>
      <c r="R192" t="inlineStr">
        <is>
          <t xml:space="preserve">QB </t>
        </is>
      </c>
      <c r="S192" t="n">
        <v>2</v>
      </c>
      <c r="T192" t="n">
        <v>2</v>
      </c>
      <c r="U192" t="inlineStr">
        <is>
          <t>1998-12-23</t>
        </is>
      </c>
      <c r="V192" t="inlineStr">
        <is>
          <t>1998-12-23</t>
        </is>
      </c>
      <c r="W192" t="inlineStr">
        <is>
          <t>1990-06-22</t>
        </is>
      </c>
      <c r="X192" t="inlineStr">
        <is>
          <t>1990-06-22</t>
        </is>
      </c>
      <c r="Y192" t="n">
        <v>163</v>
      </c>
      <c r="Z192" t="n">
        <v>123</v>
      </c>
      <c r="AA192" t="n">
        <v>134</v>
      </c>
      <c r="AB192" t="n">
        <v>2</v>
      </c>
      <c r="AC192" t="n">
        <v>2</v>
      </c>
      <c r="AD192" t="n">
        <v>4</v>
      </c>
      <c r="AE192" t="n">
        <v>4</v>
      </c>
      <c r="AF192" t="n">
        <v>0</v>
      </c>
      <c r="AG192" t="n">
        <v>0</v>
      </c>
      <c r="AH192" t="n">
        <v>1</v>
      </c>
      <c r="AI192" t="n">
        <v>1</v>
      </c>
      <c r="AJ192" t="n">
        <v>2</v>
      </c>
      <c r="AK192" t="n">
        <v>2</v>
      </c>
      <c r="AL192" t="n">
        <v>1</v>
      </c>
      <c r="AM192" t="n">
        <v>1</v>
      </c>
      <c r="AN192" t="n">
        <v>0</v>
      </c>
      <c r="AO192" t="n">
        <v>0</v>
      </c>
      <c r="AP192" t="inlineStr">
        <is>
          <t>No</t>
        </is>
      </c>
      <c r="AQ192" t="inlineStr">
        <is>
          <t>Yes</t>
        </is>
      </c>
      <c r="AR192">
        <f>HYPERLINK("http://catalog.hathitrust.org/Record/001943784","HathiTrust Record")</f>
        <v/>
      </c>
      <c r="AS192">
        <f>HYPERLINK("https://creighton-primo.hosted.exlibrisgroup.com/primo-explore/search?tab=default_tab&amp;search_scope=EVERYTHING&amp;vid=01CRU&amp;lang=en_US&amp;offset=0&amp;query=any,contains,991001472609702656","Catalog Record")</f>
        <v/>
      </c>
      <c r="AT192">
        <f>HYPERLINK("http://www.worldcat.org/oclc/19554331","WorldCat Record")</f>
        <v/>
      </c>
      <c r="AU192" t="inlineStr">
        <is>
          <t>53100862:eng</t>
        </is>
      </c>
      <c r="AV192" t="inlineStr">
        <is>
          <t>19554331</t>
        </is>
      </c>
      <c r="AW192" t="inlineStr">
        <is>
          <t>991001472609702656</t>
        </is>
      </c>
      <c r="AX192" t="inlineStr">
        <is>
          <t>991001472609702656</t>
        </is>
      </c>
      <c r="AY192" t="inlineStr">
        <is>
          <t>2271081830002656</t>
        </is>
      </c>
      <c r="AZ192" t="inlineStr">
        <is>
          <t>BOOK</t>
        </is>
      </c>
      <c r="BB192" t="inlineStr">
        <is>
          <t>9780226100951</t>
        </is>
      </c>
      <c r="BC192" t="inlineStr">
        <is>
          <t>32285000179555</t>
        </is>
      </c>
      <c r="BD192" t="inlineStr">
        <is>
          <t>893785121</t>
        </is>
      </c>
    </row>
    <row r="193">
      <c r="A193" t="inlineStr">
        <is>
          <t>No</t>
        </is>
      </c>
      <c r="B193" t="inlineStr">
        <is>
          <t>QB461 .C62 1998</t>
        </is>
      </c>
      <c r="C193" t="inlineStr">
        <is>
          <t>0                      QB 0461000C  62          1998</t>
        </is>
      </c>
      <c r="D193" t="inlineStr">
        <is>
          <t>Cosmic bullets : high energy particles in astrophysics / Roger Clay, Bruce Dawson ; foreword by Paul Davies.</t>
        </is>
      </c>
      <c r="F193" t="inlineStr">
        <is>
          <t>No</t>
        </is>
      </c>
      <c r="G193" t="inlineStr">
        <is>
          <t>1</t>
        </is>
      </c>
      <c r="H193" t="inlineStr">
        <is>
          <t>No</t>
        </is>
      </c>
      <c r="I193" t="inlineStr">
        <is>
          <t>No</t>
        </is>
      </c>
      <c r="J193" t="inlineStr">
        <is>
          <t>0</t>
        </is>
      </c>
      <c r="K193" t="inlineStr">
        <is>
          <t>Clay, Roger, 1946-</t>
        </is>
      </c>
      <c r="L193" t="inlineStr">
        <is>
          <t>Reading, Mass. : Addison-Wesley, [1998]</t>
        </is>
      </c>
      <c r="M193" t="inlineStr">
        <is>
          <t>1998</t>
        </is>
      </c>
      <c r="O193" t="inlineStr">
        <is>
          <t>eng</t>
        </is>
      </c>
      <c r="P193" t="inlineStr">
        <is>
          <t>mau</t>
        </is>
      </c>
      <c r="Q193" t="inlineStr">
        <is>
          <t>Frontiers of science</t>
        </is>
      </c>
      <c r="R193" t="inlineStr">
        <is>
          <t xml:space="preserve">QB </t>
        </is>
      </c>
      <c r="S193" t="n">
        <v>2</v>
      </c>
      <c r="T193" t="n">
        <v>2</v>
      </c>
      <c r="U193" t="inlineStr">
        <is>
          <t>2006-03-14</t>
        </is>
      </c>
      <c r="V193" t="inlineStr">
        <is>
          <t>2006-03-14</t>
        </is>
      </c>
      <c r="W193" t="inlineStr">
        <is>
          <t>1999-05-05</t>
        </is>
      </c>
      <c r="X193" t="inlineStr">
        <is>
          <t>1999-05-05</t>
        </is>
      </c>
      <c r="Y193" t="n">
        <v>236</v>
      </c>
      <c r="Z193" t="n">
        <v>222</v>
      </c>
      <c r="AA193" t="n">
        <v>261</v>
      </c>
      <c r="AB193" t="n">
        <v>3</v>
      </c>
      <c r="AC193" t="n">
        <v>3</v>
      </c>
      <c r="AD193" t="n">
        <v>4</v>
      </c>
      <c r="AE193" t="n">
        <v>6</v>
      </c>
      <c r="AF193" t="n">
        <v>2</v>
      </c>
      <c r="AG193" t="n">
        <v>3</v>
      </c>
      <c r="AH193" t="n">
        <v>0</v>
      </c>
      <c r="AI193" t="n">
        <v>0</v>
      </c>
      <c r="AJ193" t="n">
        <v>2</v>
      </c>
      <c r="AK193" t="n">
        <v>4</v>
      </c>
      <c r="AL193" t="n">
        <v>1</v>
      </c>
      <c r="AM193" t="n">
        <v>1</v>
      </c>
      <c r="AN193" t="n">
        <v>0</v>
      </c>
      <c r="AO193" t="n">
        <v>0</v>
      </c>
      <c r="AP193" t="inlineStr">
        <is>
          <t>No</t>
        </is>
      </c>
      <c r="AQ193" t="inlineStr">
        <is>
          <t>Yes</t>
        </is>
      </c>
      <c r="AR193">
        <f>HYPERLINK("http://catalog.hathitrust.org/Record/003974580","HathiTrust Record")</f>
        <v/>
      </c>
      <c r="AS193">
        <f>HYPERLINK("https://creighton-primo.hosted.exlibrisgroup.com/primo-explore/search?tab=default_tab&amp;search_scope=EVERYTHING&amp;vid=01CRU&amp;lang=en_US&amp;offset=0&amp;query=any,contains,991002921059702656","Catalog Record")</f>
        <v/>
      </c>
      <c r="AT193">
        <f>HYPERLINK("http://www.worldcat.org/oclc/38752973","WorldCat Record")</f>
        <v/>
      </c>
      <c r="AU193" t="inlineStr">
        <is>
          <t>8481517:eng</t>
        </is>
      </c>
      <c r="AV193" t="inlineStr">
        <is>
          <t>38752973</t>
        </is>
      </c>
      <c r="AW193" t="inlineStr">
        <is>
          <t>991002921059702656</t>
        </is>
      </c>
      <c r="AX193" t="inlineStr">
        <is>
          <t>991002921059702656</t>
        </is>
      </c>
      <c r="AY193" t="inlineStr">
        <is>
          <t>2269290440002656</t>
        </is>
      </c>
      <c r="AZ193" t="inlineStr">
        <is>
          <t>BOOK</t>
        </is>
      </c>
      <c r="BB193" t="inlineStr">
        <is>
          <t>9780201360837</t>
        </is>
      </c>
      <c r="BC193" t="inlineStr">
        <is>
          <t>32285003559167</t>
        </is>
      </c>
      <c r="BD193" t="inlineStr">
        <is>
          <t>893233609</t>
        </is>
      </c>
    </row>
    <row r="194">
      <c r="A194" t="inlineStr">
        <is>
          <t>No</t>
        </is>
      </c>
      <c r="B194" t="inlineStr">
        <is>
          <t>QB461 .H2</t>
        </is>
      </c>
      <c r="C194" t="inlineStr">
        <is>
          <t>0                      QB 0461000H  2</t>
        </is>
      </c>
      <c r="D194" t="inlineStr">
        <is>
          <t>The study of stellar evolution; an account of some recent methods of astrophysical research, by George Ellery Hale ...</t>
        </is>
      </c>
      <c r="F194" t="inlineStr">
        <is>
          <t>No</t>
        </is>
      </c>
      <c r="G194" t="inlineStr">
        <is>
          <t>1</t>
        </is>
      </c>
      <c r="H194" t="inlineStr">
        <is>
          <t>No</t>
        </is>
      </c>
      <c r="I194" t="inlineStr">
        <is>
          <t>No</t>
        </is>
      </c>
      <c r="J194" t="inlineStr">
        <is>
          <t>0</t>
        </is>
      </c>
      <c r="K194" t="inlineStr">
        <is>
          <t>Hale, George Ellery, 1868-1938.</t>
        </is>
      </c>
      <c r="L194" t="inlineStr">
        <is>
          <t>Chicago, The University of Chicago Press, 1908.</t>
        </is>
      </c>
      <c r="M194" t="inlineStr">
        <is>
          <t>1908</t>
        </is>
      </c>
      <c r="O194" t="inlineStr">
        <is>
          <t>eng</t>
        </is>
      </c>
      <c r="P194" t="inlineStr">
        <is>
          <t>ilu</t>
        </is>
      </c>
      <c r="Q194" t="inlineStr">
        <is>
          <t>The decennial publications of the University of Chicago. [2d series, vol. X]</t>
        </is>
      </c>
      <c r="R194" t="inlineStr">
        <is>
          <t xml:space="preserve">QB </t>
        </is>
      </c>
      <c r="S194" t="n">
        <v>1</v>
      </c>
      <c r="T194" t="n">
        <v>1</v>
      </c>
      <c r="U194" t="inlineStr">
        <is>
          <t>2007-11-11</t>
        </is>
      </c>
      <c r="V194" t="inlineStr">
        <is>
          <t>2007-11-11</t>
        </is>
      </c>
      <c r="W194" t="inlineStr">
        <is>
          <t>1997-05-02</t>
        </is>
      </c>
      <c r="X194" t="inlineStr">
        <is>
          <t>1997-05-02</t>
        </is>
      </c>
      <c r="Y194" t="n">
        <v>195</v>
      </c>
      <c r="Z194" t="n">
        <v>151</v>
      </c>
      <c r="AA194" t="n">
        <v>166</v>
      </c>
      <c r="AB194" t="n">
        <v>3</v>
      </c>
      <c r="AC194" t="n">
        <v>3</v>
      </c>
      <c r="AD194" t="n">
        <v>3</v>
      </c>
      <c r="AE194" t="n">
        <v>4</v>
      </c>
      <c r="AF194" t="n">
        <v>1</v>
      </c>
      <c r="AG194" t="n">
        <v>1</v>
      </c>
      <c r="AH194" t="n">
        <v>0</v>
      </c>
      <c r="AI194" t="n">
        <v>1</v>
      </c>
      <c r="AJ194" t="n">
        <v>0</v>
      </c>
      <c r="AK194" t="n">
        <v>0</v>
      </c>
      <c r="AL194" t="n">
        <v>2</v>
      </c>
      <c r="AM194" t="n">
        <v>2</v>
      </c>
      <c r="AN194" t="n">
        <v>0</v>
      </c>
      <c r="AO194" t="n">
        <v>0</v>
      </c>
      <c r="AP194" t="inlineStr">
        <is>
          <t>Yes</t>
        </is>
      </c>
      <c r="AQ194" t="inlineStr">
        <is>
          <t>No</t>
        </is>
      </c>
      <c r="AR194">
        <f>HYPERLINK("http://catalog.hathitrust.org/Record/001476607","HathiTrust Record")</f>
        <v/>
      </c>
      <c r="AS194">
        <f>HYPERLINK("https://creighton-primo.hosted.exlibrisgroup.com/primo-explore/search?tab=default_tab&amp;search_scope=EVERYTHING&amp;vid=01CRU&amp;lang=en_US&amp;offset=0&amp;query=any,contains,991003933999702656","Catalog Record")</f>
        <v/>
      </c>
      <c r="AT194">
        <f>HYPERLINK("http://www.worldcat.org/oclc/1906944","WorldCat Record")</f>
        <v/>
      </c>
      <c r="AU194" t="inlineStr">
        <is>
          <t>2615036:eng</t>
        </is>
      </c>
      <c r="AV194" t="inlineStr">
        <is>
          <t>1906944</t>
        </is>
      </c>
      <c r="AW194" t="inlineStr">
        <is>
          <t>991003933999702656</t>
        </is>
      </c>
      <c r="AX194" t="inlineStr">
        <is>
          <t>991003933999702656</t>
        </is>
      </c>
      <c r="AY194" t="inlineStr">
        <is>
          <t>2257256710002656</t>
        </is>
      </c>
      <c r="AZ194" t="inlineStr">
        <is>
          <t>BOOK</t>
        </is>
      </c>
      <c r="BC194" t="inlineStr">
        <is>
          <t>32285002640901</t>
        </is>
      </c>
      <c r="BD194" t="inlineStr">
        <is>
          <t>893627896</t>
        </is>
      </c>
    </row>
    <row r="195">
      <c r="A195" t="inlineStr">
        <is>
          <t>No</t>
        </is>
      </c>
      <c r="B195" t="inlineStr">
        <is>
          <t>QB461 .L36</t>
        </is>
      </c>
      <c r="C195" t="inlineStr">
        <is>
          <t>0                      QB 0461000L  36</t>
        </is>
      </c>
      <c r="D195" t="inlineStr">
        <is>
          <t>Astrophysical formulae : a compendium for the physicist and astrophysicist / Kenneth R. Lang.</t>
        </is>
      </c>
      <c r="F195" t="inlineStr">
        <is>
          <t>No</t>
        </is>
      </c>
      <c r="G195" t="inlineStr">
        <is>
          <t>1</t>
        </is>
      </c>
      <c r="H195" t="inlineStr">
        <is>
          <t>No</t>
        </is>
      </c>
      <c r="I195" t="inlineStr">
        <is>
          <t>No</t>
        </is>
      </c>
      <c r="J195" t="inlineStr">
        <is>
          <t>0</t>
        </is>
      </c>
      <c r="K195" t="inlineStr">
        <is>
          <t>Lang, Kenneth R.</t>
        </is>
      </c>
      <c r="L195" t="inlineStr">
        <is>
          <t>Berlin ; New York : Springer, 1974.</t>
        </is>
      </c>
      <c r="M195" t="inlineStr">
        <is>
          <t>1974</t>
        </is>
      </c>
      <c r="O195" t="inlineStr">
        <is>
          <t>eng</t>
        </is>
      </c>
      <c r="P195" t="inlineStr">
        <is>
          <t xml:space="preserve">gw </t>
        </is>
      </c>
      <c r="R195" t="inlineStr">
        <is>
          <t xml:space="preserve">QB </t>
        </is>
      </c>
      <c r="S195" t="n">
        <v>4</v>
      </c>
      <c r="T195" t="n">
        <v>4</v>
      </c>
      <c r="U195" t="inlineStr">
        <is>
          <t>1997-12-03</t>
        </is>
      </c>
      <c r="V195" t="inlineStr">
        <is>
          <t>1997-12-03</t>
        </is>
      </c>
      <c r="W195" t="inlineStr">
        <is>
          <t>1992-11-19</t>
        </is>
      </c>
      <c r="X195" t="inlineStr">
        <is>
          <t>1992-11-19</t>
        </is>
      </c>
      <c r="Y195" t="n">
        <v>258</v>
      </c>
      <c r="Z195" t="n">
        <v>166</v>
      </c>
      <c r="AA195" t="n">
        <v>433</v>
      </c>
      <c r="AB195" t="n">
        <v>3</v>
      </c>
      <c r="AC195" t="n">
        <v>3</v>
      </c>
      <c r="AD195" t="n">
        <v>5</v>
      </c>
      <c r="AE195" t="n">
        <v>17</v>
      </c>
      <c r="AF195" t="n">
        <v>0</v>
      </c>
      <c r="AG195" t="n">
        <v>6</v>
      </c>
      <c r="AH195" t="n">
        <v>2</v>
      </c>
      <c r="AI195" t="n">
        <v>5</v>
      </c>
      <c r="AJ195" t="n">
        <v>1</v>
      </c>
      <c r="AK195" t="n">
        <v>8</v>
      </c>
      <c r="AL195" t="n">
        <v>2</v>
      </c>
      <c r="AM195" t="n">
        <v>2</v>
      </c>
      <c r="AN195" t="n">
        <v>0</v>
      </c>
      <c r="AO195" t="n">
        <v>0</v>
      </c>
      <c r="AP195" t="inlineStr">
        <is>
          <t>No</t>
        </is>
      </c>
      <c r="AQ195" t="inlineStr">
        <is>
          <t>Yes</t>
        </is>
      </c>
      <c r="AR195">
        <f>HYPERLINK("http://catalog.hathitrust.org/Record/001476615","HathiTrust Record")</f>
        <v/>
      </c>
      <c r="AS195">
        <f>HYPERLINK("https://creighton-primo.hosted.exlibrisgroup.com/primo-explore/search?tab=default_tab&amp;search_scope=EVERYTHING&amp;vid=01CRU&amp;lang=en_US&amp;offset=0&amp;query=any,contains,991003732009702656","Catalog Record")</f>
        <v/>
      </c>
      <c r="AT195">
        <f>HYPERLINK("http://www.worldcat.org/oclc/1383635","WorldCat Record")</f>
        <v/>
      </c>
      <c r="AU195" t="inlineStr">
        <is>
          <t>364471986:eng</t>
        </is>
      </c>
      <c r="AV195" t="inlineStr">
        <is>
          <t>1383635</t>
        </is>
      </c>
      <c r="AW195" t="inlineStr">
        <is>
          <t>991003732009702656</t>
        </is>
      </c>
      <c r="AX195" t="inlineStr">
        <is>
          <t>991003732009702656</t>
        </is>
      </c>
      <c r="AY195" t="inlineStr">
        <is>
          <t>2263909280002656</t>
        </is>
      </c>
      <c r="AZ195" t="inlineStr">
        <is>
          <t>BOOK</t>
        </is>
      </c>
      <c r="BB195" t="inlineStr">
        <is>
          <t>9780387066059</t>
        </is>
      </c>
      <c r="BC195" t="inlineStr">
        <is>
          <t>32285001432854</t>
        </is>
      </c>
      <c r="BD195" t="inlineStr">
        <is>
          <t>893894051</t>
        </is>
      </c>
    </row>
    <row r="196">
      <c r="A196" t="inlineStr">
        <is>
          <t>No</t>
        </is>
      </c>
      <c r="B196" t="inlineStr">
        <is>
          <t>QB461 .L52</t>
        </is>
      </c>
      <c r="C196" t="inlineStr">
        <is>
          <t>0                      QB 0461000L  52</t>
        </is>
      </c>
      <c r="D196" t="inlineStr">
        <is>
          <t>Space astrophysics.</t>
        </is>
      </c>
      <c r="F196" t="inlineStr">
        <is>
          <t>No</t>
        </is>
      </c>
      <c r="G196" t="inlineStr">
        <is>
          <t>1</t>
        </is>
      </c>
      <c r="H196" t="inlineStr">
        <is>
          <t>No</t>
        </is>
      </c>
      <c r="I196" t="inlineStr">
        <is>
          <t>No</t>
        </is>
      </c>
      <c r="J196" t="inlineStr">
        <is>
          <t>0</t>
        </is>
      </c>
      <c r="K196" t="inlineStr">
        <is>
          <t>Liller, William, 1927-, editor.</t>
        </is>
      </c>
      <c r="L196" t="inlineStr">
        <is>
          <t>New York, McGraw-Hill, 1961.</t>
        </is>
      </c>
      <c r="M196" t="inlineStr">
        <is>
          <t>1961</t>
        </is>
      </c>
      <c r="O196" t="inlineStr">
        <is>
          <t>eng</t>
        </is>
      </c>
      <c r="P196" t="inlineStr">
        <is>
          <t>nyu</t>
        </is>
      </c>
      <c r="Q196" t="inlineStr">
        <is>
          <t>The University of Michigan Institute of Science and Technology series</t>
        </is>
      </c>
      <c r="R196" t="inlineStr">
        <is>
          <t xml:space="preserve">QB </t>
        </is>
      </c>
      <c r="S196" t="n">
        <v>5</v>
      </c>
      <c r="T196" t="n">
        <v>5</v>
      </c>
      <c r="U196" t="inlineStr">
        <is>
          <t>2000-01-24</t>
        </is>
      </c>
      <c r="V196" t="inlineStr">
        <is>
          <t>2000-01-24</t>
        </is>
      </c>
      <c r="W196" t="inlineStr">
        <is>
          <t>1997-05-02</t>
        </is>
      </c>
      <c r="X196" t="inlineStr">
        <is>
          <t>1997-05-02</t>
        </is>
      </c>
      <c r="Y196" t="n">
        <v>421</v>
      </c>
      <c r="Z196" t="n">
        <v>339</v>
      </c>
      <c r="AA196" t="n">
        <v>347</v>
      </c>
      <c r="AB196" t="n">
        <v>2</v>
      </c>
      <c r="AC196" t="n">
        <v>2</v>
      </c>
      <c r="AD196" t="n">
        <v>14</v>
      </c>
      <c r="AE196" t="n">
        <v>14</v>
      </c>
      <c r="AF196" t="n">
        <v>3</v>
      </c>
      <c r="AG196" t="n">
        <v>3</v>
      </c>
      <c r="AH196" t="n">
        <v>3</v>
      </c>
      <c r="AI196" t="n">
        <v>3</v>
      </c>
      <c r="AJ196" t="n">
        <v>10</v>
      </c>
      <c r="AK196" t="n">
        <v>10</v>
      </c>
      <c r="AL196" t="n">
        <v>1</v>
      </c>
      <c r="AM196" t="n">
        <v>1</v>
      </c>
      <c r="AN196" t="n">
        <v>0</v>
      </c>
      <c r="AO196" t="n">
        <v>0</v>
      </c>
      <c r="AP196" t="inlineStr">
        <is>
          <t>No</t>
        </is>
      </c>
      <c r="AQ196" t="inlineStr">
        <is>
          <t>No</t>
        </is>
      </c>
      <c r="AR196">
        <f>HYPERLINK("http://catalog.hathitrust.org/Record/001476617","HathiTrust Record")</f>
        <v/>
      </c>
      <c r="AS196">
        <f>HYPERLINK("https://creighton-primo.hosted.exlibrisgroup.com/primo-explore/search?tab=default_tab&amp;search_scope=EVERYTHING&amp;vid=01CRU&amp;lang=en_US&amp;offset=0&amp;query=any,contains,991002960829702656","Catalog Record")</f>
        <v/>
      </c>
      <c r="AT196">
        <f>HYPERLINK("http://www.worldcat.org/oclc/543841","WorldCat Record")</f>
        <v/>
      </c>
      <c r="AU196" t="inlineStr">
        <is>
          <t>1574400:eng</t>
        </is>
      </c>
      <c r="AV196" t="inlineStr">
        <is>
          <t>543841</t>
        </is>
      </c>
      <c r="AW196" t="inlineStr">
        <is>
          <t>991002960829702656</t>
        </is>
      </c>
      <c r="AX196" t="inlineStr">
        <is>
          <t>991002960829702656</t>
        </is>
      </c>
      <c r="AY196" t="inlineStr">
        <is>
          <t>2265401580002656</t>
        </is>
      </c>
      <c r="AZ196" t="inlineStr">
        <is>
          <t>BOOK</t>
        </is>
      </c>
      <c r="BC196" t="inlineStr">
        <is>
          <t>32285002640950</t>
        </is>
      </c>
      <c r="BD196" t="inlineStr">
        <is>
          <t>893622958</t>
        </is>
      </c>
    </row>
    <row r="197">
      <c r="A197" t="inlineStr">
        <is>
          <t>No</t>
        </is>
      </c>
      <c r="B197" t="inlineStr">
        <is>
          <t>QB461 .R28 1992</t>
        </is>
      </c>
      <c r="C197" t="inlineStr">
        <is>
          <t>0                      QB 0461000R  28          1992</t>
        </is>
      </c>
      <c r="D197" t="inlineStr">
        <is>
          <t>General relativity, astrophysics, and cosmology / A.K. Raychaudhuri, S. Banerji, A. Banerjee.</t>
        </is>
      </c>
      <c r="F197" t="inlineStr">
        <is>
          <t>No</t>
        </is>
      </c>
      <c r="G197" t="inlineStr">
        <is>
          <t>1</t>
        </is>
      </c>
      <c r="H197" t="inlineStr">
        <is>
          <t>No</t>
        </is>
      </c>
      <c r="I197" t="inlineStr">
        <is>
          <t>No</t>
        </is>
      </c>
      <c r="J197" t="inlineStr">
        <is>
          <t>0</t>
        </is>
      </c>
      <c r="K197" t="inlineStr">
        <is>
          <t>Raychaudhuri, A. K.</t>
        </is>
      </c>
      <c r="L197" t="inlineStr">
        <is>
          <t>New York : Springer-Verlag, c1992.</t>
        </is>
      </c>
      <c r="M197" t="inlineStr">
        <is>
          <t>1992</t>
        </is>
      </c>
      <c r="O197" t="inlineStr">
        <is>
          <t>eng</t>
        </is>
      </c>
      <c r="P197" t="inlineStr">
        <is>
          <t>nyu</t>
        </is>
      </c>
      <c r="Q197" t="inlineStr">
        <is>
          <t>Astronomy and astrophysics library</t>
        </is>
      </c>
      <c r="R197" t="inlineStr">
        <is>
          <t xml:space="preserve">QB </t>
        </is>
      </c>
      <c r="S197" t="n">
        <v>8</v>
      </c>
      <c r="T197" t="n">
        <v>8</v>
      </c>
      <c r="U197" t="inlineStr">
        <is>
          <t>1996-04-01</t>
        </is>
      </c>
      <c r="V197" t="inlineStr">
        <is>
          <t>1996-04-01</t>
        </is>
      </c>
      <c r="W197" t="inlineStr">
        <is>
          <t>1993-10-26</t>
        </is>
      </c>
      <c r="X197" t="inlineStr">
        <is>
          <t>1993-10-26</t>
        </is>
      </c>
      <c r="Y197" t="n">
        <v>311</v>
      </c>
      <c r="Z197" t="n">
        <v>221</v>
      </c>
      <c r="AA197" t="n">
        <v>244</v>
      </c>
      <c r="AB197" t="n">
        <v>2</v>
      </c>
      <c r="AC197" t="n">
        <v>2</v>
      </c>
      <c r="AD197" t="n">
        <v>8</v>
      </c>
      <c r="AE197" t="n">
        <v>9</v>
      </c>
      <c r="AF197" t="n">
        <v>2</v>
      </c>
      <c r="AG197" t="n">
        <v>2</v>
      </c>
      <c r="AH197" t="n">
        <v>2</v>
      </c>
      <c r="AI197" t="n">
        <v>2</v>
      </c>
      <c r="AJ197" t="n">
        <v>5</v>
      </c>
      <c r="AK197" t="n">
        <v>6</v>
      </c>
      <c r="AL197" t="n">
        <v>1</v>
      </c>
      <c r="AM197" t="n">
        <v>1</v>
      </c>
      <c r="AN197" t="n">
        <v>0</v>
      </c>
      <c r="AO197" t="n">
        <v>0</v>
      </c>
      <c r="AP197" t="inlineStr">
        <is>
          <t>No</t>
        </is>
      </c>
      <c r="AQ197" t="inlineStr">
        <is>
          <t>Yes</t>
        </is>
      </c>
      <c r="AR197">
        <f>HYPERLINK("http://catalog.hathitrust.org/Record/002710193","HathiTrust Record")</f>
        <v/>
      </c>
      <c r="AS197">
        <f>HYPERLINK("https://creighton-primo.hosted.exlibrisgroup.com/primo-explore/search?tab=default_tab&amp;search_scope=EVERYTHING&amp;vid=01CRU&amp;lang=en_US&amp;offset=0&amp;query=any,contains,991001990929702656","Catalog Record")</f>
        <v/>
      </c>
      <c r="AT197">
        <f>HYPERLINK("http://www.worldcat.org/oclc/25282848","WorldCat Record")</f>
        <v/>
      </c>
      <c r="AU197" t="inlineStr">
        <is>
          <t>689986:eng</t>
        </is>
      </c>
      <c r="AV197" t="inlineStr">
        <is>
          <t>25282848</t>
        </is>
      </c>
      <c r="AW197" t="inlineStr">
        <is>
          <t>991001990929702656</t>
        </is>
      </c>
      <c r="AX197" t="inlineStr">
        <is>
          <t>991001990929702656</t>
        </is>
      </c>
      <c r="AY197" t="inlineStr">
        <is>
          <t>2271303800002656</t>
        </is>
      </c>
      <c r="AZ197" t="inlineStr">
        <is>
          <t>BOOK</t>
        </is>
      </c>
      <c r="BB197" t="inlineStr">
        <is>
          <t>9780387978130</t>
        </is>
      </c>
      <c r="BC197" t="inlineStr">
        <is>
          <t>32285001788214</t>
        </is>
      </c>
      <c r="BD197" t="inlineStr">
        <is>
          <t>893715923</t>
        </is>
      </c>
    </row>
    <row r="198">
      <c r="A198" t="inlineStr">
        <is>
          <t>No</t>
        </is>
      </c>
      <c r="B198" t="inlineStr">
        <is>
          <t>QB461 .R58</t>
        </is>
      </c>
      <c r="C198" t="inlineStr">
        <is>
          <t>0                      QB 0461000R  58</t>
        </is>
      </c>
      <c r="D198" t="inlineStr">
        <is>
          <t>Astrophysics [by] William K. Rose.</t>
        </is>
      </c>
      <c r="F198" t="inlineStr">
        <is>
          <t>No</t>
        </is>
      </c>
      <c r="G198" t="inlineStr">
        <is>
          <t>1</t>
        </is>
      </c>
      <c r="H198" t="inlineStr">
        <is>
          <t>No</t>
        </is>
      </c>
      <c r="I198" t="inlineStr">
        <is>
          <t>No</t>
        </is>
      </c>
      <c r="J198" t="inlineStr">
        <is>
          <t>0</t>
        </is>
      </c>
      <c r="K198" t="inlineStr">
        <is>
          <t>Rose, William K. (William Kenneth), 1935-</t>
        </is>
      </c>
      <c r="L198" t="inlineStr">
        <is>
          <t>New York, Holt, Rinehart and Winston [1973]</t>
        </is>
      </c>
      <c r="M198" t="inlineStr">
        <is>
          <t>1973</t>
        </is>
      </c>
      <c r="O198" t="inlineStr">
        <is>
          <t>eng</t>
        </is>
      </c>
      <c r="P198" t="inlineStr">
        <is>
          <t>nyu</t>
        </is>
      </c>
      <c r="R198" t="inlineStr">
        <is>
          <t xml:space="preserve">QB </t>
        </is>
      </c>
      <c r="S198" t="n">
        <v>1</v>
      </c>
      <c r="T198" t="n">
        <v>1</v>
      </c>
      <c r="U198" t="inlineStr">
        <is>
          <t>2008-09-14</t>
        </is>
      </c>
      <c r="V198" t="inlineStr">
        <is>
          <t>2008-09-14</t>
        </is>
      </c>
      <c r="W198" t="inlineStr">
        <is>
          <t>1997-05-02</t>
        </is>
      </c>
      <c r="X198" t="inlineStr">
        <is>
          <t>1997-05-02</t>
        </is>
      </c>
      <c r="Y198" t="n">
        <v>447</v>
      </c>
      <c r="Z198" t="n">
        <v>346</v>
      </c>
      <c r="AA198" t="n">
        <v>353</v>
      </c>
      <c r="AB198" t="n">
        <v>4</v>
      </c>
      <c r="AC198" t="n">
        <v>4</v>
      </c>
      <c r="AD198" t="n">
        <v>11</v>
      </c>
      <c r="AE198" t="n">
        <v>11</v>
      </c>
      <c r="AF198" t="n">
        <v>2</v>
      </c>
      <c r="AG198" t="n">
        <v>2</v>
      </c>
      <c r="AH198" t="n">
        <v>3</v>
      </c>
      <c r="AI198" t="n">
        <v>3</v>
      </c>
      <c r="AJ198" t="n">
        <v>6</v>
      </c>
      <c r="AK198" t="n">
        <v>6</v>
      </c>
      <c r="AL198" t="n">
        <v>3</v>
      </c>
      <c r="AM198" t="n">
        <v>3</v>
      </c>
      <c r="AN198" t="n">
        <v>0</v>
      </c>
      <c r="AO198" t="n">
        <v>0</v>
      </c>
      <c r="AP198" t="inlineStr">
        <is>
          <t>No</t>
        </is>
      </c>
      <c r="AQ198" t="inlineStr">
        <is>
          <t>Yes</t>
        </is>
      </c>
      <c r="AR198">
        <f>HYPERLINK("http://catalog.hathitrust.org/Record/001476623","HathiTrust Record")</f>
        <v/>
      </c>
      <c r="AS198">
        <f>HYPERLINK("https://creighton-primo.hosted.exlibrisgroup.com/primo-explore/search?tab=default_tab&amp;search_scope=EVERYTHING&amp;vid=01CRU&amp;lang=en_US&amp;offset=0&amp;query=any,contains,991003199379702656","Catalog Record")</f>
        <v/>
      </c>
      <c r="AT198">
        <f>HYPERLINK("http://www.worldcat.org/oclc/724052","WorldCat Record")</f>
        <v/>
      </c>
      <c r="AU198" t="inlineStr">
        <is>
          <t>1720880:eng</t>
        </is>
      </c>
      <c r="AV198" t="inlineStr">
        <is>
          <t>724052</t>
        </is>
      </c>
      <c r="AW198" t="inlineStr">
        <is>
          <t>991003199379702656</t>
        </is>
      </c>
      <c r="AX198" t="inlineStr">
        <is>
          <t>991003199379702656</t>
        </is>
      </c>
      <c r="AY198" t="inlineStr">
        <is>
          <t>2254788120002656</t>
        </is>
      </c>
      <c r="AZ198" t="inlineStr">
        <is>
          <t>BOOK</t>
        </is>
      </c>
      <c r="BB198" t="inlineStr">
        <is>
          <t>9780030791550</t>
        </is>
      </c>
      <c r="BC198" t="inlineStr">
        <is>
          <t>32285002640984</t>
        </is>
      </c>
      <c r="BD198" t="inlineStr">
        <is>
          <t>893592280</t>
        </is>
      </c>
    </row>
    <row r="199">
      <c r="A199" t="inlineStr">
        <is>
          <t>No</t>
        </is>
      </c>
      <c r="B199" t="inlineStr">
        <is>
          <t>QB461 .S3913</t>
        </is>
      </c>
      <c r="C199" t="inlineStr">
        <is>
          <t>0                      QB 0461000S  3913</t>
        </is>
      </c>
      <c r="D199" t="inlineStr">
        <is>
          <t>White dwarfs--black holes : an introduction to relativistic astrophysics / by Roman Sexl, Hannelore Sexl ; translated from the German by Patrick P. Weidhaas.</t>
        </is>
      </c>
      <c r="F199" t="inlineStr">
        <is>
          <t>No</t>
        </is>
      </c>
      <c r="G199" t="inlineStr">
        <is>
          <t>1</t>
        </is>
      </c>
      <c r="H199" t="inlineStr">
        <is>
          <t>No</t>
        </is>
      </c>
      <c r="I199" t="inlineStr">
        <is>
          <t>No</t>
        </is>
      </c>
      <c r="J199" t="inlineStr">
        <is>
          <t>0</t>
        </is>
      </c>
      <c r="K199" t="inlineStr">
        <is>
          <t>Sexl, Roman Ulrich.</t>
        </is>
      </c>
      <c r="L199" t="inlineStr">
        <is>
          <t>New York : Academic Press, 1979.</t>
        </is>
      </c>
      <c r="M199" t="inlineStr">
        <is>
          <t>1979</t>
        </is>
      </c>
      <c r="O199" t="inlineStr">
        <is>
          <t>eng</t>
        </is>
      </c>
      <c r="P199" t="inlineStr">
        <is>
          <t>nyu</t>
        </is>
      </c>
      <c r="R199" t="inlineStr">
        <is>
          <t xml:space="preserve">QB </t>
        </is>
      </c>
      <c r="S199" t="n">
        <v>7</v>
      </c>
      <c r="T199" t="n">
        <v>7</v>
      </c>
      <c r="U199" t="inlineStr">
        <is>
          <t>2000-04-05</t>
        </is>
      </c>
      <c r="V199" t="inlineStr">
        <is>
          <t>2000-04-05</t>
        </is>
      </c>
      <c r="W199" t="inlineStr">
        <is>
          <t>1992-11-19</t>
        </is>
      </c>
      <c r="X199" t="inlineStr">
        <is>
          <t>1992-11-19</t>
        </is>
      </c>
      <c r="Y199" t="n">
        <v>453</v>
      </c>
      <c r="Z199" t="n">
        <v>341</v>
      </c>
      <c r="AA199" t="n">
        <v>347</v>
      </c>
      <c r="AB199" t="n">
        <v>3</v>
      </c>
      <c r="AC199" t="n">
        <v>3</v>
      </c>
      <c r="AD199" t="n">
        <v>16</v>
      </c>
      <c r="AE199" t="n">
        <v>16</v>
      </c>
      <c r="AF199" t="n">
        <v>5</v>
      </c>
      <c r="AG199" t="n">
        <v>5</v>
      </c>
      <c r="AH199" t="n">
        <v>6</v>
      </c>
      <c r="AI199" t="n">
        <v>6</v>
      </c>
      <c r="AJ199" t="n">
        <v>6</v>
      </c>
      <c r="AK199" t="n">
        <v>6</v>
      </c>
      <c r="AL199" t="n">
        <v>2</v>
      </c>
      <c r="AM199" t="n">
        <v>2</v>
      </c>
      <c r="AN199" t="n">
        <v>0</v>
      </c>
      <c r="AO199" t="n">
        <v>0</v>
      </c>
      <c r="AP199" t="inlineStr">
        <is>
          <t>No</t>
        </is>
      </c>
      <c r="AQ199" t="inlineStr">
        <is>
          <t>Yes</t>
        </is>
      </c>
      <c r="AR199">
        <f>HYPERLINK("http://catalog.hathitrust.org/Record/000024854","HathiTrust Record")</f>
        <v/>
      </c>
      <c r="AS199">
        <f>HYPERLINK("https://creighton-primo.hosted.exlibrisgroup.com/primo-explore/search?tab=default_tab&amp;search_scope=EVERYTHING&amp;vid=01CRU&amp;lang=en_US&amp;offset=0&amp;query=any,contains,991004855869702656","Catalog Record")</f>
        <v/>
      </c>
      <c r="AT199">
        <f>HYPERLINK("http://www.worldcat.org/oclc/5674801","WorldCat Record")</f>
        <v/>
      </c>
      <c r="AU199" t="inlineStr">
        <is>
          <t>324888107:eng</t>
        </is>
      </c>
      <c r="AV199" t="inlineStr">
        <is>
          <t>5674801</t>
        </is>
      </c>
      <c r="AW199" t="inlineStr">
        <is>
          <t>991004855869702656</t>
        </is>
      </c>
      <c r="AX199" t="inlineStr">
        <is>
          <t>991004855869702656</t>
        </is>
      </c>
      <c r="AY199" t="inlineStr">
        <is>
          <t>2260290060002656</t>
        </is>
      </c>
      <c r="AZ199" t="inlineStr">
        <is>
          <t>BOOK</t>
        </is>
      </c>
      <c r="BB199" t="inlineStr">
        <is>
          <t>9780126373509</t>
        </is>
      </c>
      <c r="BC199" t="inlineStr">
        <is>
          <t>32285001432888</t>
        </is>
      </c>
      <c r="BD199" t="inlineStr">
        <is>
          <t>893895570</t>
        </is>
      </c>
    </row>
    <row r="200">
      <c r="A200" t="inlineStr">
        <is>
          <t>No</t>
        </is>
      </c>
      <c r="B200" t="inlineStr">
        <is>
          <t>QB461 .S448 1991</t>
        </is>
      </c>
      <c r="C200" t="inlineStr">
        <is>
          <t>0                      QB 0461000S  448         1991</t>
        </is>
      </c>
      <c r="D200" t="inlineStr">
        <is>
          <t>The physics of astrophysics / Frank H. Shu.</t>
        </is>
      </c>
      <c r="E200" t="inlineStr">
        <is>
          <t>V.1</t>
        </is>
      </c>
      <c r="F200" t="inlineStr">
        <is>
          <t>Yes</t>
        </is>
      </c>
      <c r="G200" t="inlineStr">
        <is>
          <t>1</t>
        </is>
      </c>
      <c r="H200" t="inlineStr">
        <is>
          <t>No</t>
        </is>
      </c>
      <c r="I200" t="inlineStr">
        <is>
          <t>No</t>
        </is>
      </c>
      <c r="J200" t="inlineStr">
        <is>
          <t>0</t>
        </is>
      </c>
      <c r="K200" t="inlineStr">
        <is>
          <t>Shu, Frank H.</t>
        </is>
      </c>
      <c r="L200" t="inlineStr">
        <is>
          <t>Mill Valley, Calif. : University Science Books, c1991.</t>
        </is>
      </c>
      <c r="M200" t="inlineStr">
        <is>
          <t>1991</t>
        </is>
      </c>
      <c r="O200" t="inlineStr">
        <is>
          <t>eng</t>
        </is>
      </c>
      <c r="P200" t="inlineStr">
        <is>
          <t>cau</t>
        </is>
      </c>
      <c r="R200" t="inlineStr">
        <is>
          <t xml:space="preserve">QB </t>
        </is>
      </c>
      <c r="S200" t="n">
        <v>0</v>
      </c>
      <c r="T200" t="n">
        <v>1</v>
      </c>
      <c r="V200" t="inlineStr">
        <is>
          <t>2010-10-06</t>
        </is>
      </c>
      <c r="W200" t="inlineStr">
        <is>
          <t>1992-10-07</t>
        </is>
      </c>
      <c r="X200" t="inlineStr">
        <is>
          <t>1992-11-03</t>
        </is>
      </c>
      <c r="Y200" t="n">
        <v>402</v>
      </c>
      <c r="Z200" t="n">
        <v>300</v>
      </c>
      <c r="AA200" t="n">
        <v>304</v>
      </c>
      <c r="AB200" t="n">
        <v>3</v>
      </c>
      <c r="AC200" t="n">
        <v>3</v>
      </c>
      <c r="AD200" t="n">
        <v>14</v>
      </c>
      <c r="AE200" t="n">
        <v>14</v>
      </c>
      <c r="AF200" t="n">
        <v>4</v>
      </c>
      <c r="AG200" t="n">
        <v>4</v>
      </c>
      <c r="AH200" t="n">
        <v>4</v>
      </c>
      <c r="AI200" t="n">
        <v>4</v>
      </c>
      <c r="AJ200" t="n">
        <v>6</v>
      </c>
      <c r="AK200" t="n">
        <v>6</v>
      </c>
      <c r="AL200" t="n">
        <v>2</v>
      </c>
      <c r="AM200" t="n">
        <v>2</v>
      </c>
      <c r="AN200" t="n">
        <v>0</v>
      </c>
      <c r="AO200" t="n">
        <v>0</v>
      </c>
      <c r="AP200" t="inlineStr">
        <is>
          <t>No</t>
        </is>
      </c>
      <c r="AQ200" t="inlineStr">
        <is>
          <t>Yes</t>
        </is>
      </c>
      <c r="AR200">
        <f>HYPERLINK("http://catalog.hathitrust.org/Record/002566498","HathiTrust Record")</f>
        <v/>
      </c>
      <c r="AS200">
        <f>HYPERLINK("https://creighton-primo.hosted.exlibrisgroup.com/primo-explore/search?tab=default_tab&amp;search_scope=EVERYTHING&amp;vid=01CRU&amp;lang=en_US&amp;offset=0&amp;query=any,contains,991001941129702656","Catalog Record")</f>
        <v/>
      </c>
      <c r="AT200">
        <f>HYPERLINK("http://www.worldcat.org/oclc/24524127","WorldCat Record")</f>
        <v/>
      </c>
      <c r="AU200" t="inlineStr">
        <is>
          <t>2864816118:eng</t>
        </is>
      </c>
      <c r="AV200" t="inlineStr">
        <is>
          <t>24524127</t>
        </is>
      </c>
      <c r="AW200" t="inlineStr">
        <is>
          <t>991001941129702656</t>
        </is>
      </c>
      <c r="AX200" t="inlineStr">
        <is>
          <t>991001941129702656</t>
        </is>
      </c>
      <c r="AY200" t="inlineStr">
        <is>
          <t>2268119460002656</t>
        </is>
      </c>
      <c r="AZ200" t="inlineStr">
        <is>
          <t>BOOK</t>
        </is>
      </c>
      <c r="BB200" t="inlineStr">
        <is>
          <t>9780935702644</t>
        </is>
      </c>
      <c r="BC200" t="inlineStr">
        <is>
          <t>32285001315679</t>
        </is>
      </c>
      <c r="BD200" t="inlineStr">
        <is>
          <t>893596861</t>
        </is>
      </c>
    </row>
    <row r="201">
      <c r="A201" t="inlineStr">
        <is>
          <t>No</t>
        </is>
      </c>
      <c r="B201" t="inlineStr">
        <is>
          <t>QB461 .S448 1991</t>
        </is>
      </c>
      <c r="C201" t="inlineStr">
        <is>
          <t>0                      QB 0461000S  448         1991</t>
        </is>
      </c>
      <c r="D201" t="inlineStr">
        <is>
          <t>The physics of astrophysics / Frank H. Shu.</t>
        </is>
      </c>
      <c r="E201" t="inlineStr">
        <is>
          <t>V.2</t>
        </is>
      </c>
      <c r="F201" t="inlineStr">
        <is>
          <t>Yes</t>
        </is>
      </c>
      <c r="G201" t="inlineStr">
        <is>
          <t>1</t>
        </is>
      </c>
      <c r="H201" t="inlineStr">
        <is>
          <t>No</t>
        </is>
      </c>
      <c r="I201" t="inlineStr">
        <is>
          <t>No</t>
        </is>
      </c>
      <c r="J201" t="inlineStr">
        <is>
          <t>0</t>
        </is>
      </c>
      <c r="K201" t="inlineStr">
        <is>
          <t>Shu, Frank H.</t>
        </is>
      </c>
      <c r="L201" t="inlineStr">
        <is>
          <t>Mill Valley, Calif. : University Science Books, c1991.</t>
        </is>
      </c>
      <c r="M201" t="inlineStr">
        <is>
          <t>1991</t>
        </is>
      </c>
      <c r="O201" t="inlineStr">
        <is>
          <t>eng</t>
        </is>
      </c>
      <c r="P201" t="inlineStr">
        <is>
          <t>cau</t>
        </is>
      </c>
      <c r="R201" t="inlineStr">
        <is>
          <t xml:space="preserve">QB </t>
        </is>
      </c>
      <c r="S201" t="n">
        <v>1</v>
      </c>
      <c r="T201" t="n">
        <v>1</v>
      </c>
      <c r="U201" t="inlineStr">
        <is>
          <t>2010-10-06</t>
        </is>
      </c>
      <c r="V201" t="inlineStr">
        <is>
          <t>2010-10-06</t>
        </is>
      </c>
      <c r="W201" t="inlineStr">
        <is>
          <t>1992-11-03</t>
        </is>
      </c>
      <c r="X201" t="inlineStr">
        <is>
          <t>1992-11-03</t>
        </is>
      </c>
      <c r="Y201" t="n">
        <v>402</v>
      </c>
      <c r="Z201" t="n">
        <v>300</v>
      </c>
      <c r="AA201" t="n">
        <v>304</v>
      </c>
      <c r="AB201" t="n">
        <v>3</v>
      </c>
      <c r="AC201" t="n">
        <v>3</v>
      </c>
      <c r="AD201" t="n">
        <v>14</v>
      </c>
      <c r="AE201" t="n">
        <v>14</v>
      </c>
      <c r="AF201" t="n">
        <v>4</v>
      </c>
      <c r="AG201" t="n">
        <v>4</v>
      </c>
      <c r="AH201" t="n">
        <v>4</v>
      </c>
      <c r="AI201" t="n">
        <v>4</v>
      </c>
      <c r="AJ201" t="n">
        <v>6</v>
      </c>
      <c r="AK201" t="n">
        <v>6</v>
      </c>
      <c r="AL201" t="n">
        <v>2</v>
      </c>
      <c r="AM201" t="n">
        <v>2</v>
      </c>
      <c r="AN201" t="n">
        <v>0</v>
      </c>
      <c r="AO201" t="n">
        <v>0</v>
      </c>
      <c r="AP201" t="inlineStr">
        <is>
          <t>No</t>
        </is>
      </c>
      <c r="AQ201" t="inlineStr">
        <is>
          <t>Yes</t>
        </is>
      </c>
      <c r="AR201">
        <f>HYPERLINK("http://catalog.hathitrust.org/Record/002566498","HathiTrust Record")</f>
        <v/>
      </c>
      <c r="AS201">
        <f>HYPERLINK("https://creighton-primo.hosted.exlibrisgroup.com/primo-explore/search?tab=default_tab&amp;search_scope=EVERYTHING&amp;vid=01CRU&amp;lang=en_US&amp;offset=0&amp;query=any,contains,991001941129702656","Catalog Record")</f>
        <v/>
      </c>
      <c r="AT201">
        <f>HYPERLINK("http://www.worldcat.org/oclc/24524127","WorldCat Record")</f>
        <v/>
      </c>
      <c r="AU201" t="inlineStr">
        <is>
          <t>2864816118:eng</t>
        </is>
      </c>
      <c r="AV201" t="inlineStr">
        <is>
          <t>24524127</t>
        </is>
      </c>
      <c r="AW201" t="inlineStr">
        <is>
          <t>991001941129702656</t>
        </is>
      </c>
      <c r="AX201" t="inlineStr">
        <is>
          <t>991001941129702656</t>
        </is>
      </c>
      <c r="AY201" t="inlineStr">
        <is>
          <t>2268119460002656</t>
        </is>
      </c>
      <c r="AZ201" t="inlineStr">
        <is>
          <t>BOOK</t>
        </is>
      </c>
      <c r="BB201" t="inlineStr">
        <is>
          <t>9780935702644</t>
        </is>
      </c>
      <c r="BC201" t="inlineStr">
        <is>
          <t>32285001380855</t>
        </is>
      </c>
      <c r="BD201" t="inlineStr">
        <is>
          <t>893603017</t>
        </is>
      </c>
    </row>
    <row r="202">
      <c r="A202" t="inlineStr">
        <is>
          <t>No</t>
        </is>
      </c>
      <c r="B202" t="inlineStr">
        <is>
          <t>QB461 .U58 1997</t>
        </is>
      </c>
      <c r="C202" t="inlineStr">
        <is>
          <t>0                      QB 0461000U  58          1997</t>
        </is>
      </c>
      <c r="D202" t="inlineStr">
        <is>
          <t>Unsolved problems in astrophysics / John N. Bahcall and Jeremiah P. Ostriker, editors.</t>
        </is>
      </c>
      <c r="F202" t="inlineStr">
        <is>
          <t>No</t>
        </is>
      </c>
      <c r="G202" t="inlineStr">
        <is>
          <t>1</t>
        </is>
      </c>
      <c r="H202" t="inlineStr">
        <is>
          <t>No</t>
        </is>
      </c>
      <c r="I202" t="inlineStr">
        <is>
          <t>No</t>
        </is>
      </c>
      <c r="J202" t="inlineStr">
        <is>
          <t>0</t>
        </is>
      </c>
      <c r="L202" t="inlineStr">
        <is>
          <t>Princeton, N.J. : Princeton University Press, c1997.</t>
        </is>
      </c>
      <c r="M202" t="inlineStr">
        <is>
          <t>1997</t>
        </is>
      </c>
      <c r="O202" t="inlineStr">
        <is>
          <t>eng</t>
        </is>
      </c>
      <c r="P202" t="inlineStr">
        <is>
          <t>nju</t>
        </is>
      </c>
      <c r="Q202" t="inlineStr">
        <is>
          <t>Princeton series in astrophysics</t>
        </is>
      </c>
      <c r="R202" t="inlineStr">
        <is>
          <t xml:space="preserve">QB </t>
        </is>
      </c>
      <c r="S202" t="n">
        <v>2</v>
      </c>
      <c r="T202" t="n">
        <v>2</v>
      </c>
      <c r="U202" t="inlineStr">
        <is>
          <t>2007-02-08</t>
        </is>
      </c>
      <c r="V202" t="inlineStr">
        <is>
          <t>2007-02-08</t>
        </is>
      </c>
      <c r="W202" t="inlineStr">
        <is>
          <t>1998-04-07</t>
        </is>
      </c>
      <c r="X202" t="inlineStr">
        <is>
          <t>1998-04-07</t>
        </is>
      </c>
      <c r="Y202" t="n">
        <v>467</v>
      </c>
      <c r="Z202" t="n">
        <v>371</v>
      </c>
      <c r="AA202" t="n">
        <v>371</v>
      </c>
      <c r="AB202" t="n">
        <v>3</v>
      </c>
      <c r="AC202" t="n">
        <v>3</v>
      </c>
      <c r="AD202" t="n">
        <v>17</v>
      </c>
      <c r="AE202" t="n">
        <v>17</v>
      </c>
      <c r="AF202" t="n">
        <v>6</v>
      </c>
      <c r="AG202" t="n">
        <v>6</v>
      </c>
      <c r="AH202" t="n">
        <v>4</v>
      </c>
      <c r="AI202" t="n">
        <v>4</v>
      </c>
      <c r="AJ202" t="n">
        <v>8</v>
      </c>
      <c r="AK202" t="n">
        <v>8</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HYPERLINK("https://creighton-primo.hosted.exlibrisgroup.com/primo-explore/search?tab=default_tab&amp;search_scope=EVERYTHING&amp;vid=01CRU&amp;lang=en_US&amp;offset=0&amp;query=any,contains,991002735929702656","Catalog Record")</f>
        <v/>
      </c>
      <c r="AT202">
        <f>HYPERLINK("http://www.worldcat.org/oclc/35911196","WorldCat Record")</f>
        <v/>
      </c>
      <c r="AU202" t="inlineStr">
        <is>
          <t>8908764978:eng</t>
        </is>
      </c>
      <c r="AV202" t="inlineStr">
        <is>
          <t>35911196</t>
        </is>
      </c>
      <c r="AW202" t="inlineStr">
        <is>
          <t>991002735929702656</t>
        </is>
      </c>
      <c r="AX202" t="inlineStr">
        <is>
          <t>991002735929702656</t>
        </is>
      </c>
      <c r="AY202" t="inlineStr">
        <is>
          <t>2262476650002656</t>
        </is>
      </c>
      <c r="AZ202" t="inlineStr">
        <is>
          <t>BOOK</t>
        </is>
      </c>
      <c r="BB202" t="inlineStr">
        <is>
          <t>9780691016061</t>
        </is>
      </c>
      <c r="BC202" t="inlineStr">
        <is>
          <t>32285003383428</t>
        </is>
      </c>
      <c r="BD202" t="inlineStr">
        <is>
          <t>893610220</t>
        </is>
      </c>
    </row>
    <row r="203">
      <c r="A203" t="inlineStr">
        <is>
          <t>No</t>
        </is>
      </c>
      <c r="B203" t="inlineStr">
        <is>
          <t>QB462.65 .H4613 1997</t>
        </is>
      </c>
      <c r="C203" t="inlineStr">
        <is>
          <t>0                      QB 0462650H  4613        1997</t>
        </is>
      </c>
      <c r="D203" t="inlineStr">
        <is>
          <t>The Einstein Tower : an intertexture of dynamic construction, relativity theory, and astronomy / Klaus Hentschel ; translated by Ann M. Hentschel.</t>
        </is>
      </c>
      <c r="F203" t="inlineStr">
        <is>
          <t>No</t>
        </is>
      </c>
      <c r="G203" t="inlineStr">
        <is>
          <t>1</t>
        </is>
      </c>
      <c r="H203" t="inlineStr">
        <is>
          <t>No</t>
        </is>
      </c>
      <c r="I203" t="inlineStr">
        <is>
          <t>No</t>
        </is>
      </c>
      <c r="J203" t="inlineStr">
        <is>
          <t>0</t>
        </is>
      </c>
      <c r="K203" t="inlineStr">
        <is>
          <t>Hentschel, Klaus.</t>
        </is>
      </c>
      <c r="L203" t="inlineStr">
        <is>
          <t>Stanford, Calif. : Stanford University Press, 1997.</t>
        </is>
      </c>
      <c r="M203" t="inlineStr">
        <is>
          <t>1997</t>
        </is>
      </c>
      <c r="O203" t="inlineStr">
        <is>
          <t>eng</t>
        </is>
      </c>
      <c r="P203" t="inlineStr">
        <is>
          <t>cau</t>
        </is>
      </c>
      <c r="Q203" t="inlineStr">
        <is>
          <t>Writing science</t>
        </is>
      </c>
      <c r="R203" t="inlineStr">
        <is>
          <t xml:space="preserve">QB </t>
        </is>
      </c>
      <c r="S203" t="n">
        <v>2</v>
      </c>
      <c r="T203" t="n">
        <v>2</v>
      </c>
      <c r="U203" t="inlineStr">
        <is>
          <t>2000-09-30</t>
        </is>
      </c>
      <c r="V203" t="inlineStr">
        <is>
          <t>2000-09-30</t>
        </is>
      </c>
      <c r="W203" t="inlineStr">
        <is>
          <t>1999-01-04</t>
        </is>
      </c>
      <c r="X203" t="inlineStr">
        <is>
          <t>1999-01-04</t>
        </is>
      </c>
      <c r="Y203" t="n">
        <v>251</v>
      </c>
      <c r="Z203" t="n">
        <v>202</v>
      </c>
      <c r="AA203" t="n">
        <v>202</v>
      </c>
      <c r="AB203" t="n">
        <v>2</v>
      </c>
      <c r="AC203" t="n">
        <v>2</v>
      </c>
      <c r="AD203" t="n">
        <v>13</v>
      </c>
      <c r="AE203" t="n">
        <v>13</v>
      </c>
      <c r="AF203" t="n">
        <v>3</v>
      </c>
      <c r="AG203" t="n">
        <v>3</v>
      </c>
      <c r="AH203" t="n">
        <v>4</v>
      </c>
      <c r="AI203" t="n">
        <v>4</v>
      </c>
      <c r="AJ203" t="n">
        <v>9</v>
      </c>
      <c r="AK203" t="n">
        <v>9</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HYPERLINK("https://creighton-primo.hosted.exlibrisgroup.com/primo-explore/search?tab=default_tab&amp;search_scope=EVERYTHING&amp;vid=01CRU&amp;lang=en_US&amp;offset=0&amp;query=any,contains,991002734079702656","Catalog Record")</f>
        <v/>
      </c>
      <c r="AT203">
        <f>HYPERLINK("http://www.worldcat.org/oclc/35865501","WorldCat Record")</f>
        <v/>
      </c>
      <c r="AU203" t="inlineStr">
        <is>
          <t>20868913:eng</t>
        </is>
      </c>
      <c r="AV203" t="inlineStr">
        <is>
          <t>35865501</t>
        </is>
      </c>
      <c r="AW203" t="inlineStr">
        <is>
          <t>991002734079702656</t>
        </is>
      </c>
      <c r="AX203" t="inlineStr">
        <is>
          <t>991002734079702656</t>
        </is>
      </c>
      <c r="AY203" t="inlineStr">
        <is>
          <t>2262915390002656</t>
        </is>
      </c>
      <c r="AZ203" t="inlineStr">
        <is>
          <t>BOOK</t>
        </is>
      </c>
      <c r="BB203" t="inlineStr">
        <is>
          <t>9780804728249</t>
        </is>
      </c>
      <c r="BC203" t="inlineStr">
        <is>
          <t>32285003508123</t>
        </is>
      </c>
      <c r="BD203" t="inlineStr">
        <is>
          <t>893685713</t>
        </is>
      </c>
    </row>
    <row r="204">
      <c r="A204" t="inlineStr">
        <is>
          <t>No</t>
        </is>
      </c>
      <c r="B204" t="inlineStr">
        <is>
          <t>QB462.65 .Z4513 1996</t>
        </is>
      </c>
      <c r="C204" t="inlineStr">
        <is>
          <t>0                      QB 0462650Z  4513        1996</t>
        </is>
      </c>
      <c r="D204" t="inlineStr">
        <is>
          <t>Stars and relativity / Ya. B. Zeldovich and I.D. Novikov ; translated by Eli Arlock ; edited by Kip S. Thorne and W. David Arnett.</t>
        </is>
      </c>
      <c r="F204" t="inlineStr">
        <is>
          <t>No</t>
        </is>
      </c>
      <c r="G204" t="inlineStr">
        <is>
          <t>1</t>
        </is>
      </c>
      <c r="H204" t="inlineStr">
        <is>
          <t>No</t>
        </is>
      </c>
      <c r="I204" t="inlineStr">
        <is>
          <t>No</t>
        </is>
      </c>
      <c r="J204" t="inlineStr">
        <is>
          <t>0</t>
        </is>
      </c>
      <c r="K204" t="inlineStr">
        <is>
          <t>Zelʹdovich, I͡A. B. (I͡Akov Borisovich)</t>
        </is>
      </c>
      <c r="L204" t="inlineStr">
        <is>
          <t>Mineola, N.Y. : Dover Publications, 1996.</t>
        </is>
      </c>
      <c r="M204" t="inlineStr">
        <is>
          <t>1996</t>
        </is>
      </c>
      <c r="O204" t="inlineStr">
        <is>
          <t>eng</t>
        </is>
      </c>
      <c r="P204" t="inlineStr">
        <is>
          <t>nyu</t>
        </is>
      </c>
      <c r="R204" t="inlineStr">
        <is>
          <t xml:space="preserve">QB </t>
        </is>
      </c>
      <c r="S204" t="n">
        <v>3</v>
      </c>
      <c r="T204" t="n">
        <v>3</v>
      </c>
      <c r="U204" t="inlineStr">
        <is>
          <t>1999-05-19</t>
        </is>
      </c>
      <c r="V204" t="inlineStr">
        <is>
          <t>1999-05-19</t>
        </is>
      </c>
      <c r="W204" t="inlineStr">
        <is>
          <t>1997-12-15</t>
        </is>
      </c>
      <c r="X204" t="inlineStr">
        <is>
          <t>1997-12-15</t>
        </is>
      </c>
      <c r="Y204" t="n">
        <v>67</v>
      </c>
      <c r="Z204" t="n">
        <v>44</v>
      </c>
      <c r="AA204" t="n">
        <v>138</v>
      </c>
      <c r="AB204" t="n">
        <v>1</v>
      </c>
      <c r="AC204" t="n">
        <v>2</v>
      </c>
      <c r="AD204" t="n">
        <v>2</v>
      </c>
      <c r="AE204" t="n">
        <v>5</v>
      </c>
      <c r="AF204" t="n">
        <v>1</v>
      </c>
      <c r="AG204" t="n">
        <v>2</v>
      </c>
      <c r="AH204" t="n">
        <v>0</v>
      </c>
      <c r="AI204" t="n">
        <v>2</v>
      </c>
      <c r="AJ204" t="n">
        <v>2</v>
      </c>
      <c r="AK204" t="n">
        <v>2</v>
      </c>
      <c r="AL204" t="n">
        <v>0</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HYPERLINK("https://creighton-primo.hosted.exlibrisgroup.com/primo-explore/search?tab=default_tab&amp;search_scope=EVERYTHING&amp;vid=01CRU&amp;lang=en_US&amp;offset=0&amp;query=any,contains,991002718919702656","Catalog Record")</f>
        <v/>
      </c>
      <c r="AT204">
        <f>HYPERLINK("http://www.worldcat.org/oclc/35650904","WorldCat Record")</f>
        <v/>
      </c>
      <c r="AU204" t="inlineStr">
        <is>
          <t>3945665375:eng</t>
        </is>
      </c>
      <c r="AV204" t="inlineStr">
        <is>
          <t>35650904</t>
        </is>
      </c>
      <c r="AW204" t="inlineStr">
        <is>
          <t>991002718919702656</t>
        </is>
      </c>
      <c r="AX204" t="inlineStr">
        <is>
          <t>991002718919702656</t>
        </is>
      </c>
      <c r="AY204" t="inlineStr">
        <is>
          <t>2258367830002656</t>
        </is>
      </c>
      <c r="AZ204" t="inlineStr">
        <is>
          <t>BOOK</t>
        </is>
      </c>
      <c r="BB204" t="inlineStr">
        <is>
          <t>9780486694245</t>
        </is>
      </c>
      <c r="BC204" t="inlineStr">
        <is>
          <t>32285003283354</t>
        </is>
      </c>
      <c r="BD204" t="inlineStr">
        <is>
          <t>893804936</t>
        </is>
      </c>
    </row>
    <row r="205">
      <c r="A205" t="inlineStr">
        <is>
          <t>No</t>
        </is>
      </c>
      <c r="B205" t="inlineStr">
        <is>
          <t>QB463 .P47 2003</t>
        </is>
      </c>
      <c r="C205" t="inlineStr">
        <is>
          <t>0                      QB 0463000P  47          2003</t>
        </is>
      </c>
      <c r="D205" t="inlineStr">
        <is>
          <t>Particle astrophysics / D.H. Perkins.</t>
        </is>
      </c>
      <c r="F205" t="inlineStr">
        <is>
          <t>No</t>
        </is>
      </c>
      <c r="G205" t="inlineStr">
        <is>
          <t>1</t>
        </is>
      </c>
      <c r="H205" t="inlineStr">
        <is>
          <t>No</t>
        </is>
      </c>
      <c r="I205" t="inlineStr">
        <is>
          <t>No</t>
        </is>
      </c>
      <c r="J205" t="inlineStr">
        <is>
          <t>0</t>
        </is>
      </c>
      <c r="K205" t="inlineStr">
        <is>
          <t>Perkins, Donald H.</t>
        </is>
      </c>
      <c r="L205" t="inlineStr">
        <is>
          <t>Oxford : Oxford University Press, 2003.</t>
        </is>
      </c>
      <c r="M205" t="inlineStr">
        <is>
          <t>2003</t>
        </is>
      </c>
      <c r="O205" t="inlineStr">
        <is>
          <t>eng</t>
        </is>
      </c>
      <c r="P205" t="inlineStr">
        <is>
          <t>enk</t>
        </is>
      </c>
      <c r="Q205" t="inlineStr">
        <is>
          <t>Oxford master series in particle physics, astrophysics, and cosmology ; 10</t>
        </is>
      </c>
      <c r="R205" t="inlineStr">
        <is>
          <t xml:space="preserve">QB </t>
        </is>
      </c>
      <c r="S205" t="n">
        <v>2</v>
      </c>
      <c r="T205" t="n">
        <v>2</v>
      </c>
      <c r="U205" t="inlineStr">
        <is>
          <t>2009-05-02</t>
        </is>
      </c>
      <c r="V205" t="inlineStr">
        <is>
          <t>2009-05-02</t>
        </is>
      </c>
      <c r="W205" t="inlineStr">
        <is>
          <t>2004-05-11</t>
        </is>
      </c>
      <c r="X205" t="inlineStr">
        <is>
          <t>2004-05-11</t>
        </is>
      </c>
      <c r="Y205" t="n">
        <v>433</v>
      </c>
      <c r="Z205" t="n">
        <v>345</v>
      </c>
      <c r="AA205" t="n">
        <v>353</v>
      </c>
      <c r="AB205" t="n">
        <v>4</v>
      </c>
      <c r="AC205" t="n">
        <v>4</v>
      </c>
      <c r="AD205" t="n">
        <v>16</v>
      </c>
      <c r="AE205" t="n">
        <v>16</v>
      </c>
      <c r="AF205" t="n">
        <v>4</v>
      </c>
      <c r="AG205" t="n">
        <v>4</v>
      </c>
      <c r="AH205" t="n">
        <v>4</v>
      </c>
      <c r="AI205" t="n">
        <v>4</v>
      </c>
      <c r="AJ205" t="n">
        <v>8</v>
      </c>
      <c r="AK205" t="n">
        <v>8</v>
      </c>
      <c r="AL205" t="n">
        <v>3</v>
      </c>
      <c r="AM205" t="n">
        <v>3</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HYPERLINK("https://creighton-primo.hosted.exlibrisgroup.com/primo-explore/search?tab=default_tab&amp;search_scope=EVERYTHING&amp;vid=01CRU&amp;lang=en_US&amp;offset=0&amp;query=any,contains,991004274879702656","Catalog Record")</f>
        <v/>
      </c>
      <c r="AT205">
        <f>HYPERLINK("http://www.worldcat.org/oclc/51965036","WorldCat Record")</f>
        <v/>
      </c>
      <c r="AU205" t="inlineStr">
        <is>
          <t>5218592306:eng</t>
        </is>
      </c>
      <c r="AV205" t="inlineStr">
        <is>
          <t>51965036</t>
        </is>
      </c>
      <c r="AW205" t="inlineStr">
        <is>
          <t>991004274879702656</t>
        </is>
      </c>
      <c r="AX205" t="inlineStr">
        <is>
          <t>991004274879702656</t>
        </is>
      </c>
      <c r="AY205" t="inlineStr">
        <is>
          <t>2256752600002656</t>
        </is>
      </c>
      <c r="AZ205" t="inlineStr">
        <is>
          <t>BOOK</t>
        </is>
      </c>
      <c r="BB205" t="inlineStr">
        <is>
          <t>9780198509516</t>
        </is>
      </c>
      <c r="BC205" t="inlineStr">
        <is>
          <t>32285004905252</t>
        </is>
      </c>
      <c r="BD205" t="inlineStr">
        <is>
          <t>893788506</t>
        </is>
      </c>
    </row>
    <row r="206">
      <c r="A206" t="inlineStr">
        <is>
          <t>No</t>
        </is>
      </c>
      <c r="B206" t="inlineStr">
        <is>
          <t>QB464 .P34</t>
        </is>
      </c>
      <c r="C206" t="inlineStr">
        <is>
          <t>0                      QB 0464000P  34</t>
        </is>
      </c>
      <c r="D206" t="inlineStr">
        <is>
          <t>Particle acceleration mechanisms in astrophysics (La Jolla Institute-1979) / editors, Jon Arons, Christopher McKee, Claire Max.</t>
        </is>
      </c>
      <c r="F206" t="inlineStr">
        <is>
          <t>No</t>
        </is>
      </c>
      <c r="G206" t="inlineStr">
        <is>
          <t>1</t>
        </is>
      </c>
      <c r="H206" t="inlineStr">
        <is>
          <t>No</t>
        </is>
      </c>
      <c r="I206" t="inlineStr">
        <is>
          <t>No</t>
        </is>
      </c>
      <c r="J206" t="inlineStr">
        <is>
          <t>0</t>
        </is>
      </c>
      <c r="L206" t="inlineStr">
        <is>
          <t>New York : American Institute of Physics, 1979.</t>
        </is>
      </c>
      <c r="M206" t="inlineStr">
        <is>
          <t>1979</t>
        </is>
      </c>
      <c r="O206" t="inlineStr">
        <is>
          <t>eng</t>
        </is>
      </c>
      <c r="P206" t="inlineStr">
        <is>
          <t>nyu</t>
        </is>
      </c>
      <c r="Q206" t="inlineStr">
        <is>
          <t>AIP conference proceedings ; no. 56</t>
        </is>
      </c>
      <c r="R206" t="inlineStr">
        <is>
          <t xml:space="preserve">QB </t>
        </is>
      </c>
      <c r="S206" t="n">
        <v>1</v>
      </c>
      <c r="T206" t="n">
        <v>1</v>
      </c>
      <c r="U206" t="inlineStr">
        <is>
          <t>1993-06-08</t>
        </is>
      </c>
      <c r="V206" t="inlineStr">
        <is>
          <t>1993-06-08</t>
        </is>
      </c>
      <c r="W206" t="inlineStr">
        <is>
          <t>1992-11-19</t>
        </is>
      </c>
      <c r="X206" t="inlineStr">
        <is>
          <t>1992-11-19</t>
        </is>
      </c>
      <c r="Y206" t="n">
        <v>247</v>
      </c>
      <c r="Z206" t="n">
        <v>185</v>
      </c>
      <c r="AA206" t="n">
        <v>214</v>
      </c>
      <c r="AB206" t="n">
        <v>1</v>
      </c>
      <c r="AC206" t="n">
        <v>1</v>
      </c>
      <c r="AD206" t="n">
        <v>7</v>
      </c>
      <c r="AE206" t="n">
        <v>7</v>
      </c>
      <c r="AF206" t="n">
        <v>1</v>
      </c>
      <c r="AG206" t="n">
        <v>1</v>
      </c>
      <c r="AH206" t="n">
        <v>4</v>
      </c>
      <c r="AI206" t="n">
        <v>4</v>
      </c>
      <c r="AJ206" t="n">
        <v>5</v>
      </c>
      <c r="AK206" t="n">
        <v>5</v>
      </c>
      <c r="AL206" t="n">
        <v>0</v>
      </c>
      <c r="AM206" t="n">
        <v>0</v>
      </c>
      <c r="AN206" t="n">
        <v>0</v>
      </c>
      <c r="AO206" t="n">
        <v>0</v>
      </c>
      <c r="AP206" t="inlineStr">
        <is>
          <t>No</t>
        </is>
      </c>
      <c r="AQ206" t="inlineStr">
        <is>
          <t>Yes</t>
        </is>
      </c>
      <c r="AR206">
        <f>HYPERLINK("http://catalog.hathitrust.org/Record/000094912","HathiTrust Record")</f>
        <v/>
      </c>
      <c r="AS206">
        <f>HYPERLINK("https://creighton-primo.hosted.exlibrisgroup.com/primo-explore/search?tab=default_tab&amp;search_scope=EVERYTHING&amp;vid=01CRU&amp;lang=en_US&amp;offset=0&amp;query=any,contains,991004888929702656","Catalog Record")</f>
        <v/>
      </c>
      <c r="AT206">
        <f>HYPERLINK("http://www.worldcat.org/oclc/5852501","WorldCat Record")</f>
        <v/>
      </c>
      <c r="AU206" t="inlineStr">
        <is>
          <t>364463200:eng</t>
        </is>
      </c>
      <c r="AV206" t="inlineStr">
        <is>
          <t>5852501</t>
        </is>
      </c>
      <c r="AW206" t="inlineStr">
        <is>
          <t>991004888929702656</t>
        </is>
      </c>
      <c r="AX206" t="inlineStr">
        <is>
          <t>991004888929702656</t>
        </is>
      </c>
      <c r="AY206" t="inlineStr">
        <is>
          <t>2261864830002656</t>
        </is>
      </c>
      <c r="AZ206" t="inlineStr">
        <is>
          <t>BOOK</t>
        </is>
      </c>
      <c r="BB206" t="inlineStr">
        <is>
          <t>9780883181553</t>
        </is>
      </c>
      <c r="BC206" t="inlineStr">
        <is>
          <t>32285001432920</t>
        </is>
      </c>
      <c r="BD206" t="inlineStr">
        <is>
          <t>893876666</t>
        </is>
      </c>
    </row>
    <row r="207">
      <c r="A207" t="inlineStr">
        <is>
          <t>No</t>
        </is>
      </c>
      <c r="B207" t="inlineStr">
        <is>
          <t>QB464 .P37 1989</t>
        </is>
      </c>
      <c r="C207" t="inlineStr">
        <is>
          <t>0                      QB 0464000P  37          1989</t>
        </is>
      </c>
      <c r="D207" t="inlineStr">
        <is>
          <t>Particle physics in the cosmos : readings from Scientific American magazine / edited by Richard A. Carrigan, Jr. and W. Peter Trower.</t>
        </is>
      </c>
      <c r="F207" t="inlineStr">
        <is>
          <t>No</t>
        </is>
      </c>
      <c r="G207" t="inlineStr">
        <is>
          <t>1</t>
        </is>
      </c>
      <c r="H207" t="inlineStr">
        <is>
          <t>No</t>
        </is>
      </c>
      <c r="I207" t="inlineStr">
        <is>
          <t>No</t>
        </is>
      </c>
      <c r="J207" t="inlineStr">
        <is>
          <t>0</t>
        </is>
      </c>
      <c r="L207" t="inlineStr">
        <is>
          <t>New York : W.H. Freeman, c1989.</t>
        </is>
      </c>
      <c r="M207" t="inlineStr">
        <is>
          <t>1989</t>
        </is>
      </c>
      <c r="O207" t="inlineStr">
        <is>
          <t>eng</t>
        </is>
      </c>
      <c r="P207" t="inlineStr">
        <is>
          <t>nyu</t>
        </is>
      </c>
      <c r="R207" t="inlineStr">
        <is>
          <t xml:space="preserve">QB </t>
        </is>
      </c>
      <c r="S207" t="n">
        <v>3</v>
      </c>
      <c r="T207" t="n">
        <v>3</v>
      </c>
      <c r="U207" t="inlineStr">
        <is>
          <t>1994-02-13</t>
        </is>
      </c>
      <c r="V207" t="inlineStr">
        <is>
          <t>1994-02-13</t>
        </is>
      </c>
      <c r="W207" t="inlineStr">
        <is>
          <t>1989-10-20</t>
        </is>
      </c>
      <c r="X207" t="inlineStr">
        <is>
          <t>1989-10-20</t>
        </is>
      </c>
      <c r="Y207" t="n">
        <v>362</v>
      </c>
      <c r="Z207" t="n">
        <v>283</v>
      </c>
      <c r="AA207" t="n">
        <v>288</v>
      </c>
      <c r="AB207" t="n">
        <v>1</v>
      </c>
      <c r="AC207" t="n">
        <v>1</v>
      </c>
      <c r="AD207" t="n">
        <v>8</v>
      </c>
      <c r="AE207" t="n">
        <v>8</v>
      </c>
      <c r="AF207" t="n">
        <v>2</v>
      </c>
      <c r="AG207" t="n">
        <v>2</v>
      </c>
      <c r="AH207" t="n">
        <v>2</v>
      </c>
      <c r="AI207" t="n">
        <v>2</v>
      </c>
      <c r="AJ207" t="n">
        <v>6</v>
      </c>
      <c r="AK207" t="n">
        <v>6</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HYPERLINK("https://creighton-primo.hosted.exlibrisgroup.com/primo-explore/search?tab=default_tab&amp;search_scope=EVERYTHING&amp;vid=01CRU&amp;lang=en_US&amp;offset=0&amp;query=any,contains,991001401989702656","Catalog Record")</f>
        <v/>
      </c>
      <c r="AT207">
        <f>HYPERLINK("http://www.worldcat.org/oclc/18832980","WorldCat Record")</f>
        <v/>
      </c>
      <c r="AU207" t="inlineStr">
        <is>
          <t>836752062:eng</t>
        </is>
      </c>
      <c r="AV207" t="inlineStr">
        <is>
          <t>18832980</t>
        </is>
      </c>
      <c r="AW207" t="inlineStr">
        <is>
          <t>991001401989702656</t>
        </is>
      </c>
      <c r="AX207" t="inlineStr">
        <is>
          <t>991001401989702656</t>
        </is>
      </c>
      <c r="AY207" t="inlineStr">
        <is>
          <t>2259227480002656</t>
        </is>
      </c>
      <c r="AZ207" t="inlineStr">
        <is>
          <t>BOOK</t>
        </is>
      </c>
      <c r="BB207" t="inlineStr">
        <is>
          <t>9780716719199</t>
        </is>
      </c>
      <c r="BC207" t="inlineStr">
        <is>
          <t>32285000003458</t>
        </is>
      </c>
      <c r="BD207" t="inlineStr">
        <is>
          <t>893872517</t>
        </is>
      </c>
    </row>
    <row r="208">
      <c r="A208" t="inlineStr">
        <is>
          <t>No</t>
        </is>
      </c>
      <c r="B208" t="inlineStr">
        <is>
          <t>QB465 .H43 1986</t>
        </is>
      </c>
      <c r="C208" t="inlineStr">
        <is>
          <t>0                      QB 0465000H  43          1986</t>
        </is>
      </c>
      <c r="D208" t="inlineStr">
        <is>
          <t>The analysis of starlight : one hundred and fifty years of astronomical spectroscopy / J.B. Hearnshaw.</t>
        </is>
      </c>
      <c r="F208" t="inlineStr">
        <is>
          <t>No</t>
        </is>
      </c>
      <c r="G208" t="inlineStr">
        <is>
          <t>1</t>
        </is>
      </c>
      <c r="H208" t="inlineStr">
        <is>
          <t>No</t>
        </is>
      </c>
      <c r="I208" t="inlineStr">
        <is>
          <t>No</t>
        </is>
      </c>
      <c r="J208" t="inlineStr">
        <is>
          <t>0</t>
        </is>
      </c>
      <c r="K208" t="inlineStr">
        <is>
          <t>Hearnshaw, J. B.</t>
        </is>
      </c>
      <c r="L208" t="inlineStr">
        <is>
          <t>Cambridge [Cambridgeshire] ; New York : Cambridge University Press, 1986.</t>
        </is>
      </c>
      <c r="M208" t="inlineStr">
        <is>
          <t>1987</t>
        </is>
      </c>
      <c r="O208" t="inlineStr">
        <is>
          <t>eng</t>
        </is>
      </c>
      <c r="P208" t="inlineStr">
        <is>
          <t>enk</t>
        </is>
      </c>
      <c r="R208" t="inlineStr">
        <is>
          <t xml:space="preserve">QB </t>
        </is>
      </c>
      <c r="S208" t="n">
        <v>2</v>
      </c>
      <c r="T208" t="n">
        <v>2</v>
      </c>
      <c r="U208" t="inlineStr">
        <is>
          <t>2000-01-31</t>
        </is>
      </c>
      <c r="V208" t="inlineStr">
        <is>
          <t>2000-01-31</t>
        </is>
      </c>
      <c r="W208" t="inlineStr">
        <is>
          <t>1992-11-19</t>
        </is>
      </c>
      <c r="X208" t="inlineStr">
        <is>
          <t>1992-11-19</t>
        </is>
      </c>
      <c r="Y208" t="n">
        <v>336</v>
      </c>
      <c r="Z208" t="n">
        <v>265</v>
      </c>
      <c r="AA208" t="n">
        <v>285</v>
      </c>
      <c r="AB208" t="n">
        <v>3</v>
      </c>
      <c r="AC208" t="n">
        <v>3</v>
      </c>
      <c r="AD208" t="n">
        <v>10</v>
      </c>
      <c r="AE208" t="n">
        <v>12</v>
      </c>
      <c r="AF208" t="n">
        <v>2</v>
      </c>
      <c r="AG208" t="n">
        <v>3</v>
      </c>
      <c r="AH208" t="n">
        <v>3</v>
      </c>
      <c r="AI208" t="n">
        <v>4</v>
      </c>
      <c r="AJ208" t="n">
        <v>4</v>
      </c>
      <c r="AK208" t="n">
        <v>5</v>
      </c>
      <c r="AL208" t="n">
        <v>2</v>
      </c>
      <c r="AM208" t="n">
        <v>2</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HYPERLINK("https://creighton-primo.hosted.exlibrisgroup.com/primo-explore/search?tab=default_tab&amp;search_scope=EVERYTHING&amp;vid=01CRU&amp;lang=en_US&amp;offset=0&amp;query=any,contains,991000707089702656","Catalog Record")</f>
        <v/>
      </c>
      <c r="AT208">
        <f>HYPERLINK("http://www.worldcat.org/oclc/12557931","WorldCat Record")</f>
        <v/>
      </c>
      <c r="AU208" t="inlineStr">
        <is>
          <t>4915469451:eng</t>
        </is>
      </c>
      <c r="AV208" t="inlineStr">
        <is>
          <t>12557931</t>
        </is>
      </c>
      <c r="AW208" t="inlineStr">
        <is>
          <t>991000707089702656</t>
        </is>
      </c>
      <c r="AX208" t="inlineStr">
        <is>
          <t>991000707089702656</t>
        </is>
      </c>
      <c r="AY208" t="inlineStr">
        <is>
          <t>2256491270002656</t>
        </is>
      </c>
      <c r="AZ208" t="inlineStr">
        <is>
          <t>BOOK</t>
        </is>
      </c>
      <c r="BB208" t="inlineStr">
        <is>
          <t>9780521255486</t>
        </is>
      </c>
      <c r="BC208" t="inlineStr">
        <is>
          <t>32285001432946</t>
        </is>
      </c>
      <c r="BD208" t="inlineStr">
        <is>
          <t>893689958</t>
        </is>
      </c>
    </row>
    <row r="209">
      <c r="A209" t="inlineStr">
        <is>
          <t>No</t>
        </is>
      </c>
      <c r="B209" t="inlineStr">
        <is>
          <t>QB47 .K38</t>
        </is>
      </c>
      <c r="C209" t="inlineStr">
        <is>
          <t>0                      QB 0047000K  38</t>
        </is>
      </c>
      <c r="D209" t="inlineStr">
        <is>
          <t>The cosmic frontiers of general relativity / William J. Kaufmann, III.</t>
        </is>
      </c>
      <c r="F209" t="inlineStr">
        <is>
          <t>No</t>
        </is>
      </c>
      <c r="G209" t="inlineStr">
        <is>
          <t>1</t>
        </is>
      </c>
      <c r="H209" t="inlineStr">
        <is>
          <t>No</t>
        </is>
      </c>
      <c r="I209" t="inlineStr">
        <is>
          <t>No</t>
        </is>
      </c>
      <c r="J209" t="inlineStr">
        <is>
          <t>0</t>
        </is>
      </c>
      <c r="K209" t="inlineStr">
        <is>
          <t>Kaufmann, William J.</t>
        </is>
      </c>
      <c r="L209" t="inlineStr">
        <is>
          <t>Boston : Little, Brown, c1977.</t>
        </is>
      </c>
      <c r="M209" t="inlineStr">
        <is>
          <t>1977</t>
        </is>
      </c>
      <c r="O209" t="inlineStr">
        <is>
          <t>eng</t>
        </is>
      </c>
      <c r="P209" t="inlineStr">
        <is>
          <t>mau</t>
        </is>
      </c>
      <c r="R209" t="inlineStr">
        <is>
          <t xml:space="preserve">QB </t>
        </is>
      </c>
      <c r="S209" t="n">
        <v>1</v>
      </c>
      <c r="T209" t="n">
        <v>1</v>
      </c>
      <c r="U209" t="inlineStr">
        <is>
          <t>1994-05-04</t>
        </is>
      </c>
      <c r="V209" t="inlineStr">
        <is>
          <t>1994-05-04</t>
        </is>
      </c>
      <c r="W209" t="inlineStr">
        <is>
          <t>1994-05-04</t>
        </is>
      </c>
      <c r="X209" t="inlineStr">
        <is>
          <t>1994-05-04</t>
        </is>
      </c>
      <c r="Y209" t="n">
        <v>786</v>
      </c>
      <c r="Z209" t="n">
        <v>694</v>
      </c>
      <c r="AA209" t="n">
        <v>700</v>
      </c>
      <c r="AB209" t="n">
        <v>6</v>
      </c>
      <c r="AC209" t="n">
        <v>6</v>
      </c>
      <c r="AD209" t="n">
        <v>23</v>
      </c>
      <c r="AE209" t="n">
        <v>23</v>
      </c>
      <c r="AF209" t="n">
        <v>7</v>
      </c>
      <c r="AG209" t="n">
        <v>7</v>
      </c>
      <c r="AH209" t="n">
        <v>4</v>
      </c>
      <c r="AI209" t="n">
        <v>4</v>
      </c>
      <c r="AJ209" t="n">
        <v>11</v>
      </c>
      <c r="AK209" t="n">
        <v>11</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HYPERLINK("https://creighton-primo.hosted.exlibrisgroup.com/primo-explore/search?tab=default_tab&amp;search_scope=EVERYTHING&amp;vid=01CRU&amp;lang=en_US&amp;offset=0&amp;query=any,contains,991004308099702656","Catalog Record")</f>
        <v/>
      </c>
      <c r="AT209">
        <f>HYPERLINK("http://www.worldcat.org/oclc/2985039","WorldCat Record")</f>
        <v/>
      </c>
      <c r="AU209" t="inlineStr">
        <is>
          <t>448179:eng</t>
        </is>
      </c>
      <c r="AV209" t="inlineStr">
        <is>
          <t>2985039</t>
        </is>
      </c>
      <c r="AW209" t="inlineStr">
        <is>
          <t>991004308099702656</t>
        </is>
      </c>
      <c r="AX209" t="inlineStr">
        <is>
          <t>991004308099702656</t>
        </is>
      </c>
      <c r="AY209" t="inlineStr">
        <is>
          <t>2262078160002656</t>
        </is>
      </c>
      <c r="AZ209" t="inlineStr">
        <is>
          <t>BOOK</t>
        </is>
      </c>
      <c r="BC209" t="inlineStr">
        <is>
          <t>32285001907145</t>
        </is>
      </c>
      <c r="BD209" t="inlineStr">
        <is>
          <t>893259574</t>
        </is>
      </c>
    </row>
    <row r="210">
      <c r="A210" t="inlineStr">
        <is>
          <t>No</t>
        </is>
      </c>
      <c r="B210" t="inlineStr">
        <is>
          <t>QB471.7.B85 S3513 2002</t>
        </is>
      </c>
      <c r="C210" t="inlineStr">
        <is>
          <t>0                      QB 0471700B  85                 S  3513        2002</t>
        </is>
      </c>
      <c r="D210" t="inlineStr">
        <is>
          <t>Flash! : the hunt for the biggest explosions in the universe / Govert Schilling ; translated by Naomi Greenberg-Slovin.</t>
        </is>
      </c>
      <c r="F210" t="inlineStr">
        <is>
          <t>No</t>
        </is>
      </c>
      <c r="G210" t="inlineStr">
        <is>
          <t>1</t>
        </is>
      </c>
      <c r="H210" t="inlineStr">
        <is>
          <t>No</t>
        </is>
      </c>
      <c r="I210" t="inlineStr">
        <is>
          <t>No</t>
        </is>
      </c>
      <c r="J210" t="inlineStr">
        <is>
          <t>0</t>
        </is>
      </c>
      <c r="K210" t="inlineStr">
        <is>
          <t>Schilling, Govert.</t>
        </is>
      </c>
      <c r="L210" t="inlineStr">
        <is>
          <t>Cambridge, UK ; New York, NY : Cambridge University Press, 2002.</t>
        </is>
      </c>
      <c r="M210" t="inlineStr">
        <is>
          <t>2002</t>
        </is>
      </c>
      <c r="O210" t="inlineStr">
        <is>
          <t>eng</t>
        </is>
      </c>
      <c r="P210" t="inlineStr">
        <is>
          <t>enk</t>
        </is>
      </c>
      <c r="R210" t="inlineStr">
        <is>
          <t xml:space="preserve">QB </t>
        </is>
      </c>
      <c r="S210" t="n">
        <v>2</v>
      </c>
      <c r="T210" t="n">
        <v>2</v>
      </c>
      <c r="U210" t="inlineStr">
        <is>
          <t>2005-04-20</t>
        </is>
      </c>
      <c r="V210" t="inlineStr">
        <is>
          <t>2005-04-20</t>
        </is>
      </c>
      <c r="W210" t="inlineStr">
        <is>
          <t>2003-05-20</t>
        </is>
      </c>
      <c r="X210" t="inlineStr">
        <is>
          <t>2003-05-20</t>
        </is>
      </c>
      <c r="Y210" t="n">
        <v>603</v>
      </c>
      <c r="Z210" t="n">
        <v>533</v>
      </c>
      <c r="AA210" t="n">
        <v>538</v>
      </c>
      <c r="AB210" t="n">
        <v>9</v>
      </c>
      <c r="AC210" t="n">
        <v>9</v>
      </c>
      <c r="AD210" t="n">
        <v>29</v>
      </c>
      <c r="AE210" t="n">
        <v>29</v>
      </c>
      <c r="AF210" t="n">
        <v>12</v>
      </c>
      <c r="AG210" t="n">
        <v>12</v>
      </c>
      <c r="AH210" t="n">
        <v>4</v>
      </c>
      <c r="AI210" t="n">
        <v>4</v>
      </c>
      <c r="AJ210" t="n">
        <v>13</v>
      </c>
      <c r="AK210" t="n">
        <v>13</v>
      </c>
      <c r="AL210" t="n">
        <v>7</v>
      </c>
      <c r="AM210" t="n">
        <v>7</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HYPERLINK("https://creighton-primo.hosted.exlibrisgroup.com/primo-explore/search?tab=default_tab&amp;search_scope=EVERYTHING&amp;vid=01CRU&amp;lang=en_US&amp;offset=0&amp;query=any,contains,991004050809702656","Catalog Record")</f>
        <v/>
      </c>
      <c r="AT210">
        <f>HYPERLINK("http://www.worldcat.org/oclc/48571915","WorldCat Record")</f>
        <v/>
      </c>
      <c r="AU210" t="inlineStr">
        <is>
          <t>37563199:eng</t>
        </is>
      </c>
      <c r="AV210" t="inlineStr">
        <is>
          <t>48571915</t>
        </is>
      </c>
      <c r="AW210" t="inlineStr">
        <is>
          <t>991004050809702656</t>
        </is>
      </c>
      <c r="AX210" t="inlineStr">
        <is>
          <t>991004050809702656</t>
        </is>
      </c>
      <c r="AY210" t="inlineStr">
        <is>
          <t>2257735560002656</t>
        </is>
      </c>
      <c r="AZ210" t="inlineStr">
        <is>
          <t>BOOK</t>
        </is>
      </c>
      <c r="BB210" t="inlineStr">
        <is>
          <t>9780521800532</t>
        </is>
      </c>
      <c r="BC210" t="inlineStr">
        <is>
          <t>32285004747571</t>
        </is>
      </c>
      <c r="BD210" t="inlineStr">
        <is>
          <t>893343403</t>
        </is>
      </c>
    </row>
    <row r="211">
      <c r="A211" t="inlineStr">
        <is>
          <t>No</t>
        </is>
      </c>
      <c r="B211" t="inlineStr">
        <is>
          <t>QB472 .T82 2001</t>
        </is>
      </c>
      <c r="C211" t="inlineStr">
        <is>
          <t>0                      QB 0472000T  82          2001</t>
        </is>
      </c>
      <c r="D211" t="inlineStr">
        <is>
          <t>Revealing the universe : the making of the Chandra X-ray Observatory / Wallace Tucker and Karen Tucker.</t>
        </is>
      </c>
      <c r="F211" t="inlineStr">
        <is>
          <t>No</t>
        </is>
      </c>
      <c r="G211" t="inlineStr">
        <is>
          <t>1</t>
        </is>
      </c>
      <c r="H211" t="inlineStr">
        <is>
          <t>No</t>
        </is>
      </c>
      <c r="I211" t="inlineStr">
        <is>
          <t>No</t>
        </is>
      </c>
      <c r="J211" t="inlineStr">
        <is>
          <t>0</t>
        </is>
      </c>
      <c r="K211" t="inlineStr">
        <is>
          <t>Tucker, Wallace H.</t>
        </is>
      </c>
      <c r="L211" t="inlineStr">
        <is>
          <t>Cambridge, Mass. : Harvard University Press, 2001.</t>
        </is>
      </c>
      <c r="M211" t="inlineStr">
        <is>
          <t>2001</t>
        </is>
      </c>
      <c r="O211" t="inlineStr">
        <is>
          <t>eng</t>
        </is>
      </c>
      <c r="P211" t="inlineStr">
        <is>
          <t>mau</t>
        </is>
      </c>
      <c r="R211" t="inlineStr">
        <is>
          <t xml:space="preserve">QB </t>
        </is>
      </c>
      <c r="S211" t="n">
        <v>1</v>
      </c>
      <c r="T211" t="n">
        <v>1</v>
      </c>
      <c r="U211" t="inlineStr">
        <is>
          <t>2001-09-12</t>
        </is>
      </c>
      <c r="V211" t="inlineStr">
        <is>
          <t>2001-09-12</t>
        </is>
      </c>
      <c r="W211" t="inlineStr">
        <is>
          <t>2001-09-11</t>
        </is>
      </c>
      <c r="X211" t="inlineStr">
        <is>
          <t>2001-09-11</t>
        </is>
      </c>
      <c r="Y211" t="n">
        <v>422</v>
      </c>
      <c r="Z211" t="n">
        <v>372</v>
      </c>
      <c r="AA211" t="n">
        <v>372</v>
      </c>
      <c r="AB211" t="n">
        <v>4</v>
      </c>
      <c r="AC211" t="n">
        <v>4</v>
      </c>
      <c r="AD211" t="n">
        <v>15</v>
      </c>
      <c r="AE211" t="n">
        <v>15</v>
      </c>
      <c r="AF211" t="n">
        <v>7</v>
      </c>
      <c r="AG211" t="n">
        <v>7</v>
      </c>
      <c r="AH211" t="n">
        <v>3</v>
      </c>
      <c r="AI211" t="n">
        <v>3</v>
      </c>
      <c r="AJ211" t="n">
        <v>7</v>
      </c>
      <c r="AK211" t="n">
        <v>7</v>
      </c>
      <c r="AL211" t="n">
        <v>2</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HYPERLINK("https://creighton-primo.hosted.exlibrisgroup.com/primo-explore/search?tab=default_tab&amp;search_scope=EVERYTHING&amp;vid=01CRU&amp;lang=en_US&amp;offset=0&amp;query=any,contains,991003584979702656","Catalog Record")</f>
        <v/>
      </c>
      <c r="AT211">
        <f>HYPERLINK("http://www.worldcat.org/oclc/45201964","WorldCat Record")</f>
        <v/>
      </c>
      <c r="AU211" t="inlineStr">
        <is>
          <t>837082147:eng</t>
        </is>
      </c>
      <c r="AV211" t="inlineStr">
        <is>
          <t>45201964</t>
        </is>
      </c>
      <c r="AW211" t="inlineStr">
        <is>
          <t>991003584979702656</t>
        </is>
      </c>
      <c r="AX211" t="inlineStr">
        <is>
          <t>991003584979702656</t>
        </is>
      </c>
      <c r="AY211" t="inlineStr">
        <is>
          <t>2264161210002656</t>
        </is>
      </c>
      <c r="AZ211" t="inlineStr">
        <is>
          <t>BOOK</t>
        </is>
      </c>
      <c r="BB211" t="inlineStr">
        <is>
          <t>9780674004979</t>
        </is>
      </c>
      <c r="BC211" t="inlineStr">
        <is>
          <t>32285004390208</t>
        </is>
      </c>
      <c r="BD211" t="inlineStr">
        <is>
          <t>893774902</t>
        </is>
      </c>
    </row>
    <row r="212">
      <c r="A212" t="inlineStr">
        <is>
          <t>No</t>
        </is>
      </c>
      <c r="B212" t="inlineStr">
        <is>
          <t>QB475 .V47 1987</t>
        </is>
      </c>
      <c r="C212" t="inlineStr">
        <is>
          <t>0                      QB 0475000V  47          1987</t>
        </is>
      </c>
      <c r="D212" t="inlineStr">
        <is>
          <t>The invisible universe revealed : the story of radio astronomy / Gerrit L. Verschuur.</t>
        </is>
      </c>
      <c r="F212" t="inlineStr">
        <is>
          <t>No</t>
        </is>
      </c>
      <c r="G212" t="inlineStr">
        <is>
          <t>1</t>
        </is>
      </c>
      <c r="H212" t="inlineStr">
        <is>
          <t>No</t>
        </is>
      </c>
      <c r="I212" t="inlineStr">
        <is>
          <t>No</t>
        </is>
      </c>
      <c r="J212" t="inlineStr">
        <is>
          <t>0</t>
        </is>
      </c>
      <c r="K212" t="inlineStr">
        <is>
          <t>Verschuur, Gerrit L., 1937-</t>
        </is>
      </c>
      <c r="L212" t="inlineStr">
        <is>
          <t>New York : Springer-Verlag, c1987.</t>
        </is>
      </c>
      <c r="M212" t="inlineStr">
        <is>
          <t>1987</t>
        </is>
      </c>
      <c r="O212" t="inlineStr">
        <is>
          <t>eng</t>
        </is>
      </c>
      <c r="P212" t="inlineStr">
        <is>
          <t>nyu</t>
        </is>
      </c>
      <c r="R212" t="inlineStr">
        <is>
          <t xml:space="preserve">QB </t>
        </is>
      </c>
      <c r="S212" t="n">
        <v>1</v>
      </c>
      <c r="T212" t="n">
        <v>1</v>
      </c>
      <c r="U212" t="inlineStr">
        <is>
          <t>2007-11-15</t>
        </is>
      </c>
      <c r="V212" t="inlineStr">
        <is>
          <t>2007-11-15</t>
        </is>
      </c>
      <c r="W212" t="inlineStr">
        <is>
          <t>1992-11-19</t>
        </is>
      </c>
      <c r="X212" t="inlineStr">
        <is>
          <t>1992-11-19</t>
        </is>
      </c>
      <c r="Y212" t="n">
        <v>650</v>
      </c>
      <c r="Z212" t="n">
        <v>532</v>
      </c>
      <c r="AA212" t="n">
        <v>540</v>
      </c>
      <c r="AB212" t="n">
        <v>5</v>
      </c>
      <c r="AC212" t="n">
        <v>5</v>
      </c>
      <c r="AD212" t="n">
        <v>19</v>
      </c>
      <c r="AE212" t="n">
        <v>19</v>
      </c>
      <c r="AF212" t="n">
        <v>7</v>
      </c>
      <c r="AG212" t="n">
        <v>7</v>
      </c>
      <c r="AH212" t="n">
        <v>4</v>
      </c>
      <c r="AI212" t="n">
        <v>4</v>
      </c>
      <c r="AJ212" t="n">
        <v>11</v>
      </c>
      <c r="AK212" t="n">
        <v>11</v>
      </c>
      <c r="AL212" t="n">
        <v>4</v>
      </c>
      <c r="AM212" t="n">
        <v>4</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HYPERLINK("https://creighton-primo.hosted.exlibrisgroup.com/primo-explore/search?tab=default_tab&amp;search_scope=EVERYTHING&amp;vid=01CRU&amp;lang=en_US&amp;offset=0&amp;query=any,contains,991000905619702656","Catalog Record")</f>
        <v/>
      </c>
      <c r="AT212">
        <f>HYPERLINK("http://www.worldcat.org/oclc/14097997","WorldCat Record")</f>
        <v/>
      </c>
      <c r="AU212" t="inlineStr">
        <is>
          <t>3855336535:eng</t>
        </is>
      </c>
      <c r="AV212" t="inlineStr">
        <is>
          <t>14097997</t>
        </is>
      </c>
      <c r="AW212" t="inlineStr">
        <is>
          <t>991000905619702656</t>
        </is>
      </c>
      <c r="AX212" t="inlineStr">
        <is>
          <t>991000905619702656</t>
        </is>
      </c>
      <c r="AY212" t="inlineStr">
        <is>
          <t>2266192070002656</t>
        </is>
      </c>
      <c r="AZ212" t="inlineStr">
        <is>
          <t>BOOK</t>
        </is>
      </c>
      <c r="BB212" t="inlineStr">
        <is>
          <t>9780387962801</t>
        </is>
      </c>
      <c r="BC212" t="inlineStr">
        <is>
          <t>32285001433118</t>
        </is>
      </c>
      <c r="BD212" t="inlineStr">
        <is>
          <t>893708825</t>
        </is>
      </c>
    </row>
    <row r="213">
      <c r="A213" t="inlineStr">
        <is>
          <t>No</t>
        </is>
      </c>
      <c r="B213" t="inlineStr">
        <is>
          <t>QB475.A25 M35 1996</t>
        </is>
      </c>
      <c r="C213" t="inlineStr">
        <is>
          <t>0                      QB 0475000A  25                 M  35          1996</t>
        </is>
      </c>
      <c r="D213" t="inlineStr">
        <is>
          <t>The history of radio astronomy and the National Radio Astronomy Observatory : evolution toward big science / Benjamin K. Malphrus.</t>
        </is>
      </c>
      <c r="F213" t="inlineStr">
        <is>
          <t>No</t>
        </is>
      </c>
      <c r="G213" t="inlineStr">
        <is>
          <t>1</t>
        </is>
      </c>
      <c r="H213" t="inlineStr">
        <is>
          <t>No</t>
        </is>
      </c>
      <c r="I213" t="inlineStr">
        <is>
          <t>No</t>
        </is>
      </c>
      <c r="J213" t="inlineStr">
        <is>
          <t>0</t>
        </is>
      </c>
      <c r="K213" t="inlineStr">
        <is>
          <t>Malphrus, Benjamin K.</t>
        </is>
      </c>
      <c r="L213" t="inlineStr">
        <is>
          <t>Malabar, Fla. : Krieger Pub., 1996.</t>
        </is>
      </c>
      <c r="M213" t="inlineStr">
        <is>
          <t>1996</t>
        </is>
      </c>
      <c r="N213" t="inlineStr">
        <is>
          <t>Original ed.</t>
        </is>
      </c>
      <c r="O213" t="inlineStr">
        <is>
          <t>eng</t>
        </is>
      </c>
      <c r="P213" t="inlineStr">
        <is>
          <t>flu</t>
        </is>
      </c>
      <c r="R213" t="inlineStr">
        <is>
          <t xml:space="preserve">QB </t>
        </is>
      </c>
      <c r="S213" t="n">
        <v>1</v>
      </c>
      <c r="T213" t="n">
        <v>1</v>
      </c>
      <c r="U213" t="inlineStr">
        <is>
          <t>2007-11-13</t>
        </is>
      </c>
      <c r="V213" t="inlineStr">
        <is>
          <t>2007-11-13</t>
        </is>
      </c>
      <c r="W213" t="inlineStr">
        <is>
          <t>1997-05-29</t>
        </is>
      </c>
      <c r="X213" t="inlineStr">
        <is>
          <t>1997-05-29</t>
        </is>
      </c>
      <c r="Y213" t="n">
        <v>247</v>
      </c>
      <c r="Z213" t="n">
        <v>224</v>
      </c>
      <c r="AA213" t="n">
        <v>228</v>
      </c>
      <c r="AB213" t="n">
        <v>2</v>
      </c>
      <c r="AC213" t="n">
        <v>2</v>
      </c>
      <c r="AD213" t="n">
        <v>8</v>
      </c>
      <c r="AE213" t="n">
        <v>8</v>
      </c>
      <c r="AF213" t="n">
        <v>3</v>
      </c>
      <c r="AG213" t="n">
        <v>3</v>
      </c>
      <c r="AH213" t="n">
        <v>2</v>
      </c>
      <c r="AI213" t="n">
        <v>2</v>
      </c>
      <c r="AJ213" t="n">
        <v>4</v>
      </c>
      <c r="AK213" t="n">
        <v>4</v>
      </c>
      <c r="AL213" t="n">
        <v>1</v>
      </c>
      <c r="AM213" t="n">
        <v>1</v>
      </c>
      <c r="AN213" t="n">
        <v>0</v>
      </c>
      <c r="AO213" t="n">
        <v>0</v>
      </c>
      <c r="AP213" t="inlineStr">
        <is>
          <t>No</t>
        </is>
      </c>
      <c r="AQ213" t="inlineStr">
        <is>
          <t>Yes</t>
        </is>
      </c>
      <c r="AR213">
        <f>HYPERLINK("http://catalog.hathitrust.org/Record/003131162","HathiTrust Record")</f>
        <v/>
      </c>
      <c r="AS213">
        <f>HYPERLINK("https://creighton-primo.hosted.exlibrisgroup.com/primo-explore/search?tab=default_tab&amp;search_scope=EVERYTHING&amp;vid=01CRU&amp;lang=en_US&amp;offset=0&amp;query=any,contains,991002145129702656","Catalog Record")</f>
        <v/>
      </c>
      <c r="AT213">
        <f>HYPERLINK("http://www.worldcat.org/oclc/27641150","WorldCat Record")</f>
        <v/>
      </c>
      <c r="AU213" t="inlineStr">
        <is>
          <t>379265:eng</t>
        </is>
      </c>
      <c r="AV213" t="inlineStr">
        <is>
          <t>27641150</t>
        </is>
      </c>
      <c r="AW213" t="inlineStr">
        <is>
          <t>991002145129702656</t>
        </is>
      </c>
      <c r="AX213" t="inlineStr">
        <is>
          <t>991002145129702656</t>
        </is>
      </c>
      <c r="AY213" t="inlineStr">
        <is>
          <t>2255456130002656</t>
        </is>
      </c>
      <c r="AZ213" t="inlineStr">
        <is>
          <t>BOOK</t>
        </is>
      </c>
      <c r="BB213" t="inlineStr">
        <is>
          <t>9780894648410</t>
        </is>
      </c>
      <c r="BC213" t="inlineStr">
        <is>
          <t>32285002612512</t>
        </is>
      </c>
      <c r="BD213" t="inlineStr">
        <is>
          <t>893408744</t>
        </is>
      </c>
    </row>
    <row r="214">
      <c r="A214" t="inlineStr">
        <is>
          <t>No</t>
        </is>
      </c>
      <c r="B214" t="inlineStr">
        <is>
          <t>QB476.5 .B87 1997</t>
        </is>
      </c>
      <c r="C214" t="inlineStr">
        <is>
          <t>0                      QB 0476500B  87          1997</t>
        </is>
      </c>
      <c r="D214" t="inlineStr">
        <is>
          <t>An introduction to radio astronomy / Bernard F. Burke and Francis Graham-Smith.</t>
        </is>
      </c>
      <c r="F214" t="inlineStr">
        <is>
          <t>No</t>
        </is>
      </c>
      <c r="G214" t="inlineStr">
        <is>
          <t>1</t>
        </is>
      </c>
      <c r="H214" t="inlineStr">
        <is>
          <t>No</t>
        </is>
      </c>
      <c r="I214" t="inlineStr">
        <is>
          <t>No</t>
        </is>
      </c>
      <c r="J214" t="inlineStr">
        <is>
          <t>0</t>
        </is>
      </c>
      <c r="K214" t="inlineStr">
        <is>
          <t>Burke, Bernard F., 1928-</t>
        </is>
      </c>
      <c r="L214" t="inlineStr">
        <is>
          <t>New York : Cambridge University Press, 1997.</t>
        </is>
      </c>
      <c r="M214" t="inlineStr">
        <is>
          <t>1997</t>
        </is>
      </c>
      <c r="O214" t="inlineStr">
        <is>
          <t>eng</t>
        </is>
      </c>
      <c r="P214" t="inlineStr">
        <is>
          <t>nyu</t>
        </is>
      </c>
      <c r="R214" t="inlineStr">
        <is>
          <t xml:space="preserve">QB </t>
        </is>
      </c>
      <c r="S214" t="n">
        <v>1</v>
      </c>
      <c r="T214" t="n">
        <v>1</v>
      </c>
      <c r="U214" t="inlineStr">
        <is>
          <t>2007-11-13</t>
        </is>
      </c>
      <c r="V214" t="inlineStr">
        <is>
          <t>2007-11-13</t>
        </is>
      </c>
      <c r="W214" t="inlineStr">
        <is>
          <t>1997-09-08</t>
        </is>
      </c>
      <c r="X214" t="inlineStr">
        <is>
          <t>1997-09-08</t>
        </is>
      </c>
      <c r="Y214" t="n">
        <v>363</v>
      </c>
      <c r="Z214" t="n">
        <v>287</v>
      </c>
      <c r="AA214" t="n">
        <v>287</v>
      </c>
      <c r="AB214" t="n">
        <v>3</v>
      </c>
      <c r="AC214" t="n">
        <v>3</v>
      </c>
      <c r="AD214" t="n">
        <v>12</v>
      </c>
      <c r="AE214" t="n">
        <v>12</v>
      </c>
      <c r="AF214" t="n">
        <v>5</v>
      </c>
      <c r="AG214" t="n">
        <v>5</v>
      </c>
      <c r="AH214" t="n">
        <v>2</v>
      </c>
      <c r="AI214" t="n">
        <v>2</v>
      </c>
      <c r="AJ214" t="n">
        <v>5</v>
      </c>
      <c r="AK214" t="n">
        <v>5</v>
      </c>
      <c r="AL214" t="n">
        <v>2</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HYPERLINK("https://creighton-primo.hosted.exlibrisgroup.com/primo-explore/search?tab=default_tab&amp;search_scope=EVERYTHING&amp;vid=01CRU&amp;lang=en_US&amp;offset=0&amp;query=any,contains,991002638069702656","Catalog Record")</f>
        <v/>
      </c>
      <c r="AT214">
        <f>HYPERLINK("http://www.worldcat.org/oclc/34548527","WorldCat Record")</f>
        <v/>
      </c>
      <c r="AU214" t="inlineStr">
        <is>
          <t>8908709178:eng</t>
        </is>
      </c>
      <c r="AV214" t="inlineStr">
        <is>
          <t>34548527</t>
        </is>
      </c>
      <c r="AW214" t="inlineStr">
        <is>
          <t>991002638069702656</t>
        </is>
      </c>
      <c r="AX214" t="inlineStr">
        <is>
          <t>991002638069702656</t>
        </is>
      </c>
      <c r="AY214" t="inlineStr">
        <is>
          <t>2263759920002656</t>
        </is>
      </c>
      <c r="AZ214" t="inlineStr">
        <is>
          <t>BOOK</t>
        </is>
      </c>
      <c r="BB214" t="inlineStr">
        <is>
          <t>9780521554541</t>
        </is>
      </c>
      <c r="BC214" t="inlineStr">
        <is>
          <t>32285003004123</t>
        </is>
      </c>
      <c r="BD214" t="inlineStr">
        <is>
          <t>893886516</t>
        </is>
      </c>
    </row>
    <row r="215">
      <c r="A215" t="inlineStr">
        <is>
          <t>No</t>
        </is>
      </c>
      <c r="B215" t="inlineStr">
        <is>
          <t>QB476.5 .I58 1989</t>
        </is>
      </c>
      <c r="C215" t="inlineStr">
        <is>
          <t>0                      QB 0476500I  58          1989</t>
        </is>
      </c>
      <c r="D215" t="inlineStr">
        <is>
          <t>Light pollution, radio interference, and space debris : proceedings of the International Astronomical Union Colloquium no. 112, held 13 to 16 August 1989 in Washington, DC.</t>
        </is>
      </c>
      <c r="F215" t="inlineStr">
        <is>
          <t>No</t>
        </is>
      </c>
      <c r="G215" t="inlineStr">
        <is>
          <t>1</t>
        </is>
      </c>
      <c r="H215" t="inlineStr">
        <is>
          <t>No</t>
        </is>
      </c>
      <c r="I215" t="inlineStr">
        <is>
          <t>No</t>
        </is>
      </c>
      <c r="J215" t="inlineStr">
        <is>
          <t>0</t>
        </is>
      </c>
      <c r="K215" t="inlineStr">
        <is>
          <t>International Astronomical Union. Colloquium (112th : 1988 : Washington, D.C.)</t>
        </is>
      </c>
      <c r="L215" t="inlineStr">
        <is>
          <t>San Francisco, Calif. : Astronomical Society of the Pacific, 1991.</t>
        </is>
      </c>
      <c r="M215" t="inlineStr">
        <is>
          <t>1991</t>
        </is>
      </c>
      <c r="O215" t="inlineStr">
        <is>
          <t>eng</t>
        </is>
      </c>
      <c r="P215" t="inlineStr">
        <is>
          <t>cau</t>
        </is>
      </c>
      <c r="Q215" t="inlineStr">
        <is>
          <t>Astronomical Society of the Pacific conference series ; v. 17</t>
        </is>
      </c>
      <c r="R215" t="inlineStr">
        <is>
          <t xml:space="preserve">QB </t>
        </is>
      </c>
      <c r="S215" t="n">
        <v>2</v>
      </c>
      <c r="T215" t="n">
        <v>2</v>
      </c>
      <c r="U215" t="inlineStr">
        <is>
          <t>2007-11-06</t>
        </is>
      </c>
      <c r="V215" t="inlineStr">
        <is>
          <t>2007-11-06</t>
        </is>
      </c>
      <c r="W215" t="inlineStr">
        <is>
          <t>1993-01-04</t>
        </is>
      </c>
      <c r="X215" t="inlineStr">
        <is>
          <t>1993-01-04</t>
        </is>
      </c>
      <c r="Y215" t="n">
        <v>170</v>
      </c>
      <c r="Z215" t="n">
        <v>131</v>
      </c>
      <c r="AA215" t="n">
        <v>136</v>
      </c>
      <c r="AB215" t="n">
        <v>5</v>
      </c>
      <c r="AC215" t="n">
        <v>5</v>
      </c>
      <c r="AD215" t="n">
        <v>5</v>
      </c>
      <c r="AE215" t="n">
        <v>5</v>
      </c>
      <c r="AF215" t="n">
        <v>0</v>
      </c>
      <c r="AG215" t="n">
        <v>0</v>
      </c>
      <c r="AH215" t="n">
        <v>0</v>
      </c>
      <c r="AI215" t="n">
        <v>0</v>
      </c>
      <c r="AJ215" t="n">
        <v>1</v>
      </c>
      <c r="AK215" t="n">
        <v>1</v>
      </c>
      <c r="AL215" t="n">
        <v>4</v>
      </c>
      <c r="AM215" t="n">
        <v>4</v>
      </c>
      <c r="AN215" t="n">
        <v>0</v>
      </c>
      <c r="AO215" t="n">
        <v>0</v>
      </c>
      <c r="AP215" t="inlineStr">
        <is>
          <t>No</t>
        </is>
      </c>
      <c r="AQ215" t="inlineStr">
        <is>
          <t>Yes</t>
        </is>
      </c>
      <c r="AR215">
        <f>HYPERLINK("http://catalog.hathitrust.org/Record/002490990","HathiTrust Record")</f>
        <v/>
      </c>
      <c r="AS215">
        <f>HYPERLINK("https://creighton-primo.hosted.exlibrisgroup.com/primo-explore/search?tab=default_tab&amp;search_scope=EVERYTHING&amp;vid=01CRU&amp;lang=en_US&amp;offset=0&amp;query=any,contains,991001899539702656","Catalog Record")</f>
        <v/>
      </c>
      <c r="AT215">
        <f>HYPERLINK("http://www.worldcat.org/oclc/23996076","WorldCat Record")</f>
        <v/>
      </c>
      <c r="AU215" t="inlineStr">
        <is>
          <t>497385209:eng</t>
        </is>
      </c>
      <c r="AV215" t="inlineStr">
        <is>
          <t>23996076</t>
        </is>
      </c>
      <c r="AW215" t="inlineStr">
        <is>
          <t>991001899539702656</t>
        </is>
      </c>
      <c r="AX215" t="inlineStr">
        <is>
          <t>991001899539702656</t>
        </is>
      </c>
      <c r="AY215" t="inlineStr">
        <is>
          <t>2264653000002656</t>
        </is>
      </c>
      <c r="AZ215" t="inlineStr">
        <is>
          <t>BOOK</t>
        </is>
      </c>
      <c r="BB215" t="inlineStr">
        <is>
          <t>9780937707364</t>
        </is>
      </c>
      <c r="BC215" t="inlineStr">
        <is>
          <t>32285001403582</t>
        </is>
      </c>
      <c r="BD215" t="inlineStr">
        <is>
          <t>893809212</t>
        </is>
      </c>
    </row>
    <row r="216">
      <c r="A216" t="inlineStr">
        <is>
          <t>No</t>
        </is>
      </c>
      <c r="B216" t="inlineStr">
        <is>
          <t>QB477 .L6</t>
        </is>
      </c>
      <c r="C216" t="inlineStr">
        <is>
          <t>0                      QB 0477000L  6</t>
        </is>
      </c>
      <c r="D216" t="inlineStr">
        <is>
          <t>Discovering the universe [by] Bernard and Joyce Lovell.</t>
        </is>
      </c>
      <c r="F216" t="inlineStr">
        <is>
          <t>No</t>
        </is>
      </c>
      <c r="G216" t="inlineStr">
        <is>
          <t>1</t>
        </is>
      </c>
      <c r="H216" t="inlineStr">
        <is>
          <t>No</t>
        </is>
      </c>
      <c r="I216" t="inlineStr">
        <is>
          <t>No</t>
        </is>
      </c>
      <c r="J216" t="inlineStr">
        <is>
          <t>0</t>
        </is>
      </c>
      <c r="K216" t="inlineStr">
        <is>
          <t>Lovell, Bernard, 1913-2012.</t>
        </is>
      </c>
      <c r="L216" t="inlineStr">
        <is>
          <t>New York, Harper &amp; Row [c1963]</t>
        </is>
      </c>
      <c r="M216" t="inlineStr">
        <is>
          <t>1963</t>
        </is>
      </c>
      <c r="O216" t="inlineStr">
        <is>
          <t>eng</t>
        </is>
      </c>
      <c r="P216" t="inlineStr">
        <is>
          <t>nyu</t>
        </is>
      </c>
      <c r="R216" t="inlineStr">
        <is>
          <t xml:space="preserve">QB </t>
        </is>
      </c>
      <c r="S216" t="n">
        <v>1</v>
      </c>
      <c r="T216" t="n">
        <v>1</v>
      </c>
      <c r="U216" t="inlineStr">
        <is>
          <t>2005-11-27</t>
        </is>
      </c>
      <c r="V216" t="inlineStr">
        <is>
          <t>2005-11-27</t>
        </is>
      </c>
      <c r="W216" t="inlineStr">
        <is>
          <t>1997-05-02</t>
        </is>
      </c>
      <c r="X216" t="inlineStr">
        <is>
          <t>1997-05-02</t>
        </is>
      </c>
      <c r="Y216" t="n">
        <v>454</v>
      </c>
      <c r="Z216" t="n">
        <v>439</v>
      </c>
      <c r="AA216" t="n">
        <v>472</v>
      </c>
      <c r="AB216" t="n">
        <v>5</v>
      </c>
      <c r="AC216" t="n">
        <v>5</v>
      </c>
      <c r="AD216" t="n">
        <v>14</v>
      </c>
      <c r="AE216" t="n">
        <v>15</v>
      </c>
      <c r="AF216" t="n">
        <v>5</v>
      </c>
      <c r="AG216" t="n">
        <v>5</v>
      </c>
      <c r="AH216" t="n">
        <v>2</v>
      </c>
      <c r="AI216" t="n">
        <v>2</v>
      </c>
      <c r="AJ216" t="n">
        <v>6</v>
      </c>
      <c r="AK216" t="n">
        <v>7</v>
      </c>
      <c r="AL216" t="n">
        <v>3</v>
      </c>
      <c r="AM216" t="n">
        <v>3</v>
      </c>
      <c r="AN216" t="n">
        <v>0</v>
      </c>
      <c r="AO216" t="n">
        <v>0</v>
      </c>
      <c r="AP216" t="inlineStr">
        <is>
          <t>No</t>
        </is>
      </c>
      <c r="AQ216" t="inlineStr">
        <is>
          <t>No</t>
        </is>
      </c>
      <c r="AR216">
        <f>HYPERLINK("http://catalog.hathitrust.org/Record/001476677","HathiTrust Record")</f>
        <v/>
      </c>
      <c r="AS216">
        <f>HYPERLINK("https://creighton-primo.hosted.exlibrisgroup.com/primo-explore/search?tab=default_tab&amp;search_scope=EVERYTHING&amp;vid=01CRU&amp;lang=en_US&amp;offset=0&amp;query=any,contains,991003177729702656","Catalog Record")</f>
        <v/>
      </c>
      <c r="AT216">
        <f>HYPERLINK("http://www.worldcat.org/oclc/711089","WorldCat Record")</f>
        <v/>
      </c>
      <c r="AU216" t="inlineStr">
        <is>
          <t>1655809:eng</t>
        </is>
      </c>
      <c r="AV216" t="inlineStr">
        <is>
          <t>711089</t>
        </is>
      </c>
      <c r="AW216" t="inlineStr">
        <is>
          <t>991003177729702656</t>
        </is>
      </c>
      <c r="AX216" t="inlineStr">
        <is>
          <t>991003177729702656</t>
        </is>
      </c>
      <c r="AY216" t="inlineStr">
        <is>
          <t>2264077360002656</t>
        </is>
      </c>
      <c r="AZ216" t="inlineStr">
        <is>
          <t>BOOK</t>
        </is>
      </c>
      <c r="BC216" t="inlineStr">
        <is>
          <t>32285002641412</t>
        </is>
      </c>
      <c r="BD216" t="inlineStr">
        <is>
          <t>893887212</t>
        </is>
      </c>
    </row>
    <row r="217">
      <c r="A217" t="inlineStr">
        <is>
          <t>No</t>
        </is>
      </c>
      <c r="B217" t="inlineStr">
        <is>
          <t>QB477 .S6 1966</t>
        </is>
      </c>
      <c r="C217" t="inlineStr">
        <is>
          <t>0                      QB 0477000S  6           1966</t>
        </is>
      </c>
      <c r="D217" t="inlineStr">
        <is>
          <t>Radio astronomy / [by] F. Graham Smith ; [text figures drawn by Ronald Dickens].</t>
        </is>
      </c>
      <c r="F217" t="inlineStr">
        <is>
          <t>No</t>
        </is>
      </c>
      <c r="G217" t="inlineStr">
        <is>
          <t>1</t>
        </is>
      </c>
      <c r="H217" t="inlineStr">
        <is>
          <t>No</t>
        </is>
      </c>
      <c r="I217" t="inlineStr">
        <is>
          <t>No</t>
        </is>
      </c>
      <c r="J217" t="inlineStr">
        <is>
          <t>0</t>
        </is>
      </c>
      <c r="K217" t="inlineStr">
        <is>
          <t>Graham-Smith, Francis, 1923-</t>
        </is>
      </c>
      <c r="L217" t="inlineStr">
        <is>
          <t>Harmondsworth : Penguin, [1966]</t>
        </is>
      </c>
      <c r="M217" t="inlineStr">
        <is>
          <t>1966</t>
        </is>
      </c>
      <c r="N217" t="inlineStr">
        <is>
          <t>[3d ed., rev. ed.]</t>
        </is>
      </c>
      <c r="O217" t="inlineStr">
        <is>
          <t>eng</t>
        </is>
      </c>
      <c r="P217" t="inlineStr">
        <is>
          <t>enk</t>
        </is>
      </c>
      <c r="Q217" t="inlineStr">
        <is>
          <t>Pelican books ; A479</t>
        </is>
      </c>
      <c r="R217" t="inlineStr">
        <is>
          <t xml:space="preserve">QB </t>
        </is>
      </c>
      <c r="S217" t="n">
        <v>3</v>
      </c>
      <c r="T217" t="n">
        <v>3</v>
      </c>
      <c r="U217" t="inlineStr">
        <is>
          <t>1995-10-04</t>
        </is>
      </c>
      <c r="V217" t="inlineStr">
        <is>
          <t>1995-10-04</t>
        </is>
      </c>
      <c r="W217" t="inlineStr">
        <is>
          <t>1995-02-13</t>
        </is>
      </c>
      <c r="X217" t="inlineStr">
        <is>
          <t>1995-02-13</t>
        </is>
      </c>
      <c r="Y217" t="n">
        <v>17</v>
      </c>
      <c r="Z217" t="n">
        <v>7</v>
      </c>
      <c r="AA217" t="n">
        <v>147</v>
      </c>
      <c r="AB217" t="n">
        <v>1</v>
      </c>
      <c r="AC217" t="n">
        <v>1</v>
      </c>
      <c r="AD217" t="n">
        <v>1</v>
      </c>
      <c r="AE217" t="n">
        <v>4</v>
      </c>
      <c r="AF217" t="n">
        <v>0</v>
      </c>
      <c r="AG217" t="n">
        <v>1</v>
      </c>
      <c r="AH217" t="n">
        <v>1</v>
      </c>
      <c r="AI217" t="n">
        <v>2</v>
      </c>
      <c r="AJ217" t="n">
        <v>1</v>
      </c>
      <c r="AK217" t="n">
        <v>3</v>
      </c>
      <c r="AL217" t="n">
        <v>0</v>
      </c>
      <c r="AM217" t="n">
        <v>0</v>
      </c>
      <c r="AN217" t="n">
        <v>0</v>
      </c>
      <c r="AO217" t="n">
        <v>0</v>
      </c>
      <c r="AP217" t="inlineStr">
        <is>
          <t>No</t>
        </is>
      </c>
      <c r="AQ217" t="inlineStr">
        <is>
          <t>Yes</t>
        </is>
      </c>
      <c r="AR217">
        <f>HYPERLINK("http://catalog.hathitrust.org/Record/001990671","HathiTrust Record")</f>
        <v/>
      </c>
      <c r="AS217">
        <f>HYPERLINK("https://creighton-primo.hosted.exlibrisgroup.com/primo-explore/search?tab=default_tab&amp;search_scope=EVERYTHING&amp;vid=01CRU&amp;lang=en_US&amp;offset=0&amp;query=any,contains,991000435069702656","Catalog Record")</f>
        <v/>
      </c>
      <c r="AT217">
        <f>HYPERLINK("http://www.worldcat.org/oclc/10789561","WorldCat Record")</f>
        <v/>
      </c>
      <c r="AU217" t="inlineStr">
        <is>
          <t>1541999:eng</t>
        </is>
      </c>
      <c r="AV217" t="inlineStr">
        <is>
          <t>10789561</t>
        </is>
      </c>
      <c r="AW217" t="inlineStr">
        <is>
          <t>991000435069702656</t>
        </is>
      </c>
      <c r="AX217" t="inlineStr">
        <is>
          <t>991000435069702656</t>
        </is>
      </c>
      <c r="AY217" t="inlineStr">
        <is>
          <t>2269974290002656</t>
        </is>
      </c>
      <c r="AZ217" t="inlineStr">
        <is>
          <t>BOOK</t>
        </is>
      </c>
      <c r="BC217" t="inlineStr">
        <is>
          <t>32285001998250</t>
        </is>
      </c>
      <c r="BD217" t="inlineStr">
        <is>
          <t>893419450</t>
        </is>
      </c>
    </row>
    <row r="218">
      <c r="A218" t="inlineStr">
        <is>
          <t>No</t>
        </is>
      </c>
      <c r="B218" t="inlineStr">
        <is>
          <t>QB479.2 .C5 1985</t>
        </is>
      </c>
      <c r="C218" t="inlineStr">
        <is>
          <t>0                      QB 0479200C  5           1985</t>
        </is>
      </c>
      <c r="D218" t="inlineStr">
        <is>
          <t>Radiotelescopes / W.N. Christiansen, J.A. Högbom.</t>
        </is>
      </c>
      <c r="F218" t="inlineStr">
        <is>
          <t>No</t>
        </is>
      </c>
      <c r="G218" t="inlineStr">
        <is>
          <t>1</t>
        </is>
      </c>
      <c r="H218" t="inlineStr">
        <is>
          <t>No</t>
        </is>
      </c>
      <c r="I218" t="inlineStr">
        <is>
          <t>Yes</t>
        </is>
      </c>
      <c r="J218" t="inlineStr">
        <is>
          <t>0</t>
        </is>
      </c>
      <c r="K218" t="inlineStr">
        <is>
          <t>Christiansen, W. N. (Wilbur Norman), 1913-2007.</t>
        </is>
      </c>
      <c r="L218" t="inlineStr">
        <is>
          <t>Cambridge [Cambridgeshire] ; New York : Cambridge University Press, 1985.</t>
        </is>
      </c>
      <c r="M218" t="inlineStr">
        <is>
          <t>1985</t>
        </is>
      </c>
      <c r="N218" t="inlineStr">
        <is>
          <t>2nd ed.</t>
        </is>
      </c>
      <c r="O218" t="inlineStr">
        <is>
          <t>eng</t>
        </is>
      </c>
      <c r="P218" t="inlineStr">
        <is>
          <t>enk</t>
        </is>
      </c>
      <c r="Q218" t="inlineStr">
        <is>
          <t>Cambridge monographs on physics</t>
        </is>
      </c>
      <c r="R218" t="inlineStr">
        <is>
          <t xml:space="preserve">QB </t>
        </is>
      </c>
      <c r="S218" t="n">
        <v>0</v>
      </c>
      <c r="T218" t="n">
        <v>0</v>
      </c>
      <c r="U218" t="inlineStr">
        <is>
          <t>2007-11-30</t>
        </is>
      </c>
      <c r="V218" t="inlineStr">
        <is>
          <t>2007-11-30</t>
        </is>
      </c>
      <c r="W218" t="inlineStr">
        <is>
          <t>1992-11-19</t>
        </is>
      </c>
      <c r="X218" t="inlineStr">
        <is>
          <t>1992-11-19</t>
        </is>
      </c>
      <c r="Y218" t="n">
        <v>294</v>
      </c>
      <c r="Z218" t="n">
        <v>207</v>
      </c>
      <c r="AA218" t="n">
        <v>396</v>
      </c>
      <c r="AB218" t="n">
        <v>2</v>
      </c>
      <c r="AC218" t="n">
        <v>3</v>
      </c>
      <c r="AD218" t="n">
        <v>6</v>
      </c>
      <c r="AE218" t="n">
        <v>15</v>
      </c>
      <c r="AF218" t="n">
        <v>0</v>
      </c>
      <c r="AG218" t="n">
        <v>5</v>
      </c>
      <c r="AH218" t="n">
        <v>4</v>
      </c>
      <c r="AI218" t="n">
        <v>5</v>
      </c>
      <c r="AJ218" t="n">
        <v>3</v>
      </c>
      <c r="AK218" t="n">
        <v>6</v>
      </c>
      <c r="AL218" t="n">
        <v>1</v>
      </c>
      <c r="AM218" t="n">
        <v>2</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HYPERLINK("https://creighton-primo.hosted.exlibrisgroup.com/primo-explore/search?tab=default_tab&amp;search_scope=EVERYTHING&amp;vid=01CRU&amp;lang=en_US&amp;offset=0&amp;query=any,contains,991000407389702656","Catalog Record")</f>
        <v/>
      </c>
      <c r="AT218">
        <f>HYPERLINK("http://www.worldcat.org/oclc/10695766","WorldCat Record")</f>
        <v/>
      </c>
      <c r="AU218" t="inlineStr">
        <is>
          <t>1219107:eng</t>
        </is>
      </c>
      <c r="AV218" t="inlineStr">
        <is>
          <t>10695766</t>
        </is>
      </c>
      <c r="AW218" t="inlineStr">
        <is>
          <t>991000407389702656</t>
        </is>
      </c>
      <c r="AX218" t="inlineStr">
        <is>
          <t>991000407389702656</t>
        </is>
      </c>
      <c r="AY218" t="inlineStr">
        <is>
          <t>2267342220002656</t>
        </is>
      </c>
      <c r="AZ218" t="inlineStr">
        <is>
          <t>BOOK</t>
        </is>
      </c>
      <c r="BB218" t="inlineStr">
        <is>
          <t>9780521262095</t>
        </is>
      </c>
      <c r="BC218" t="inlineStr">
        <is>
          <t>32285001433142</t>
        </is>
      </c>
      <c r="BD218" t="inlineStr">
        <is>
          <t>893714553</t>
        </is>
      </c>
    </row>
    <row r="219">
      <c r="A219" t="inlineStr">
        <is>
          <t>No</t>
        </is>
      </c>
      <c r="B219" t="inlineStr">
        <is>
          <t>QB479.2 .S94</t>
        </is>
      </c>
      <c r="C219" t="inlineStr">
        <is>
          <t>0                      QB 0479200S  94</t>
        </is>
      </c>
      <c r="D219" t="inlineStr">
        <is>
          <t>An amateur radio telescope / G. W. Swenson, Jr.</t>
        </is>
      </c>
      <c r="F219" t="inlineStr">
        <is>
          <t>No</t>
        </is>
      </c>
      <c r="G219" t="inlineStr">
        <is>
          <t>1</t>
        </is>
      </c>
      <c r="H219" t="inlineStr">
        <is>
          <t>No</t>
        </is>
      </c>
      <c r="I219" t="inlineStr">
        <is>
          <t>No</t>
        </is>
      </c>
      <c r="J219" t="inlineStr">
        <is>
          <t>0</t>
        </is>
      </c>
      <c r="K219" t="inlineStr">
        <is>
          <t>Swenson, George W. (George Warner), 1922-</t>
        </is>
      </c>
      <c r="L219" t="inlineStr">
        <is>
          <t>Tucson : Pachart, c1980.</t>
        </is>
      </c>
      <c r="M219" t="inlineStr">
        <is>
          <t>1980</t>
        </is>
      </c>
      <c r="O219" t="inlineStr">
        <is>
          <t>eng</t>
        </is>
      </c>
      <c r="P219" t="inlineStr">
        <is>
          <t>azu</t>
        </is>
      </c>
      <c r="Q219" t="inlineStr">
        <is>
          <t>The Astronomy quarterly library ; 4</t>
        </is>
      </c>
      <c r="R219" t="inlineStr">
        <is>
          <t xml:space="preserve">QB </t>
        </is>
      </c>
      <c r="S219" t="n">
        <v>2</v>
      </c>
      <c r="T219" t="n">
        <v>2</v>
      </c>
      <c r="U219" t="inlineStr">
        <is>
          <t>1995-10-04</t>
        </is>
      </c>
      <c r="V219" t="inlineStr">
        <is>
          <t>1995-10-04</t>
        </is>
      </c>
      <c r="W219" t="inlineStr">
        <is>
          <t>1992-11-19</t>
        </is>
      </c>
      <c r="X219" t="inlineStr">
        <is>
          <t>1992-11-19</t>
        </is>
      </c>
      <c r="Y219" t="n">
        <v>130</v>
      </c>
      <c r="Z219" t="n">
        <v>116</v>
      </c>
      <c r="AA219" t="n">
        <v>118</v>
      </c>
      <c r="AB219" t="n">
        <v>1</v>
      </c>
      <c r="AC219" t="n">
        <v>1</v>
      </c>
      <c r="AD219" t="n">
        <v>2</v>
      </c>
      <c r="AE219" t="n">
        <v>2</v>
      </c>
      <c r="AF219" t="n">
        <v>2</v>
      </c>
      <c r="AG219" t="n">
        <v>2</v>
      </c>
      <c r="AH219" t="n">
        <v>0</v>
      </c>
      <c r="AI219" t="n">
        <v>0</v>
      </c>
      <c r="AJ219" t="n">
        <v>0</v>
      </c>
      <c r="AK219" t="n">
        <v>0</v>
      </c>
      <c r="AL219" t="n">
        <v>0</v>
      </c>
      <c r="AM219" t="n">
        <v>0</v>
      </c>
      <c r="AN219" t="n">
        <v>0</v>
      </c>
      <c r="AO219" t="n">
        <v>0</v>
      </c>
      <c r="AP219" t="inlineStr">
        <is>
          <t>No</t>
        </is>
      </c>
      <c r="AQ219" t="inlineStr">
        <is>
          <t>Yes</t>
        </is>
      </c>
      <c r="AR219">
        <f>HYPERLINK("http://catalog.hathitrust.org/Record/000741175","HathiTrust Record")</f>
        <v/>
      </c>
      <c r="AS219">
        <f>HYPERLINK("https://creighton-primo.hosted.exlibrisgroup.com/primo-explore/search?tab=default_tab&amp;search_scope=EVERYTHING&amp;vid=01CRU&amp;lang=en_US&amp;offset=0&amp;query=any,contains,991004931549702656","Catalog Record")</f>
        <v/>
      </c>
      <c r="AT219">
        <f>HYPERLINK("http://www.worldcat.org/oclc/6098157","WorldCat Record")</f>
        <v/>
      </c>
      <c r="AU219" t="inlineStr">
        <is>
          <t>558023:eng</t>
        </is>
      </c>
      <c r="AV219" t="inlineStr">
        <is>
          <t>6098157</t>
        </is>
      </c>
      <c r="AW219" t="inlineStr">
        <is>
          <t>991004931549702656</t>
        </is>
      </c>
      <c r="AX219" t="inlineStr">
        <is>
          <t>991004931549702656</t>
        </is>
      </c>
      <c r="AY219" t="inlineStr">
        <is>
          <t>2260419820002656</t>
        </is>
      </c>
      <c r="AZ219" t="inlineStr">
        <is>
          <t>BOOK</t>
        </is>
      </c>
      <c r="BB219" t="inlineStr">
        <is>
          <t>9780912918068</t>
        </is>
      </c>
      <c r="BC219" t="inlineStr">
        <is>
          <t>32285001433159</t>
        </is>
      </c>
      <c r="BD219" t="inlineStr">
        <is>
          <t>893319786</t>
        </is>
      </c>
    </row>
    <row r="220">
      <c r="A220" t="inlineStr">
        <is>
          <t>No</t>
        </is>
      </c>
      <c r="B220" t="inlineStr">
        <is>
          <t>QB500 .G55</t>
        </is>
      </c>
      <c r="C220" t="inlineStr">
        <is>
          <t>0                      QB 0500000G  55</t>
        </is>
      </c>
      <c r="D220" t="inlineStr">
        <is>
          <t>Sourcebook on the space sciences.</t>
        </is>
      </c>
      <c r="F220" t="inlineStr">
        <is>
          <t>No</t>
        </is>
      </c>
      <c r="G220" t="inlineStr">
        <is>
          <t>1</t>
        </is>
      </c>
      <c r="H220" t="inlineStr">
        <is>
          <t>No</t>
        </is>
      </c>
      <c r="I220" t="inlineStr">
        <is>
          <t>No</t>
        </is>
      </c>
      <c r="J220" t="inlineStr">
        <is>
          <t>0</t>
        </is>
      </c>
      <c r="K220" t="inlineStr">
        <is>
          <t>Glasstone, Samuel, 1897-1986.</t>
        </is>
      </c>
      <c r="L220" t="inlineStr">
        <is>
          <t>Princeton, N.J. : D. Van Nostrand Co., [1965]</t>
        </is>
      </c>
      <c r="M220" t="inlineStr">
        <is>
          <t>1965</t>
        </is>
      </c>
      <c r="O220" t="inlineStr">
        <is>
          <t>eng</t>
        </is>
      </c>
      <c r="P220" t="inlineStr">
        <is>
          <t>nju</t>
        </is>
      </c>
      <c r="R220" t="inlineStr">
        <is>
          <t xml:space="preserve">QB </t>
        </is>
      </c>
      <c r="S220" t="n">
        <v>1</v>
      </c>
      <c r="T220" t="n">
        <v>1</v>
      </c>
      <c r="U220" t="inlineStr">
        <is>
          <t>1995-11-13</t>
        </is>
      </c>
      <c r="V220" t="inlineStr">
        <is>
          <t>1995-11-13</t>
        </is>
      </c>
      <c r="W220" t="inlineStr">
        <is>
          <t>1994-03-08</t>
        </is>
      </c>
      <c r="X220" t="inlineStr">
        <is>
          <t>1994-03-08</t>
        </is>
      </c>
      <c r="Y220" t="n">
        <v>625</v>
      </c>
      <c r="Z220" t="n">
        <v>516</v>
      </c>
      <c r="AA220" t="n">
        <v>526</v>
      </c>
      <c r="AB220" t="n">
        <v>5</v>
      </c>
      <c r="AC220" t="n">
        <v>5</v>
      </c>
      <c r="AD220" t="n">
        <v>17</v>
      </c>
      <c r="AE220" t="n">
        <v>17</v>
      </c>
      <c r="AF220" t="n">
        <v>4</v>
      </c>
      <c r="AG220" t="n">
        <v>4</v>
      </c>
      <c r="AH220" t="n">
        <v>3</v>
      </c>
      <c r="AI220" t="n">
        <v>3</v>
      </c>
      <c r="AJ220" t="n">
        <v>10</v>
      </c>
      <c r="AK220" t="n">
        <v>10</v>
      </c>
      <c r="AL220" t="n">
        <v>4</v>
      </c>
      <c r="AM220" t="n">
        <v>4</v>
      </c>
      <c r="AN220" t="n">
        <v>0</v>
      </c>
      <c r="AO220" t="n">
        <v>0</v>
      </c>
      <c r="AP220" t="inlineStr">
        <is>
          <t>No</t>
        </is>
      </c>
      <c r="AQ220" t="inlineStr">
        <is>
          <t>Yes</t>
        </is>
      </c>
      <c r="AR220">
        <f>HYPERLINK("http://catalog.hathitrust.org/Record/001476695","HathiTrust Record")</f>
        <v/>
      </c>
      <c r="AS220">
        <f>HYPERLINK("https://creighton-primo.hosted.exlibrisgroup.com/primo-explore/search?tab=default_tab&amp;search_scope=EVERYTHING&amp;vid=01CRU&amp;lang=en_US&amp;offset=0&amp;query=any,contains,991001534959702656","Catalog Record")</f>
        <v/>
      </c>
      <c r="AT220">
        <f>HYPERLINK("http://www.worldcat.org/oclc/232378","WorldCat Record")</f>
        <v/>
      </c>
      <c r="AU220" t="inlineStr">
        <is>
          <t>1358439:eng</t>
        </is>
      </c>
      <c r="AV220" t="inlineStr">
        <is>
          <t>232378</t>
        </is>
      </c>
      <c r="AW220" t="inlineStr">
        <is>
          <t>991001534959702656</t>
        </is>
      </c>
      <c r="AX220" t="inlineStr">
        <is>
          <t>991001534959702656</t>
        </is>
      </c>
      <c r="AY220" t="inlineStr">
        <is>
          <t>2258583250002656</t>
        </is>
      </c>
      <c r="AZ220" t="inlineStr">
        <is>
          <t>BOOK</t>
        </is>
      </c>
      <c r="BC220" t="inlineStr">
        <is>
          <t>32285001852465</t>
        </is>
      </c>
      <c r="BD220" t="inlineStr">
        <is>
          <t>893684391</t>
        </is>
      </c>
    </row>
    <row r="221">
      <c r="A221" t="inlineStr">
        <is>
          <t>No</t>
        </is>
      </c>
      <c r="B221" t="inlineStr">
        <is>
          <t>QB500 .K64 1997</t>
        </is>
      </c>
      <c r="C221" t="inlineStr">
        <is>
          <t>0                      QB 0500000K  64          1997</t>
        </is>
      </c>
      <c r="D221" t="inlineStr">
        <is>
          <t>Beyond Star Trek : physics from alien invasions to the end of time / Lawrence M. Krauss.</t>
        </is>
      </c>
      <c r="F221" t="inlineStr">
        <is>
          <t>No</t>
        </is>
      </c>
      <c r="G221" t="inlineStr">
        <is>
          <t>1</t>
        </is>
      </c>
      <c r="H221" t="inlineStr">
        <is>
          <t>No</t>
        </is>
      </c>
      <c r="I221" t="inlineStr">
        <is>
          <t>No</t>
        </is>
      </c>
      <c r="J221" t="inlineStr">
        <is>
          <t>0</t>
        </is>
      </c>
      <c r="K221" t="inlineStr">
        <is>
          <t>Krauss, Lawrence M., 1954-</t>
        </is>
      </c>
      <c r="L221" t="inlineStr">
        <is>
          <t>New York, NY : Basic Books, c1997.</t>
        </is>
      </c>
      <c r="M221" t="inlineStr">
        <is>
          <t>1997</t>
        </is>
      </c>
      <c r="N221" t="inlineStr">
        <is>
          <t>1st ed.</t>
        </is>
      </c>
      <c r="O221" t="inlineStr">
        <is>
          <t>eng</t>
        </is>
      </c>
      <c r="P221" t="inlineStr">
        <is>
          <t>nyu</t>
        </is>
      </c>
      <c r="R221" t="inlineStr">
        <is>
          <t xml:space="preserve">QB </t>
        </is>
      </c>
      <c r="S221" t="n">
        <v>2</v>
      </c>
      <c r="T221" t="n">
        <v>2</v>
      </c>
      <c r="U221" t="inlineStr">
        <is>
          <t>2007-12-19</t>
        </is>
      </c>
      <c r="V221" t="inlineStr">
        <is>
          <t>2007-12-19</t>
        </is>
      </c>
      <c r="W221" t="inlineStr">
        <is>
          <t>1998-08-18</t>
        </is>
      </c>
      <c r="X221" t="inlineStr">
        <is>
          <t>1998-08-18</t>
        </is>
      </c>
      <c r="Y221" t="n">
        <v>832</v>
      </c>
      <c r="Z221" t="n">
        <v>777</v>
      </c>
      <c r="AA221" t="n">
        <v>874</v>
      </c>
      <c r="AB221" t="n">
        <v>6</v>
      </c>
      <c r="AC221" t="n">
        <v>6</v>
      </c>
      <c r="AD221" t="n">
        <v>21</v>
      </c>
      <c r="AE221" t="n">
        <v>23</v>
      </c>
      <c r="AF221" t="n">
        <v>6</v>
      </c>
      <c r="AG221" t="n">
        <v>8</v>
      </c>
      <c r="AH221" t="n">
        <v>5</v>
      </c>
      <c r="AI221" t="n">
        <v>5</v>
      </c>
      <c r="AJ221" t="n">
        <v>12</v>
      </c>
      <c r="AK221" t="n">
        <v>13</v>
      </c>
      <c r="AL221" t="n">
        <v>3</v>
      </c>
      <c r="AM221" t="n">
        <v>3</v>
      </c>
      <c r="AN221" t="n">
        <v>0</v>
      </c>
      <c r="AO221" t="n">
        <v>0</v>
      </c>
      <c r="AP221" t="inlineStr">
        <is>
          <t>No</t>
        </is>
      </c>
      <c r="AQ221" t="inlineStr">
        <is>
          <t>Yes</t>
        </is>
      </c>
      <c r="AR221">
        <f>HYPERLINK("http://catalog.hathitrust.org/Record/003950731","HathiTrust Record")</f>
        <v/>
      </c>
      <c r="AS221">
        <f>HYPERLINK("https://creighton-primo.hosted.exlibrisgroup.com/primo-explore/search?tab=default_tab&amp;search_scope=EVERYTHING&amp;vid=01CRU&amp;lang=en_US&amp;offset=0&amp;query=any,contains,991002845199702656","Catalog Record")</f>
        <v/>
      </c>
      <c r="AT221">
        <f>HYPERLINK("http://www.worldcat.org/oclc/37492513","WorldCat Record")</f>
        <v/>
      </c>
      <c r="AU221" t="inlineStr">
        <is>
          <t>793852738:eng</t>
        </is>
      </c>
      <c r="AV221" t="inlineStr">
        <is>
          <t>37492513</t>
        </is>
      </c>
      <c r="AW221" t="inlineStr">
        <is>
          <t>991002845199702656</t>
        </is>
      </c>
      <c r="AX221" t="inlineStr">
        <is>
          <t>991002845199702656</t>
        </is>
      </c>
      <c r="AY221" t="inlineStr">
        <is>
          <t>2265934310002656</t>
        </is>
      </c>
      <c r="AZ221" t="inlineStr">
        <is>
          <t>BOOK</t>
        </is>
      </c>
      <c r="BB221" t="inlineStr">
        <is>
          <t>9780465006373</t>
        </is>
      </c>
      <c r="BC221" t="inlineStr">
        <is>
          <t>32285003453601</t>
        </is>
      </c>
      <c r="BD221" t="inlineStr">
        <is>
          <t>893616654</t>
        </is>
      </c>
    </row>
    <row r="222">
      <c r="A222" t="inlineStr">
        <is>
          <t>No</t>
        </is>
      </c>
      <c r="B222" t="inlineStr">
        <is>
          <t>QB500 .K65 1995</t>
        </is>
      </c>
      <c r="C222" t="inlineStr">
        <is>
          <t>0                      QB 0500000K  65          1995</t>
        </is>
      </c>
      <c r="D222" t="inlineStr">
        <is>
          <t>The physics of Star Trek / Lawrence M. Krauss ; with a foreword by Stephen Hawking.</t>
        </is>
      </c>
      <c r="F222" t="inlineStr">
        <is>
          <t>No</t>
        </is>
      </c>
      <c r="G222" t="inlineStr">
        <is>
          <t>1</t>
        </is>
      </c>
      <c r="H222" t="inlineStr">
        <is>
          <t>No</t>
        </is>
      </c>
      <c r="I222" t="inlineStr">
        <is>
          <t>No</t>
        </is>
      </c>
      <c r="J222" t="inlineStr">
        <is>
          <t>0</t>
        </is>
      </c>
      <c r="K222" t="inlineStr">
        <is>
          <t>Krauss, Lawrence M., 1954-</t>
        </is>
      </c>
      <c r="L222" t="inlineStr">
        <is>
          <t>New York : Basic Books, c1995.</t>
        </is>
      </c>
      <c r="M222" t="inlineStr">
        <is>
          <t>1995</t>
        </is>
      </c>
      <c r="O222" t="inlineStr">
        <is>
          <t>eng</t>
        </is>
      </c>
      <c r="P222" t="inlineStr">
        <is>
          <t>nyu</t>
        </is>
      </c>
      <c r="R222" t="inlineStr">
        <is>
          <t xml:space="preserve">QB </t>
        </is>
      </c>
      <c r="S222" t="n">
        <v>7</v>
      </c>
      <c r="T222" t="n">
        <v>7</v>
      </c>
      <c r="U222" t="inlineStr">
        <is>
          <t>2007-12-19</t>
        </is>
      </c>
      <c r="V222" t="inlineStr">
        <is>
          <t>2007-12-19</t>
        </is>
      </c>
      <c r="W222" t="inlineStr">
        <is>
          <t>1996-02-08</t>
        </is>
      </c>
      <c r="X222" t="inlineStr">
        <is>
          <t>1996-02-08</t>
        </is>
      </c>
      <c r="Y222" t="n">
        <v>1529</v>
      </c>
      <c r="Z222" t="n">
        <v>1435</v>
      </c>
      <c r="AA222" t="n">
        <v>2114</v>
      </c>
      <c r="AB222" t="n">
        <v>8</v>
      </c>
      <c r="AC222" t="n">
        <v>13</v>
      </c>
      <c r="AD222" t="n">
        <v>34</v>
      </c>
      <c r="AE222" t="n">
        <v>50</v>
      </c>
      <c r="AF222" t="n">
        <v>16</v>
      </c>
      <c r="AG222" t="n">
        <v>23</v>
      </c>
      <c r="AH222" t="n">
        <v>7</v>
      </c>
      <c r="AI222" t="n">
        <v>10</v>
      </c>
      <c r="AJ222" t="n">
        <v>19</v>
      </c>
      <c r="AK222" t="n">
        <v>22</v>
      </c>
      <c r="AL222" t="n">
        <v>3</v>
      </c>
      <c r="AM222" t="n">
        <v>7</v>
      </c>
      <c r="AN222" t="n">
        <v>0</v>
      </c>
      <c r="AO222" t="n">
        <v>1</v>
      </c>
      <c r="AP222" t="inlineStr">
        <is>
          <t>No</t>
        </is>
      </c>
      <c r="AQ222" t="inlineStr">
        <is>
          <t>Yes</t>
        </is>
      </c>
      <c r="AR222">
        <f>HYPERLINK("http://catalog.hathitrust.org/Record/003065101","HathiTrust Record")</f>
        <v/>
      </c>
      <c r="AS222">
        <f>HYPERLINK("https://creighton-primo.hosted.exlibrisgroup.com/primo-explore/search?tab=default_tab&amp;search_scope=EVERYTHING&amp;vid=01CRU&amp;lang=en_US&amp;offset=0&amp;query=any,contains,991002534509702656","Catalog Record")</f>
        <v/>
      </c>
      <c r="AT222">
        <f>HYPERLINK("http://www.worldcat.org/oclc/32925425","WorldCat Record")</f>
        <v/>
      </c>
      <c r="AU222" t="inlineStr">
        <is>
          <t>1059824:eng</t>
        </is>
      </c>
      <c r="AV222" t="inlineStr">
        <is>
          <t>32925425</t>
        </is>
      </c>
      <c r="AW222" t="inlineStr">
        <is>
          <t>991002534509702656</t>
        </is>
      </c>
      <c r="AX222" t="inlineStr">
        <is>
          <t>991002534509702656</t>
        </is>
      </c>
      <c r="AY222" t="inlineStr">
        <is>
          <t>2263174850002656</t>
        </is>
      </c>
      <c r="AZ222" t="inlineStr">
        <is>
          <t>BOOK</t>
        </is>
      </c>
      <c r="BB222" t="inlineStr">
        <is>
          <t>9780465005598</t>
        </is>
      </c>
      <c r="BC222" t="inlineStr">
        <is>
          <t>32285002128543</t>
        </is>
      </c>
      <c r="BD222" t="inlineStr">
        <is>
          <t>893779929</t>
        </is>
      </c>
    </row>
    <row r="223">
      <c r="A223" t="inlineStr">
        <is>
          <t>No</t>
        </is>
      </c>
      <c r="B223" t="inlineStr">
        <is>
          <t>QB500 .R33 1996</t>
        </is>
      </c>
      <c r="C223" t="inlineStr">
        <is>
          <t>0                      QB 0500000R  33          1996</t>
        </is>
      </c>
      <c r="D223" t="inlineStr">
        <is>
          <t>Islands in the sky : bold new ideas for colonizing space / edited by Stanley Schmidt and Robert Zubrin.</t>
        </is>
      </c>
      <c r="F223" t="inlineStr">
        <is>
          <t>No</t>
        </is>
      </c>
      <c r="G223" t="inlineStr">
        <is>
          <t>1</t>
        </is>
      </c>
      <c r="H223" t="inlineStr">
        <is>
          <t>No</t>
        </is>
      </c>
      <c r="I223" t="inlineStr">
        <is>
          <t>No</t>
        </is>
      </c>
      <c r="J223" t="inlineStr">
        <is>
          <t>0</t>
        </is>
      </c>
      <c r="L223" t="inlineStr">
        <is>
          <t>New York : John Wiley, c1996.</t>
        </is>
      </c>
      <c r="M223" t="inlineStr">
        <is>
          <t>1996</t>
        </is>
      </c>
      <c r="O223" t="inlineStr">
        <is>
          <t>eng</t>
        </is>
      </c>
      <c r="P223" t="inlineStr">
        <is>
          <t>nyu</t>
        </is>
      </c>
      <c r="Q223" t="inlineStr">
        <is>
          <t>Wiley popular science</t>
        </is>
      </c>
      <c r="R223" t="inlineStr">
        <is>
          <t xml:space="preserve">QB </t>
        </is>
      </c>
      <c r="S223" t="n">
        <v>8</v>
      </c>
      <c r="T223" t="n">
        <v>8</v>
      </c>
      <c r="U223" t="inlineStr">
        <is>
          <t>2006-11-05</t>
        </is>
      </c>
      <c r="V223" t="inlineStr">
        <is>
          <t>2006-11-05</t>
        </is>
      </c>
      <c r="W223" t="inlineStr">
        <is>
          <t>1996-07-01</t>
        </is>
      </c>
      <c r="X223" t="inlineStr">
        <is>
          <t>1996-07-01</t>
        </is>
      </c>
      <c r="Y223" t="n">
        <v>177</v>
      </c>
      <c r="Z223" t="n">
        <v>147</v>
      </c>
      <c r="AA223" t="n">
        <v>147</v>
      </c>
      <c r="AB223" t="n">
        <v>3</v>
      </c>
      <c r="AC223" t="n">
        <v>3</v>
      </c>
      <c r="AD223" t="n">
        <v>5</v>
      </c>
      <c r="AE223" t="n">
        <v>5</v>
      </c>
      <c r="AF223" t="n">
        <v>1</v>
      </c>
      <c r="AG223" t="n">
        <v>1</v>
      </c>
      <c r="AH223" t="n">
        <v>1</v>
      </c>
      <c r="AI223" t="n">
        <v>1</v>
      </c>
      <c r="AJ223" t="n">
        <v>3</v>
      </c>
      <c r="AK223" t="n">
        <v>3</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HYPERLINK("https://creighton-primo.hosted.exlibrisgroup.com/primo-explore/search?tab=default_tab&amp;search_scope=EVERYTHING&amp;vid=01CRU&amp;lang=en_US&amp;offset=0&amp;query=any,contains,991002524129702656","Catalog Record")</f>
        <v/>
      </c>
      <c r="AT223">
        <f>HYPERLINK("http://www.worldcat.org/oclc/32820952","WorldCat Record")</f>
        <v/>
      </c>
      <c r="AU223" t="inlineStr">
        <is>
          <t>375404006:eng</t>
        </is>
      </c>
      <c r="AV223" t="inlineStr">
        <is>
          <t>32820952</t>
        </is>
      </c>
      <c r="AW223" t="inlineStr">
        <is>
          <t>991002524129702656</t>
        </is>
      </c>
      <c r="AX223" t="inlineStr">
        <is>
          <t>991002524129702656</t>
        </is>
      </c>
      <c r="AY223" t="inlineStr">
        <is>
          <t>2263259690002656</t>
        </is>
      </c>
      <c r="AZ223" t="inlineStr">
        <is>
          <t>BOOK</t>
        </is>
      </c>
      <c r="BB223" t="inlineStr">
        <is>
          <t>9780471135616</t>
        </is>
      </c>
      <c r="BC223" t="inlineStr">
        <is>
          <t>32285002174745</t>
        </is>
      </c>
      <c r="BD223" t="inlineStr">
        <is>
          <t>893433978</t>
        </is>
      </c>
    </row>
    <row r="224">
      <c r="A224" t="inlineStr">
        <is>
          <t>No</t>
        </is>
      </c>
      <c r="B224" t="inlineStr">
        <is>
          <t>QB500 .S55</t>
        </is>
      </c>
      <c r="C224" t="inlineStr">
        <is>
          <t>0                      QB 0500000S  55</t>
        </is>
      </c>
      <c r="D224" t="inlineStr">
        <is>
          <t>Kosmos; a course of six lectures on the development of our insight into the structure of the universe, delivered for the Lowell institute in Boston, in November 1931, by W. de Sitter ...</t>
        </is>
      </c>
      <c r="F224" t="inlineStr">
        <is>
          <t>No</t>
        </is>
      </c>
      <c r="G224" t="inlineStr">
        <is>
          <t>1</t>
        </is>
      </c>
      <c r="H224" t="inlineStr">
        <is>
          <t>No</t>
        </is>
      </c>
      <c r="I224" t="inlineStr">
        <is>
          <t>No</t>
        </is>
      </c>
      <c r="J224" t="inlineStr">
        <is>
          <t>0</t>
        </is>
      </c>
      <c r="K224" t="inlineStr">
        <is>
          <t>Sitter, Willem de.</t>
        </is>
      </c>
      <c r="L224" t="inlineStr">
        <is>
          <t>Cambridge, Mass., Harvard university press, 1932.</t>
        </is>
      </c>
      <c r="M224" t="inlineStr">
        <is>
          <t>1932</t>
        </is>
      </c>
      <c r="O224" t="inlineStr">
        <is>
          <t>eng</t>
        </is>
      </c>
      <c r="P224" t="inlineStr">
        <is>
          <t>mau</t>
        </is>
      </c>
      <c r="R224" t="inlineStr">
        <is>
          <t xml:space="preserve">QB </t>
        </is>
      </c>
      <c r="S224" t="n">
        <v>4</v>
      </c>
      <c r="T224" t="n">
        <v>4</v>
      </c>
      <c r="U224" t="inlineStr">
        <is>
          <t>1998-04-02</t>
        </is>
      </c>
      <c r="V224" t="inlineStr">
        <is>
          <t>1998-04-02</t>
        </is>
      </c>
      <c r="W224" t="inlineStr">
        <is>
          <t>1997-05-02</t>
        </is>
      </c>
      <c r="X224" t="inlineStr">
        <is>
          <t>1997-05-02</t>
        </is>
      </c>
      <c r="Y224" t="n">
        <v>214</v>
      </c>
      <c r="Z224" t="n">
        <v>174</v>
      </c>
      <c r="AA224" t="n">
        <v>179</v>
      </c>
      <c r="AB224" t="n">
        <v>1</v>
      </c>
      <c r="AC224" t="n">
        <v>1</v>
      </c>
      <c r="AD224" t="n">
        <v>6</v>
      </c>
      <c r="AE224" t="n">
        <v>6</v>
      </c>
      <c r="AF224" t="n">
        <v>2</v>
      </c>
      <c r="AG224" t="n">
        <v>2</v>
      </c>
      <c r="AH224" t="n">
        <v>1</v>
      </c>
      <c r="AI224" t="n">
        <v>1</v>
      </c>
      <c r="AJ224" t="n">
        <v>4</v>
      </c>
      <c r="AK224" t="n">
        <v>4</v>
      </c>
      <c r="AL224" t="n">
        <v>0</v>
      </c>
      <c r="AM224" t="n">
        <v>0</v>
      </c>
      <c r="AN224" t="n">
        <v>0</v>
      </c>
      <c r="AO224" t="n">
        <v>0</v>
      </c>
      <c r="AP224" t="inlineStr">
        <is>
          <t>No</t>
        </is>
      </c>
      <c r="AQ224" t="inlineStr">
        <is>
          <t>No</t>
        </is>
      </c>
      <c r="AR224">
        <f>HYPERLINK("http://catalog.hathitrust.org/Record/001475425","HathiTrust Record")</f>
        <v/>
      </c>
      <c r="AS224">
        <f>HYPERLINK("https://creighton-primo.hosted.exlibrisgroup.com/primo-explore/search?tab=default_tab&amp;search_scope=EVERYTHING&amp;vid=01CRU&amp;lang=en_US&amp;offset=0&amp;query=any,contains,991003848569702656","Catalog Record")</f>
        <v/>
      </c>
      <c r="AT224">
        <f>HYPERLINK("http://www.worldcat.org/oclc/1636375","WorldCat Record")</f>
        <v/>
      </c>
      <c r="AU224" t="inlineStr">
        <is>
          <t>4929072455:eng</t>
        </is>
      </c>
      <c r="AV224" t="inlineStr">
        <is>
          <t>1636375</t>
        </is>
      </c>
      <c r="AW224" t="inlineStr">
        <is>
          <t>991003848569702656</t>
        </is>
      </c>
      <c r="AX224" t="inlineStr">
        <is>
          <t>991003848569702656</t>
        </is>
      </c>
      <c r="AY224" t="inlineStr">
        <is>
          <t>2256121800002656</t>
        </is>
      </c>
      <c r="AZ224" t="inlineStr">
        <is>
          <t>BOOK</t>
        </is>
      </c>
      <c r="BC224" t="inlineStr">
        <is>
          <t>32285002641552</t>
        </is>
      </c>
      <c r="BD224" t="inlineStr">
        <is>
          <t>893324605</t>
        </is>
      </c>
    </row>
    <row r="225">
      <c r="A225" t="inlineStr">
        <is>
          <t>No</t>
        </is>
      </c>
      <c r="B225" t="inlineStr">
        <is>
          <t>QB500 .S615 2004</t>
        </is>
      </c>
      <c r="C225" t="inlineStr">
        <is>
          <t>0                      QB 0500000S  615         2004</t>
        </is>
      </c>
      <c r="D225" t="inlineStr">
        <is>
          <t>Space science / editors, Louise K. Harra, Keith O. Mason.</t>
        </is>
      </c>
      <c r="F225" t="inlineStr">
        <is>
          <t>No</t>
        </is>
      </c>
      <c r="G225" t="inlineStr">
        <is>
          <t>1</t>
        </is>
      </c>
      <c r="H225" t="inlineStr">
        <is>
          <t>No</t>
        </is>
      </c>
      <c r="I225" t="inlineStr">
        <is>
          <t>No</t>
        </is>
      </c>
      <c r="J225" t="inlineStr">
        <is>
          <t>0</t>
        </is>
      </c>
      <c r="L225" t="inlineStr">
        <is>
          <t>London : Imperial College Press ; Singapore ; River Edge, NJ : Distributed by World Scientific, c2004.</t>
        </is>
      </c>
      <c r="M225" t="inlineStr">
        <is>
          <t>2004</t>
        </is>
      </c>
      <c r="O225" t="inlineStr">
        <is>
          <t>eng</t>
        </is>
      </c>
      <c r="P225" t="inlineStr">
        <is>
          <t>enk</t>
        </is>
      </c>
      <c r="R225" t="inlineStr">
        <is>
          <t xml:space="preserve">QB </t>
        </is>
      </c>
      <c r="S225" t="n">
        <v>2</v>
      </c>
      <c r="T225" t="n">
        <v>2</v>
      </c>
      <c r="U225" t="inlineStr">
        <is>
          <t>2009-04-17</t>
        </is>
      </c>
      <c r="V225" t="inlineStr">
        <is>
          <t>2009-04-17</t>
        </is>
      </c>
      <c r="W225" t="inlineStr">
        <is>
          <t>2004-09-23</t>
        </is>
      </c>
      <c r="X225" t="inlineStr">
        <is>
          <t>2004-09-23</t>
        </is>
      </c>
      <c r="Y225" t="n">
        <v>184</v>
      </c>
      <c r="Z225" t="n">
        <v>114</v>
      </c>
      <c r="AA225" t="n">
        <v>796</v>
      </c>
      <c r="AB225" t="n">
        <v>3</v>
      </c>
      <c r="AC225" t="n">
        <v>30</v>
      </c>
      <c r="AD225" t="n">
        <v>4</v>
      </c>
      <c r="AE225" t="n">
        <v>22</v>
      </c>
      <c r="AF225" t="n">
        <v>1</v>
      </c>
      <c r="AG225" t="n">
        <v>7</v>
      </c>
      <c r="AH225" t="n">
        <v>1</v>
      </c>
      <c r="AI225" t="n">
        <v>3</v>
      </c>
      <c r="AJ225" t="n">
        <v>2</v>
      </c>
      <c r="AK225" t="n">
        <v>6</v>
      </c>
      <c r="AL225" t="n">
        <v>2</v>
      </c>
      <c r="AM225" t="n">
        <v>11</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HYPERLINK("https://creighton-primo.hosted.exlibrisgroup.com/primo-explore/search?tab=default_tab&amp;search_scope=EVERYTHING&amp;vid=01CRU&amp;lang=en_US&amp;offset=0&amp;query=any,contains,991004361079702656","Catalog Record")</f>
        <v/>
      </c>
      <c r="AT225">
        <f>HYPERLINK("http://www.worldcat.org/oclc/55141653","WorldCat Record")</f>
        <v/>
      </c>
      <c r="AU225" t="inlineStr">
        <is>
          <t>400208422:eng</t>
        </is>
      </c>
      <c r="AV225" t="inlineStr">
        <is>
          <t>55141653</t>
        </is>
      </c>
      <c r="AW225" t="inlineStr">
        <is>
          <t>991004361079702656</t>
        </is>
      </c>
      <c r="AX225" t="inlineStr">
        <is>
          <t>991004361079702656</t>
        </is>
      </c>
      <c r="AY225" t="inlineStr">
        <is>
          <t>2258417060002656</t>
        </is>
      </c>
      <c r="AZ225" t="inlineStr">
        <is>
          <t>BOOK</t>
        </is>
      </c>
      <c r="BB225" t="inlineStr">
        <is>
          <t>9781860943461</t>
        </is>
      </c>
      <c r="BC225" t="inlineStr">
        <is>
          <t>32285004989140</t>
        </is>
      </c>
      <c r="BD225" t="inlineStr">
        <is>
          <t>893506762</t>
        </is>
      </c>
    </row>
    <row r="226">
      <c r="A226" t="inlineStr">
        <is>
          <t>No</t>
        </is>
      </c>
      <c r="B226" t="inlineStr">
        <is>
          <t>QB500 .U47 1968</t>
        </is>
      </c>
      <c r="C226" t="inlineStr">
        <is>
          <t>0                      QB 0500000U  47          1968</t>
        </is>
      </c>
      <c r="D226" t="inlineStr">
        <is>
          <t>Introduction to space science.</t>
        </is>
      </c>
      <c r="F226" t="inlineStr">
        <is>
          <t>No</t>
        </is>
      </c>
      <c r="G226" t="inlineStr">
        <is>
          <t>1</t>
        </is>
      </c>
      <c r="H226" t="inlineStr">
        <is>
          <t>No</t>
        </is>
      </c>
      <c r="I226" t="inlineStr">
        <is>
          <t>No</t>
        </is>
      </c>
      <c r="J226" t="inlineStr">
        <is>
          <t>0</t>
        </is>
      </c>
      <c r="K226" t="inlineStr">
        <is>
          <t>Goddard Space Flight Center.</t>
        </is>
      </c>
      <c r="L226" t="inlineStr">
        <is>
          <t>New York : Gordon and Breach, 1968.</t>
        </is>
      </c>
      <c r="M226" t="inlineStr">
        <is>
          <t>1968</t>
        </is>
      </c>
      <c r="N226" t="inlineStr">
        <is>
          <t>2d ed., rev. and enl. Edited by Wilmot N. Hess and Gilbert D. Mead.</t>
        </is>
      </c>
      <c r="O226" t="inlineStr">
        <is>
          <t>eng</t>
        </is>
      </c>
      <c r="P226" t="inlineStr">
        <is>
          <t>nyu</t>
        </is>
      </c>
      <c r="R226" t="inlineStr">
        <is>
          <t xml:space="preserve">QB </t>
        </is>
      </c>
      <c r="S226" t="n">
        <v>2</v>
      </c>
      <c r="T226" t="n">
        <v>2</v>
      </c>
      <c r="U226" t="inlineStr">
        <is>
          <t>1995-11-08</t>
        </is>
      </c>
      <c r="V226" t="inlineStr">
        <is>
          <t>1995-11-08</t>
        </is>
      </c>
      <c r="W226" t="inlineStr">
        <is>
          <t>1992-11-19</t>
        </is>
      </c>
      <c r="X226" t="inlineStr">
        <is>
          <t>1992-11-19</t>
        </is>
      </c>
      <c r="Y226" t="n">
        <v>322</v>
      </c>
      <c r="Z226" t="n">
        <v>270</v>
      </c>
      <c r="AA226" t="n">
        <v>390</v>
      </c>
      <c r="AB226" t="n">
        <v>3</v>
      </c>
      <c r="AC226" t="n">
        <v>3</v>
      </c>
      <c r="AD226" t="n">
        <v>16</v>
      </c>
      <c r="AE226" t="n">
        <v>16</v>
      </c>
      <c r="AF226" t="n">
        <v>4</v>
      </c>
      <c r="AG226" t="n">
        <v>4</v>
      </c>
      <c r="AH226" t="n">
        <v>5</v>
      </c>
      <c r="AI226" t="n">
        <v>5</v>
      </c>
      <c r="AJ226" t="n">
        <v>11</v>
      </c>
      <c r="AK226" t="n">
        <v>11</v>
      </c>
      <c r="AL226" t="n">
        <v>2</v>
      </c>
      <c r="AM226" t="n">
        <v>2</v>
      </c>
      <c r="AN226" t="n">
        <v>0</v>
      </c>
      <c r="AO226" t="n">
        <v>0</v>
      </c>
      <c r="AP226" t="inlineStr">
        <is>
          <t>No</t>
        </is>
      </c>
      <c r="AQ226" t="inlineStr">
        <is>
          <t>Yes</t>
        </is>
      </c>
      <c r="AR226">
        <f>HYPERLINK("http://catalog.hathitrust.org/Record/001476716","HathiTrust Record")</f>
        <v/>
      </c>
      <c r="AS226">
        <f>HYPERLINK("https://creighton-primo.hosted.exlibrisgroup.com/primo-explore/search?tab=default_tab&amp;search_scope=EVERYTHING&amp;vid=01CRU&amp;lang=en_US&amp;offset=0&amp;query=any,contains,991002790149702656","Catalog Record")</f>
        <v/>
      </c>
      <c r="AT226">
        <f>HYPERLINK("http://www.worldcat.org/oclc/442967","WorldCat Record")</f>
        <v/>
      </c>
      <c r="AU226" t="inlineStr">
        <is>
          <t>1573339:eng</t>
        </is>
      </c>
      <c r="AV226" t="inlineStr">
        <is>
          <t>442967</t>
        </is>
      </c>
      <c r="AW226" t="inlineStr">
        <is>
          <t>991002790149702656</t>
        </is>
      </c>
      <c r="AX226" t="inlineStr">
        <is>
          <t>991002790149702656</t>
        </is>
      </c>
      <c r="AY226" t="inlineStr">
        <is>
          <t>2266306510002656</t>
        </is>
      </c>
      <c r="AZ226" t="inlineStr">
        <is>
          <t>BOOK</t>
        </is>
      </c>
      <c r="BC226" t="inlineStr">
        <is>
          <t>32285001433209</t>
        </is>
      </c>
      <c r="BD226" t="inlineStr">
        <is>
          <t>893498540</t>
        </is>
      </c>
    </row>
    <row r="227">
      <c r="A227" t="inlineStr">
        <is>
          <t>No</t>
        </is>
      </c>
      <c r="B227" t="inlineStr">
        <is>
          <t>QB500.262 .L38 1998</t>
        </is>
      </c>
      <c r="C227" t="inlineStr">
        <is>
          <t>0                      QB 0500262L  38          1998</t>
        </is>
      </c>
      <c r="D227" t="inlineStr">
        <is>
          <t>Frontiers of space exploration / Roger D. Launius.</t>
        </is>
      </c>
      <c r="F227" t="inlineStr">
        <is>
          <t>No</t>
        </is>
      </c>
      <c r="G227" t="inlineStr">
        <is>
          <t>1</t>
        </is>
      </c>
      <c r="H227" t="inlineStr">
        <is>
          <t>No</t>
        </is>
      </c>
      <c r="I227" t="inlineStr">
        <is>
          <t>No</t>
        </is>
      </c>
      <c r="J227" t="inlineStr">
        <is>
          <t>0</t>
        </is>
      </c>
      <c r="K227" t="inlineStr">
        <is>
          <t>Launius, Roger D.</t>
        </is>
      </c>
      <c r="L227" t="inlineStr">
        <is>
          <t>Westport, Conn. : Greenwood Press, 1998.</t>
        </is>
      </c>
      <c r="M227" t="inlineStr">
        <is>
          <t>1998</t>
        </is>
      </c>
      <c r="O227" t="inlineStr">
        <is>
          <t>eng</t>
        </is>
      </c>
      <c r="P227" t="inlineStr">
        <is>
          <t>ctu</t>
        </is>
      </c>
      <c r="Q227" t="inlineStr">
        <is>
          <t>Greenwood Press guides to historic events of the twentieth century, 1092-177X</t>
        </is>
      </c>
      <c r="R227" t="inlineStr">
        <is>
          <t xml:space="preserve">QB </t>
        </is>
      </c>
      <c r="S227" t="n">
        <v>4</v>
      </c>
      <c r="T227" t="n">
        <v>4</v>
      </c>
      <c r="U227" t="inlineStr">
        <is>
          <t>2000-04-11</t>
        </is>
      </c>
      <c r="V227" t="inlineStr">
        <is>
          <t>2000-04-11</t>
        </is>
      </c>
      <c r="W227" t="inlineStr">
        <is>
          <t>1999-04-05</t>
        </is>
      </c>
      <c r="X227" t="inlineStr">
        <is>
          <t>1999-04-05</t>
        </is>
      </c>
      <c r="Y227" t="n">
        <v>757</v>
      </c>
      <c r="Z227" t="n">
        <v>723</v>
      </c>
      <c r="AA227" t="n">
        <v>1219</v>
      </c>
      <c r="AB227" t="n">
        <v>6</v>
      </c>
      <c r="AC227" t="n">
        <v>31</v>
      </c>
      <c r="AD227" t="n">
        <v>17</v>
      </c>
      <c r="AE227" t="n">
        <v>33</v>
      </c>
      <c r="AF227" t="n">
        <v>8</v>
      </c>
      <c r="AG227" t="n">
        <v>12</v>
      </c>
      <c r="AH227" t="n">
        <v>4</v>
      </c>
      <c r="AI227" t="n">
        <v>4</v>
      </c>
      <c r="AJ227" t="n">
        <v>6</v>
      </c>
      <c r="AK227" t="n">
        <v>9</v>
      </c>
      <c r="AL227" t="n">
        <v>3</v>
      </c>
      <c r="AM227" t="n">
        <v>14</v>
      </c>
      <c r="AN227" t="n">
        <v>0</v>
      </c>
      <c r="AO227" t="n">
        <v>0</v>
      </c>
      <c r="AP227" t="inlineStr">
        <is>
          <t>No</t>
        </is>
      </c>
      <c r="AQ227" t="inlineStr">
        <is>
          <t>Yes</t>
        </is>
      </c>
      <c r="AR227">
        <f>HYPERLINK("http://catalog.hathitrust.org/Record/003980446","HathiTrust Record")</f>
        <v/>
      </c>
      <c r="AS227">
        <f>HYPERLINK("https://creighton-primo.hosted.exlibrisgroup.com/primo-explore/search?tab=default_tab&amp;search_scope=EVERYTHING&amp;vid=01CRU&amp;lang=en_US&amp;offset=0&amp;query=any,contains,991002850969702656","Catalog Record")</f>
        <v/>
      </c>
      <c r="AT227">
        <f>HYPERLINK("http://www.worldcat.org/oclc/37567235","WorldCat Record")</f>
        <v/>
      </c>
      <c r="AU227" t="inlineStr">
        <is>
          <t>677615:eng</t>
        </is>
      </c>
      <c r="AV227" t="inlineStr">
        <is>
          <t>37567235</t>
        </is>
      </c>
      <c r="AW227" t="inlineStr">
        <is>
          <t>991002850969702656</t>
        </is>
      </c>
      <c r="AX227" t="inlineStr">
        <is>
          <t>991002850969702656</t>
        </is>
      </c>
      <c r="AY227" t="inlineStr">
        <is>
          <t>2270153830002656</t>
        </is>
      </c>
      <c r="AZ227" t="inlineStr">
        <is>
          <t>BOOK</t>
        </is>
      </c>
      <c r="BB227" t="inlineStr">
        <is>
          <t>9780313299681</t>
        </is>
      </c>
      <c r="BC227" t="inlineStr">
        <is>
          <t>32285003548699</t>
        </is>
      </c>
      <c r="BD227" t="inlineStr">
        <is>
          <t>893786633</t>
        </is>
      </c>
    </row>
    <row r="228">
      <c r="A228" t="inlineStr">
        <is>
          <t>No</t>
        </is>
      </c>
      <c r="B228" t="inlineStr">
        <is>
          <t>QB500.267 .S55 1989</t>
        </is>
      </c>
      <c r="C228" t="inlineStr">
        <is>
          <t>0                      QB 0500267S  55          1989</t>
        </is>
      </c>
      <c r="D228" t="inlineStr">
        <is>
          <t>The space telescope : a study of NASA, science, technology, and politics / Robert W. Smith with contributions by Paul A. Hanle, Robert H. Kargon, Joseph N. Tatarewicz.</t>
        </is>
      </c>
      <c r="F228" t="inlineStr">
        <is>
          <t>No</t>
        </is>
      </c>
      <c r="G228" t="inlineStr">
        <is>
          <t>1</t>
        </is>
      </c>
      <c r="H228" t="inlineStr">
        <is>
          <t>No</t>
        </is>
      </c>
      <c r="I228" t="inlineStr">
        <is>
          <t>No</t>
        </is>
      </c>
      <c r="J228" t="inlineStr">
        <is>
          <t>0</t>
        </is>
      </c>
      <c r="K228" t="inlineStr">
        <is>
          <t>Smith, Robert W. (Robert William), 1952-</t>
        </is>
      </c>
      <c r="L228" t="inlineStr">
        <is>
          <t>Cambridge [England] ; New York : Cambridge University Press, c1989, 1990 printing.</t>
        </is>
      </c>
      <c r="M228" t="inlineStr">
        <is>
          <t>1989</t>
        </is>
      </c>
      <c r="O228" t="inlineStr">
        <is>
          <t>eng</t>
        </is>
      </c>
      <c r="P228" t="inlineStr">
        <is>
          <t>enk</t>
        </is>
      </c>
      <c r="R228" t="inlineStr">
        <is>
          <t xml:space="preserve">QB </t>
        </is>
      </c>
      <c r="S228" t="n">
        <v>4</v>
      </c>
      <c r="T228" t="n">
        <v>4</v>
      </c>
      <c r="U228" t="inlineStr">
        <is>
          <t>1995-02-05</t>
        </is>
      </c>
      <c r="V228" t="inlineStr">
        <is>
          <t>1995-02-05</t>
        </is>
      </c>
      <c r="W228" t="inlineStr">
        <is>
          <t>1990-07-19</t>
        </is>
      </c>
      <c r="X228" t="inlineStr">
        <is>
          <t>1990-07-19</t>
        </is>
      </c>
      <c r="Y228" t="n">
        <v>831</v>
      </c>
      <c r="Z228" t="n">
        <v>696</v>
      </c>
      <c r="AA228" t="n">
        <v>736</v>
      </c>
      <c r="AB228" t="n">
        <v>4</v>
      </c>
      <c r="AC228" t="n">
        <v>4</v>
      </c>
      <c r="AD228" t="n">
        <v>23</v>
      </c>
      <c r="AE228" t="n">
        <v>23</v>
      </c>
      <c r="AF228" t="n">
        <v>9</v>
      </c>
      <c r="AG228" t="n">
        <v>9</v>
      </c>
      <c r="AH228" t="n">
        <v>6</v>
      </c>
      <c r="AI228" t="n">
        <v>6</v>
      </c>
      <c r="AJ228" t="n">
        <v>10</v>
      </c>
      <c r="AK228" t="n">
        <v>10</v>
      </c>
      <c r="AL228" t="n">
        <v>3</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HYPERLINK("https://creighton-primo.hosted.exlibrisgroup.com/primo-explore/search?tab=default_tab&amp;search_scope=EVERYTHING&amp;vid=01CRU&amp;lang=en_US&amp;offset=0&amp;query=any,contains,991001441779702656","Catalog Record")</f>
        <v/>
      </c>
      <c r="AT228">
        <f>HYPERLINK("http://www.worldcat.org/oclc/19263128","WorldCat Record")</f>
        <v/>
      </c>
      <c r="AU228" t="inlineStr">
        <is>
          <t>836841869:eng</t>
        </is>
      </c>
      <c r="AV228" t="inlineStr">
        <is>
          <t>19263128</t>
        </is>
      </c>
      <c r="AW228" t="inlineStr">
        <is>
          <t>991001441779702656</t>
        </is>
      </c>
      <c r="AX228" t="inlineStr">
        <is>
          <t>991001441779702656</t>
        </is>
      </c>
      <c r="AY228" t="inlineStr">
        <is>
          <t>2266120410002656</t>
        </is>
      </c>
      <c r="AZ228" t="inlineStr">
        <is>
          <t>BOOK</t>
        </is>
      </c>
      <c r="BB228" t="inlineStr">
        <is>
          <t>9780521266345</t>
        </is>
      </c>
      <c r="BC228" t="inlineStr">
        <is>
          <t>32285000209295</t>
        </is>
      </c>
      <c r="BD228" t="inlineStr">
        <is>
          <t>893321970</t>
        </is>
      </c>
    </row>
    <row r="229">
      <c r="A229" t="inlineStr">
        <is>
          <t>No</t>
        </is>
      </c>
      <c r="B229" t="inlineStr">
        <is>
          <t>QB500.268 .K47 2003</t>
        </is>
      </c>
      <c r="C229" t="inlineStr">
        <is>
          <t>0                      QB 0500268K  47          2003</t>
        </is>
      </c>
      <c r="D229" t="inlineStr">
        <is>
          <t>Hubble : the mirror on the universe / Robin Kerrod.</t>
        </is>
      </c>
      <c r="F229" t="inlineStr">
        <is>
          <t>No</t>
        </is>
      </c>
      <c r="G229" t="inlineStr">
        <is>
          <t>1</t>
        </is>
      </c>
      <c r="H229" t="inlineStr">
        <is>
          <t>No</t>
        </is>
      </c>
      <c r="I229" t="inlineStr">
        <is>
          <t>No</t>
        </is>
      </c>
      <c r="J229" t="inlineStr">
        <is>
          <t>0</t>
        </is>
      </c>
      <c r="K229" t="inlineStr">
        <is>
          <t>Kerrod, Robin.</t>
        </is>
      </c>
      <c r="L229" t="inlineStr">
        <is>
          <t>Toronto : Firefly Books, 2003.</t>
        </is>
      </c>
      <c r="M229" t="inlineStr">
        <is>
          <t>2003</t>
        </is>
      </c>
      <c r="O229" t="inlineStr">
        <is>
          <t>eng</t>
        </is>
      </c>
      <c r="P229" t="inlineStr">
        <is>
          <t>onc</t>
        </is>
      </c>
      <c r="R229" t="inlineStr">
        <is>
          <t xml:space="preserve">QB </t>
        </is>
      </c>
      <c r="S229" t="n">
        <v>3</v>
      </c>
      <c r="T229" t="n">
        <v>3</v>
      </c>
      <c r="U229" t="inlineStr">
        <is>
          <t>2006-07-19</t>
        </is>
      </c>
      <c r="V229" t="inlineStr">
        <is>
          <t>2006-07-19</t>
        </is>
      </c>
      <c r="W229" t="inlineStr">
        <is>
          <t>2004-01-06</t>
        </is>
      </c>
      <c r="X229" t="inlineStr">
        <is>
          <t>2004-01-06</t>
        </is>
      </c>
      <c r="Y229" t="n">
        <v>631</v>
      </c>
      <c r="Z229" t="n">
        <v>569</v>
      </c>
      <c r="AA229" t="n">
        <v>1447</v>
      </c>
      <c r="AB229" t="n">
        <v>6</v>
      </c>
      <c r="AC229" t="n">
        <v>17</v>
      </c>
      <c r="AD229" t="n">
        <v>8</v>
      </c>
      <c r="AE229" t="n">
        <v>23</v>
      </c>
      <c r="AF229" t="n">
        <v>6</v>
      </c>
      <c r="AG229" t="n">
        <v>12</v>
      </c>
      <c r="AH229" t="n">
        <v>0</v>
      </c>
      <c r="AI229" t="n">
        <v>3</v>
      </c>
      <c r="AJ229" t="n">
        <v>2</v>
      </c>
      <c r="AK229" t="n">
        <v>11</v>
      </c>
      <c r="AL229" t="n">
        <v>1</v>
      </c>
      <c r="AM229" t="n">
        <v>4</v>
      </c>
      <c r="AN229" t="n">
        <v>0</v>
      </c>
      <c r="AO229" t="n">
        <v>0</v>
      </c>
      <c r="AP229" t="inlineStr">
        <is>
          <t>No</t>
        </is>
      </c>
      <c r="AQ229" t="inlineStr">
        <is>
          <t>Yes</t>
        </is>
      </c>
      <c r="AR229">
        <f>HYPERLINK("http://catalog.hathitrust.org/Record/004720397","HathiTrust Record")</f>
        <v/>
      </c>
      <c r="AS229">
        <f>HYPERLINK("https://creighton-primo.hosted.exlibrisgroup.com/primo-explore/search?tab=default_tab&amp;search_scope=EVERYTHING&amp;vid=01CRU&amp;lang=en_US&amp;offset=0&amp;query=any,contains,991004185029702656","Catalog Record")</f>
        <v/>
      </c>
      <c r="AT229">
        <f>HYPERLINK("http://www.worldcat.org/oclc/51800766","WorldCat Record")</f>
        <v/>
      </c>
      <c r="AU229" t="inlineStr">
        <is>
          <t>104834168:eng</t>
        </is>
      </c>
      <c r="AV229" t="inlineStr">
        <is>
          <t>51800766</t>
        </is>
      </c>
      <c r="AW229" t="inlineStr">
        <is>
          <t>991004185029702656</t>
        </is>
      </c>
      <c r="AX229" t="inlineStr">
        <is>
          <t>991004185029702656</t>
        </is>
      </c>
      <c r="AY229" t="inlineStr">
        <is>
          <t>2257553900002656</t>
        </is>
      </c>
      <c r="AZ229" t="inlineStr">
        <is>
          <t>BOOK</t>
        </is>
      </c>
      <c r="BB229" t="inlineStr">
        <is>
          <t>9781552977811</t>
        </is>
      </c>
      <c r="BC229" t="inlineStr">
        <is>
          <t>32285004848601</t>
        </is>
      </c>
      <c r="BD229" t="inlineStr">
        <is>
          <t>893442318</t>
        </is>
      </c>
    </row>
    <row r="230">
      <c r="A230" t="inlineStr">
        <is>
          <t>No</t>
        </is>
      </c>
      <c r="B230" t="inlineStr">
        <is>
          <t>QB500.268 .P48 1995</t>
        </is>
      </c>
      <c r="C230" t="inlineStr">
        <is>
          <t>0                      QB 0500268P  48          1995</t>
        </is>
      </c>
      <c r="D230" t="inlineStr">
        <is>
          <t>Hubble vision : astronomy with the Hubble Space Telescope / Carolyn Collins Petersen and John C. Brandt.</t>
        </is>
      </c>
      <c r="F230" t="inlineStr">
        <is>
          <t>No</t>
        </is>
      </c>
      <c r="G230" t="inlineStr">
        <is>
          <t>1</t>
        </is>
      </c>
      <c r="H230" t="inlineStr">
        <is>
          <t>No</t>
        </is>
      </c>
      <c r="I230" t="inlineStr">
        <is>
          <t>No</t>
        </is>
      </c>
      <c r="J230" t="inlineStr">
        <is>
          <t>0</t>
        </is>
      </c>
      <c r="K230" t="inlineStr">
        <is>
          <t>Petersen, Carolyn Collins.</t>
        </is>
      </c>
      <c r="L230" t="inlineStr">
        <is>
          <t>Cambridge ; New York : Cambridge University Press, 1995.</t>
        </is>
      </c>
      <c r="M230" t="inlineStr">
        <is>
          <t>1995</t>
        </is>
      </c>
      <c r="O230" t="inlineStr">
        <is>
          <t>eng</t>
        </is>
      </c>
      <c r="P230" t="inlineStr">
        <is>
          <t>enk</t>
        </is>
      </c>
      <c r="R230" t="inlineStr">
        <is>
          <t xml:space="preserve">QB </t>
        </is>
      </c>
      <c r="S230" t="n">
        <v>6</v>
      </c>
      <c r="T230" t="n">
        <v>6</v>
      </c>
      <c r="U230" t="inlineStr">
        <is>
          <t>2003-11-21</t>
        </is>
      </c>
      <c r="V230" t="inlineStr">
        <is>
          <t>2003-11-21</t>
        </is>
      </c>
      <c r="W230" t="inlineStr">
        <is>
          <t>1996-03-19</t>
        </is>
      </c>
      <c r="X230" t="inlineStr">
        <is>
          <t>1996-03-19</t>
        </is>
      </c>
      <c r="Y230" t="n">
        <v>1095</v>
      </c>
      <c r="Z230" t="n">
        <v>953</v>
      </c>
      <c r="AA230" t="n">
        <v>962</v>
      </c>
      <c r="AB230" t="n">
        <v>4</v>
      </c>
      <c r="AC230" t="n">
        <v>4</v>
      </c>
      <c r="AD230" t="n">
        <v>22</v>
      </c>
      <c r="AE230" t="n">
        <v>22</v>
      </c>
      <c r="AF230" t="n">
        <v>8</v>
      </c>
      <c r="AG230" t="n">
        <v>8</v>
      </c>
      <c r="AH230" t="n">
        <v>6</v>
      </c>
      <c r="AI230" t="n">
        <v>6</v>
      </c>
      <c r="AJ230" t="n">
        <v>11</v>
      </c>
      <c r="AK230" t="n">
        <v>11</v>
      </c>
      <c r="AL230" t="n">
        <v>2</v>
      </c>
      <c r="AM230" t="n">
        <v>2</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HYPERLINK("https://creighton-primo.hosted.exlibrisgroup.com/primo-explore/search?tab=default_tab&amp;search_scope=EVERYTHING&amp;vid=01CRU&amp;lang=en_US&amp;offset=0&amp;query=any,contains,991002520119702656","Catalog Record")</f>
        <v/>
      </c>
      <c r="AT230">
        <f>HYPERLINK("http://www.worldcat.org/oclc/32778994","WorldCat Record")</f>
        <v/>
      </c>
      <c r="AU230" t="inlineStr">
        <is>
          <t>836961154:eng</t>
        </is>
      </c>
      <c r="AV230" t="inlineStr">
        <is>
          <t>32778994</t>
        </is>
      </c>
      <c r="AW230" t="inlineStr">
        <is>
          <t>991002520119702656</t>
        </is>
      </c>
      <c r="AX230" t="inlineStr">
        <is>
          <t>991002520119702656</t>
        </is>
      </c>
      <c r="AY230" t="inlineStr">
        <is>
          <t>2260164180002656</t>
        </is>
      </c>
      <c r="AZ230" t="inlineStr">
        <is>
          <t>BOOK</t>
        </is>
      </c>
      <c r="BB230" t="inlineStr">
        <is>
          <t>9780521496438</t>
        </is>
      </c>
      <c r="BC230" t="inlineStr">
        <is>
          <t>32285002144805</t>
        </is>
      </c>
      <c r="BD230" t="inlineStr">
        <is>
          <t>893530107</t>
        </is>
      </c>
    </row>
    <row r="231">
      <c r="A231" t="inlineStr">
        <is>
          <t>No</t>
        </is>
      </c>
      <c r="B231" t="inlineStr">
        <is>
          <t>QB500.5 .S65 1986</t>
        </is>
      </c>
      <c r="C231" t="inlineStr">
        <is>
          <t>0                      QB 0500500S  65          1986</t>
        </is>
      </c>
      <c r="D231" t="inlineStr">
        <is>
          <t>The Solar system : observations and interpretations / Margaret G. Kivelson, editor.</t>
        </is>
      </c>
      <c r="F231" t="inlineStr">
        <is>
          <t>No</t>
        </is>
      </c>
      <c r="G231" t="inlineStr">
        <is>
          <t>1</t>
        </is>
      </c>
      <c r="H231" t="inlineStr">
        <is>
          <t>No</t>
        </is>
      </c>
      <c r="I231" t="inlineStr">
        <is>
          <t>No</t>
        </is>
      </c>
      <c r="J231" t="inlineStr">
        <is>
          <t>0</t>
        </is>
      </c>
      <c r="L231" t="inlineStr">
        <is>
          <t>Englewood Cliffs, N.J. : Prentice-Hall, c1986.</t>
        </is>
      </c>
      <c r="M231" t="inlineStr">
        <is>
          <t>1986</t>
        </is>
      </c>
      <c r="O231" t="inlineStr">
        <is>
          <t>eng</t>
        </is>
      </c>
      <c r="P231" t="inlineStr">
        <is>
          <t>nju</t>
        </is>
      </c>
      <c r="Q231" t="inlineStr">
        <is>
          <t>Rubey volume ; 4</t>
        </is>
      </c>
      <c r="R231" t="inlineStr">
        <is>
          <t xml:space="preserve">QB </t>
        </is>
      </c>
      <c r="S231" t="n">
        <v>2</v>
      </c>
      <c r="T231" t="n">
        <v>2</v>
      </c>
      <c r="U231" t="inlineStr">
        <is>
          <t>1993-11-18</t>
        </is>
      </c>
      <c r="V231" t="inlineStr">
        <is>
          <t>1993-11-18</t>
        </is>
      </c>
      <c r="W231" t="inlineStr">
        <is>
          <t>1992-11-19</t>
        </is>
      </c>
      <c r="X231" t="inlineStr">
        <is>
          <t>1992-11-19</t>
        </is>
      </c>
      <c r="Y231" t="n">
        <v>320</v>
      </c>
      <c r="Z231" t="n">
        <v>272</v>
      </c>
      <c r="AA231" t="n">
        <v>273</v>
      </c>
      <c r="AB231" t="n">
        <v>2</v>
      </c>
      <c r="AC231" t="n">
        <v>2</v>
      </c>
      <c r="AD231" t="n">
        <v>14</v>
      </c>
      <c r="AE231" t="n">
        <v>14</v>
      </c>
      <c r="AF231" t="n">
        <v>6</v>
      </c>
      <c r="AG231" t="n">
        <v>6</v>
      </c>
      <c r="AH231" t="n">
        <v>4</v>
      </c>
      <c r="AI231" t="n">
        <v>4</v>
      </c>
      <c r="AJ231" t="n">
        <v>7</v>
      </c>
      <c r="AK231" t="n">
        <v>7</v>
      </c>
      <c r="AL231" t="n">
        <v>1</v>
      </c>
      <c r="AM231" t="n">
        <v>1</v>
      </c>
      <c r="AN231" t="n">
        <v>0</v>
      </c>
      <c r="AO231" t="n">
        <v>0</v>
      </c>
      <c r="AP231" t="inlineStr">
        <is>
          <t>No</t>
        </is>
      </c>
      <c r="AQ231" t="inlineStr">
        <is>
          <t>Yes</t>
        </is>
      </c>
      <c r="AR231">
        <f>HYPERLINK("http://catalog.hathitrust.org/Record/000583508","HathiTrust Record")</f>
        <v/>
      </c>
      <c r="AS231">
        <f>HYPERLINK("https://creighton-primo.hosted.exlibrisgroup.com/primo-explore/search?tab=default_tab&amp;search_scope=EVERYTHING&amp;vid=01CRU&amp;lang=en_US&amp;offset=0&amp;query=any,contains,991000664299702656","Catalog Record")</f>
        <v/>
      </c>
      <c r="AT231">
        <f>HYPERLINK("http://www.worldcat.org/oclc/12262834","WorldCat Record")</f>
        <v/>
      </c>
      <c r="AU231" t="inlineStr">
        <is>
          <t>836721518:eng</t>
        </is>
      </c>
      <c r="AV231" t="inlineStr">
        <is>
          <t>12262834</t>
        </is>
      </c>
      <c r="AW231" t="inlineStr">
        <is>
          <t>991000664299702656</t>
        </is>
      </c>
      <c r="AX231" t="inlineStr">
        <is>
          <t>991000664299702656</t>
        </is>
      </c>
      <c r="AY231" t="inlineStr">
        <is>
          <t>2270903920002656</t>
        </is>
      </c>
      <c r="AZ231" t="inlineStr">
        <is>
          <t>BOOK</t>
        </is>
      </c>
      <c r="BB231" t="inlineStr">
        <is>
          <t>9780138219277</t>
        </is>
      </c>
      <c r="BC231" t="inlineStr">
        <is>
          <t>32285001433241</t>
        </is>
      </c>
      <c r="BD231" t="inlineStr">
        <is>
          <t>893608159</t>
        </is>
      </c>
    </row>
    <row r="232">
      <c r="A232" t="inlineStr">
        <is>
          <t>No</t>
        </is>
      </c>
      <c r="B232" t="inlineStr">
        <is>
          <t>QB501 .B48 1990</t>
        </is>
      </c>
      <c r="C232" t="inlineStr">
        <is>
          <t>0                      QB 0501000B  48          1990</t>
        </is>
      </c>
      <c r="D232" t="inlineStr">
        <is>
          <t>Physics of the earth and the solar system : dynamics and evolution, space navigation, space-time structure / by Bruno Bertotti and Paolo Farinella.</t>
        </is>
      </c>
      <c r="F232" t="inlineStr">
        <is>
          <t>No</t>
        </is>
      </c>
      <c r="G232" t="inlineStr">
        <is>
          <t>1</t>
        </is>
      </c>
      <c r="H232" t="inlineStr">
        <is>
          <t>No</t>
        </is>
      </c>
      <c r="I232" t="inlineStr">
        <is>
          <t>No</t>
        </is>
      </c>
      <c r="J232" t="inlineStr">
        <is>
          <t>0</t>
        </is>
      </c>
      <c r="K232" t="inlineStr">
        <is>
          <t>Bertotti, B., 1930-</t>
        </is>
      </c>
      <c r="L232" t="inlineStr">
        <is>
          <t>Dordrecht, The Netherlands ; Boston : Kluwer Academic Publishers, c1990.</t>
        </is>
      </c>
      <c r="M232" t="inlineStr">
        <is>
          <t>1990</t>
        </is>
      </c>
      <c r="O232" t="inlineStr">
        <is>
          <t>eng</t>
        </is>
      </c>
      <c r="P232" t="inlineStr">
        <is>
          <t xml:space="preserve">ne </t>
        </is>
      </c>
      <c r="Q232" t="inlineStr">
        <is>
          <t>Geophysics and astrophysics monographs ; v. 31</t>
        </is>
      </c>
      <c r="R232" t="inlineStr">
        <is>
          <t xml:space="preserve">QB </t>
        </is>
      </c>
      <c r="S232" t="n">
        <v>7</v>
      </c>
      <c r="T232" t="n">
        <v>7</v>
      </c>
      <c r="U232" t="inlineStr">
        <is>
          <t>2001-04-11</t>
        </is>
      </c>
      <c r="V232" t="inlineStr">
        <is>
          <t>2001-04-11</t>
        </is>
      </c>
      <c r="W232" t="inlineStr">
        <is>
          <t>1991-08-06</t>
        </is>
      </c>
      <c r="X232" t="inlineStr">
        <is>
          <t>1991-08-06</t>
        </is>
      </c>
      <c r="Y232" t="n">
        <v>261</v>
      </c>
      <c r="Z232" t="n">
        <v>182</v>
      </c>
      <c r="AA232" t="n">
        <v>244</v>
      </c>
      <c r="AB232" t="n">
        <v>2</v>
      </c>
      <c r="AC232" t="n">
        <v>2</v>
      </c>
      <c r="AD232" t="n">
        <v>6</v>
      </c>
      <c r="AE232" t="n">
        <v>8</v>
      </c>
      <c r="AF232" t="n">
        <v>1</v>
      </c>
      <c r="AG232" t="n">
        <v>2</v>
      </c>
      <c r="AH232" t="n">
        <v>2</v>
      </c>
      <c r="AI232" t="n">
        <v>3</v>
      </c>
      <c r="AJ232" t="n">
        <v>4</v>
      </c>
      <c r="AK232" t="n">
        <v>5</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HYPERLINK("https://creighton-primo.hosted.exlibrisgroup.com/primo-explore/search?tab=default_tab&amp;search_scope=EVERYTHING&amp;vid=01CRU&amp;lang=en_US&amp;offset=0&amp;query=any,contains,991001581229702656","Catalog Record")</f>
        <v/>
      </c>
      <c r="AT232">
        <f>HYPERLINK("http://www.worldcat.org/oclc/20490513","WorldCat Record")</f>
        <v/>
      </c>
      <c r="AU232" t="inlineStr">
        <is>
          <t>840510076:eng</t>
        </is>
      </c>
      <c r="AV232" t="inlineStr">
        <is>
          <t>20490513</t>
        </is>
      </c>
      <c r="AW232" t="inlineStr">
        <is>
          <t>991001581229702656</t>
        </is>
      </c>
      <c r="AX232" t="inlineStr">
        <is>
          <t>991001581229702656</t>
        </is>
      </c>
      <c r="AY232" t="inlineStr">
        <is>
          <t>2257315610002656</t>
        </is>
      </c>
      <c r="AZ232" t="inlineStr">
        <is>
          <t>BOOK</t>
        </is>
      </c>
      <c r="BB232" t="inlineStr">
        <is>
          <t>9780792305354</t>
        </is>
      </c>
      <c r="BC232" t="inlineStr">
        <is>
          <t>32285000664671</t>
        </is>
      </c>
      <c r="BD232" t="inlineStr">
        <is>
          <t>893791516</t>
        </is>
      </c>
    </row>
    <row r="233">
      <c r="A233" t="inlineStr">
        <is>
          <t>No</t>
        </is>
      </c>
      <c r="B233" t="inlineStr">
        <is>
          <t>QB501 .B6</t>
        </is>
      </c>
      <c r="C233" t="inlineStr">
        <is>
          <t>0                      QB 0501000B  6</t>
        </is>
      </c>
      <c r="D233" t="inlineStr">
        <is>
          <t>Basic physics of the solar system / by V. M. Blanco and S. W. McCuskey.</t>
        </is>
      </c>
      <c r="F233" t="inlineStr">
        <is>
          <t>No</t>
        </is>
      </c>
      <c r="G233" t="inlineStr">
        <is>
          <t>1</t>
        </is>
      </c>
      <c r="H233" t="inlineStr">
        <is>
          <t>No</t>
        </is>
      </c>
      <c r="I233" t="inlineStr">
        <is>
          <t>No</t>
        </is>
      </c>
      <c r="J233" t="inlineStr">
        <is>
          <t>0</t>
        </is>
      </c>
      <c r="K233" t="inlineStr">
        <is>
          <t>Blanco, V. M.</t>
        </is>
      </c>
      <c r="L233" t="inlineStr">
        <is>
          <t>Reading, Mass. : Addison-Wesley Pub. Co., [1961]</t>
        </is>
      </c>
      <c r="M233" t="inlineStr">
        <is>
          <t>1961</t>
        </is>
      </c>
      <c r="O233" t="inlineStr">
        <is>
          <t>eng</t>
        </is>
      </c>
      <c r="P233" t="inlineStr">
        <is>
          <t xml:space="preserve">xx </t>
        </is>
      </c>
      <c r="Q233" t="inlineStr">
        <is>
          <t>Addison-Wesley series in the engineering sciences. Space science and technology</t>
        </is>
      </c>
      <c r="R233" t="inlineStr">
        <is>
          <t xml:space="preserve">QB </t>
        </is>
      </c>
      <c r="S233" t="n">
        <v>3</v>
      </c>
      <c r="T233" t="n">
        <v>3</v>
      </c>
      <c r="U233" t="inlineStr">
        <is>
          <t>1996-11-24</t>
        </is>
      </c>
      <c r="V233" t="inlineStr">
        <is>
          <t>1996-11-24</t>
        </is>
      </c>
      <c r="W233" t="inlineStr">
        <is>
          <t>1993-04-27</t>
        </is>
      </c>
      <c r="X233" t="inlineStr">
        <is>
          <t>1993-04-27</t>
        </is>
      </c>
      <c r="Y233" t="n">
        <v>521</v>
      </c>
      <c r="Z233" t="n">
        <v>420</v>
      </c>
      <c r="AA233" t="n">
        <v>426</v>
      </c>
      <c r="AB233" t="n">
        <v>5</v>
      </c>
      <c r="AC233" t="n">
        <v>5</v>
      </c>
      <c r="AD233" t="n">
        <v>16</v>
      </c>
      <c r="AE233" t="n">
        <v>16</v>
      </c>
      <c r="AF233" t="n">
        <v>9</v>
      </c>
      <c r="AG233" t="n">
        <v>9</v>
      </c>
      <c r="AH233" t="n">
        <v>2</v>
      </c>
      <c r="AI233" t="n">
        <v>2</v>
      </c>
      <c r="AJ233" t="n">
        <v>7</v>
      </c>
      <c r="AK233" t="n">
        <v>7</v>
      </c>
      <c r="AL233" t="n">
        <v>4</v>
      </c>
      <c r="AM233" t="n">
        <v>4</v>
      </c>
      <c r="AN233" t="n">
        <v>0</v>
      </c>
      <c r="AO233" t="n">
        <v>0</v>
      </c>
      <c r="AP233" t="inlineStr">
        <is>
          <t>No</t>
        </is>
      </c>
      <c r="AQ233" t="inlineStr">
        <is>
          <t>Yes</t>
        </is>
      </c>
      <c r="AR233">
        <f>HYPERLINK("http://catalog.hathitrust.org/Record/001476724","HathiTrust Record")</f>
        <v/>
      </c>
      <c r="AS233">
        <f>HYPERLINK("https://creighton-primo.hosted.exlibrisgroup.com/primo-explore/search?tab=default_tab&amp;search_scope=EVERYTHING&amp;vid=01CRU&amp;lang=en_US&amp;offset=0&amp;query=any,contains,991002912719702656","Catalog Record")</f>
        <v/>
      </c>
      <c r="AT233">
        <f>HYPERLINK("http://www.worldcat.org/oclc/522737","WorldCat Record")</f>
        <v/>
      </c>
      <c r="AU233" t="inlineStr">
        <is>
          <t>1522073:eng</t>
        </is>
      </c>
      <c r="AV233" t="inlineStr">
        <is>
          <t>522737</t>
        </is>
      </c>
      <c r="AW233" t="inlineStr">
        <is>
          <t>991002912719702656</t>
        </is>
      </c>
      <c r="AX233" t="inlineStr">
        <is>
          <t>991002912719702656</t>
        </is>
      </c>
      <c r="AY233" t="inlineStr">
        <is>
          <t>2260035350002656</t>
        </is>
      </c>
      <c r="AZ233" t="inlineStr">
        <is>
          <t>BOOK</t>
        </is>
      </c>
      <c r="BC233" t="inlineStr">
        <is>
          <t>32285001627503</t>
        </is>
      </c>
      <c r="BD233" t="inlineStr">
        <is>
          <t>893415797</t>
        </is>
      </c>
    </row>
    <row r="234">
      <c r="A234" t="inlineStr">
        <is>
          <t>No</t>
        </is>
      </c>
      <c r="B234" t="inlineStr">
        <is>
          <t>QB501 .B74 1996</t>
        </is>
      </c>
      <c r="C234" t="inlineStr">
        <is>
          <t>0                      QB 0501000B  74          1996</t>
        </is>
      </c>
      <c r="D234" t="inlineStr">
        <is>
          <t>Exploring the solar system / Nicholas Booth.</t>
        </is>
      </c>
      <c r="F234" t="inlineStr">
        <is>
          <t>No</t>
        </is>
      </c>
      <c r="G234" t="inlineStr">
        <is>
          <t>1</t>
        </is>
      </c>
      <c r="H234" t="inlineStr">
        <is>
          <t>No</t>
        </is>
      </c>
      <c r="I234" t="inlineStr">
        <is>
          <t>No</t>
        </is>
      </c>
      <c r="J234" t="inlineStr">
        <is>
          <t>0</t>
        </is>
      </c>
      <c r="K234" t="inlineStr">
        <is>
          <t>Booth, Nicholas.</t>
        </is>
      </c>
      <c r="L234" t="inlineStr">
        <is>
          <t>Cambridge ; New York : Cambridge University Press, 1996.</t>
        </is>
      </c>
      <c r="M234" t="inlineStr">
        <is>
          <t>1996</t>
        </is>
      </c>
      <c r="O234" t="inlineStr">
        <is>
          <t>eng</t>
        </is>
      </c>
      <c r="P234" t="inlineStr">
        <is>
          <t>enk</t>
        </is>
      </c>
      <c r="R234" t="inlineStr">
        <is>
          <t xml:space="preserve">QB </t>
        </is>
      </c>
      <c r="S234" t="n">
        <v>4</v>
      </c>
      <c r="T234" t="n">
        <v>4</v>
      </c>
      <c r="U234" t="inlineStr">
        <is>
          <t>2001-01-24</t>
        </is>
      </c>
      <c r="V234" t="inlineStr">
        <is>
          <t>2001-01-24</t>
        </is>
      </c>
      <c r="W234" t="inlineStr">
        <is>
          <t>1996-12-30</t>
        </is>
      </c>
      <c r="X234" t="inlineStr">
        <is>
          <t>1996-12-30</t>
        </is>
      </c>
      <c r="Y234" t="n">
        <v>832</v>
      </c>
      <c r="Z234" t="n">
        <v>802</v>
      </c>
      <c r="AA234" t="n">
        <v>821</v>
      </c>
      <c r="AB234" t="n">
        <v>4</v>
      </c>
      <c r="AC234" t="n">
        <v>4</v>
      </c>
      <c r="AD234" t="n">
        <v>14</v>
      </c>
      <c r="AE234" t="n">
        <v>14</v>
      </c>
      <c r="AF234" t="n">
        <v>6</v>
      </c>
      <c r="AG234" t="n">
        <v>6</v>
      </c>
      <c r="AH234" t="n">
        <v>2</v>
      </c>
      <c r="AI234" t="n">
        <v>2</v>
      </c>
      <c r="AJ234" t="n">
        <v>7</v>
      </c>
      <c r="AK234" t="n">
        <v>7</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HYPERLINK("https://creighton-primo.hosted.exlibrisgroup.com/primo-explore/search?tab=default_tab&amp;search_scope=EVERYTHING&amp;vid=01CRU&amp;lang=en_US&amp;offset=0&amp;query=any,contains,991002633849702656","Catalog Record")</f>
        <v/>
      </c>
      <c r="AT234">
        <f>HYPERLINK("http://www.worldcat.org/oclc/34515346","WorldCat Record")</f>
        <v/>
      </c>
      <c r="AU234" t="inlineStr">
        <is>
          <t>3901332908:eng</t>
        </is>
      </c>
      <c r="AV234" t="inlineStr">
        <is>
          <t>34515346</t>
        </is>
      </c>
      <c r="AW234" t="inlineStr">
        <is>
          <t>991002633849702656</t>
        </is>
      </c>
      <c r="AX234" t="inlineStr">
        <is>
          <t>991002633849702656</t>
        </is>
      </c>
      <c r="AY234" t="inlineStr">
        <is>
          <t>2272047930002656</t>
        </is>
      </c>
      <c r="AZ234" t="inlineStr">
        <is>
          <t>BOOK</t>
        </is>
      </c>
      <c r="BB234" t="inlineStr">
        <is>
          <t>9780521580052</t>
        </is>
      </c>
      <c r="BC234" t="inlineStr">
        <is>
          <t>32285002403847</t>
        </is>
      </c>
      <c r="BD234" t="inlineStr">
        <is>
          <t>893603809</t>
        </is>
      </c>
    </row>
    <row r="235">
      <c r="A235" t="inlineStr">
        <is>
          <t>No</t>
        </is>
      </c>
      <c r="B235" t="inlineStr">
        <is>
          <t>QB501 .J65 1999</t>
        </is>
      </c>
      <c r="C235" t="inlineStr">
        <is>
          <t>0                      QB 0501000J  65          1999</t>
        </is>
      </c>
      <c r="D235" t="inlineStr">
        <is>
          <t>Discovering the solar system / Barrie W. Jones.</t>
        </is>
      </c>
      <c r="F235" t="inlineStr">
        <is>
          <t>No</t>
        </is>
      </c>
      <c r="G235" t="inlineStr">
        <is>
          <t>1</t>
        </is>
      </c>
      <c r="H235" t="inlineStr">
        <is>
          <t>No</t>
        </is>
      </c>
      <c r="I235" t="inlineStr">
        <is>
          <t>No</t>
        </is>
      </c>
      <c r="J235" t="inlineStr">
        <is>
          <t>0</t>
        </is>
      </c>
      <c r="K235" t="inlineStr">
        <is>
          <t>Jones, Barrie William.</t>
        </is>
      </c>
      <c r="L235" t="inlineStr">
        <is>
          <t>Chichester ; New York : Wiley, c1999.</t>
        </is>
      </c>
      <c r="M235" t="inlineStr">
        <is>
          <t>1999</t>
        </is>
      </c>
      <c r="O235" t="inlineStr">
        <is>
          <t>eng</t>
        </is>
      </c>
      <c r="P235" t="inlineStr">
        <is>
          <t>enk</t>
        </is>
      </c>
      <c r="R235" t="inlineStr">
        <is>
          <t xml:space="preserve">QB </t>
        </is>
      </c>
      <c r="S235" t="n">
        <v>5</v>
      </c>
      <c r="T235" t="n">
        <v>5</v>
      </c>
      <c r="U235" t="inlineStr">
        <is>
          <t>2007-11-11</t>
        </is>
      </c>
      <c r="V235" t="inlineStr">
        <is>
          <t>2007-11-11</t>
        </is>
      </c>
      <c r="W235" t="inlineStr">
        <is>
          <t>2000-03-15</t>
        </is>
      </c>
      <c r="X235" t="inlineStr">
        <is>
          <t>2000-03-15</t>
        </is>
      </c>
      <c r="Y235" t="n">
        <v>437</v>
      </c>
      <c r="Z235" t="n">
        <v>357</v>
      </c>
      <c r="AA235" t="n">
        <v>497</v>
      </c>
      <c r="AB235" t="n">
        <v>4</v>
      </c>
      <c r="AC235" t="n">
        <v>4</v>
      </c>
      <c r="AD235" t="n">
        <v>16</v>
      </c>
      <c r="AE235" t="n">
        <v>20</v>
      </c>
      <c r="AF235" t="n">
        <v>7</v>
      </c>
      <c r="AG235" t="n">
        <v>10</v>
      </c>
      <c r="AH235" t="n">
        <v>1</v>
      </c>
      <c r="AI235" t="n">
        <v>2</v>
      </c>
      <c r="AJ235" t="n">
        <v>6</v>
      </c>
      <c r="AK235" t="n">
        <v>7</v>
      </c>
      <c r="AL235" t="n">
        <v>3</v>
      </c>
      <c r="AM235" t="n">
        <v>3</v>
      </c>
      <c r="AN235" t="n">
        <v>0</v>
      </c>
      <c r="AO235" t="n">
        <v>0</v>
      </c>
      <c r="AP235" t="inlineStr">
        <is>
          <t>No</t>
        </is>
      </c>
      <c r="AQ235" t="inlineStr">
        <is>
          <t>Yes</t>
        </is>
      </c>
      <c r="AR235">
        <f>HYPERLINK("http://catalog.hathitrust.org/Record/004580132","HathiTrust Record")</f>
        <v/>
      </c>
      <c r="AS235">
        <f>HYPERLINK("https://creighton-primo.hosted.exlibrisgroup.com/primo-explore/search?tab=default_tab&amp;search_scope=EVERYTHING&amp;vid=01CRU&amp;lang=en_US&amp;offset=0&amp;query=any,contains,991002966259702656","Catalog Record")</f>
        <v/>
      </c>
      <c r="AT235">
        <f>HYPERLINK("http://www.worldcat.org/oclc/39695667","WorldCat Record")</f>
        <v/>
      </c>
      <c r="AU235" t="inlineStr">
        <is>
          <t>35238274:eng</t>
        </is>
      </c>
      <c r="AV235" t="inlineStr">
        <is>
          <t>39695667</t>
        </is>
      </c>
      <c r="AW235" t="inlineStr">
        <is>
          <t>991002966259702656</t>
        </is>
      </c>
      <c r="AX235" t="inlineStr">
        <is>
          <t>991002966259702656</t>
        </is>
      </c>
      <c r="AY235" t="inlineStr">
        <is>
          <t>2264635480002656</t>
        </is>
      </c>
      <c r="AZ235" t="inlineStr">
        <is>
          <t>BOOK</t>
        </is>
      </c>
      <c r="BB235" t="inlineStr">
        <is>
          <t>9780471982432</t>
        </is>
      </c>
      <c r="BC235" t="inlineStr">
        <is>
          <t>32285003669859</t>
        </is>
      </c>
      <c r="BD235" t="inlineStr">
        <is>
          <t>893698516</t>
        </is>
      </c>
    </row>
    <row r="236">
      <c r="A236" t="inlineStr">
        <is>
          <t>No</t>
        </is>
      </c>
      <c r="B236" t="inlineStr">
        <is>
          <t>QB501 .K56</t>
        </is>
      </c>
      <c r="C236" t="inlineStr">
        <is>
          <t>0                      QB 0501000K  56</t>
        </is>
      </c>
      <c r="D236" t="inlineStr">
        <is>
          <t>Space geology : an introduction / Elbert A. King.</t>
        </is>
      </c>
      <c r="F236" t="inlineStr">
        <is>
          <t>No</t>
        </is>
      </c>
      <c r="G236" t="inlineStr">
        <is>
          <t>1</t>
        </is>
      </c>
      <c r="H236" t="inlineStr">
        <is>
          <t>No</t>
        </is>
      </c>
      <c r="I236" t="inlineStr">
        <is>
          <t>No</t>
        </is>
      </c>
      <c r="J236" t="inlineStr">
        <is>
          <t>0</t>
        </is>
      </c>
      <c r="K236" t="inlineStr">
        <is>
          <t>King, Elbert A.</t>
        </is>
      </c>
      <c r="L236" t="inlineStr">
        <is>
          <t>New York : Wiley, c1976.</t>
        </is>
      </c>
      <c r="M236" t="inlineStr">
        <is>
          <t>1976</t>
        </is>
      </c>
      <c r="O236" t="inlineStr">
        <is>
          <t>eng</t>
        </is>
      </c>
      <c r="P236" t="inlineStr">
        <is>
          <t>nyu</t>
        </is>
      </c>
      <c r="R236" t="inlineStr">
        <is>
          <t xml:space="preserve">QB </t>
        </is>
      </c>
      <c r="S236" t="n">
        <v>1</v>
      </c>
      <c r="T236" t="n">
        <v>1</v>
      </c>
      <c r="U236" t="inlineStr">
        <is>
          <t>2007-02-08</t>
        </is>
      </c>
      <c r="V236" t="inlineStr">
        <is>
          <t>2007-02-08</t>
        </is>
      </c>
      <c r="W236" t="inlineStr">
        <is>
          <t>1997-05-02</t>
        </is>
      </c>
      <c r="X236" t="inlineStr">
        <is>
          <t>1997-05-02</t>
        </is>
      </c>
      <c r="Y236" t="n">
        <v>581</v>
      </c>
      <c r="Z236" t="n">
        <v>445</v>
      </c>
      <c r="AA236" t="n">
        <v>451</v>
      </c>
      <c r="AB236" t="n">
        <v>3</v>
      </c>
      <c r="AC236" t="n">
        <v>3</v>
      </c>
      <c r="AD236" t="n">
        <v>12</v>
      </c>
      <c r="AE236" t="n">
        <v>12</v>
      </c>
      <c r="AF236" t="n">
        <v>5</v>
      </c>
      <c r="AG236" t="n">
        <v>5</v>
      </c>
      <c r="AH236" t="n">
        <v>3</v>
      </c>
      <c r="AI236" t="n">
        <v>3</v>
      </c>
      <c r="AJ236" t="n">
        <v>5</v>
      </c>
      <c r="AK236" t="n">
        <v>5</v>
      </c>
      <c r="AL236" t="n">
        <v>2</v>
      </c>
      <c r="AM236" t="n">
        <v>2</v>
      </c>
      <c r="AN236" t="n">
        <v>0</v>
      </c>
      <c r="AO236" t="n">
        <v>0</v>
      </c>
      <c r="AP236" t="inlineStr">
        <is>
          <t>No</t>
        </is>
      </c>
      <c r="AQ236" t="inlineStr">
        <is>
          <t>Yes</t>
        </is>
      </c>
      <c r="AR236">
        <f>HYPERLINK("http://catalog.hathitrust.org/Record/000694233","HathiTrust Record")</f>
        <v/>
      </c>
      <c r="AS236">
        <f>HYPERLINK("https://creighton-primo.hosted.exlibrisgroup.com/primo-explore/search?tab=default_tab&amp;search_scope=EVERYTHING&amp;vid=01CRU&amp;lang=en_US&amp;offset=0&amp;query=any,contains,991003970779702656","Catalog Record")</f>
        <v/>
      </c>
      <c r="AT236">
        <f>HYPERLINK("http://www.worldcat.org/oclc/1992143","WorldCat Record")</f>
        <v/>
      </c>
      <c r="AU236" t="inlineStr">
        <is>
          <t>793334049:eng</t>
        </is>
      </c>
      <c r="AV236" t="inlineStr">
        <is>
          <t>1992143</t>
        </is>
      </c>
      <c r="AW236" t="inlineStr">
        <is>
          <t>991003970779702656</t>
        </is>
      </c>
      <c r="AX236" t="inlineStr">
        <is>
          <t>991003970779702656</t>
        </is>
      </c>
      <c r="AY236" t="inlineStr">
        <is>
          <t>2262205810002656</t>
        </is>
      </c>
      <c r="AZ236" t="inlineStr">
        <is>
          <t>BOOK</t>
        </is>
      </c>
      <c r="BB236" t="inlineStr">
        <is>
          <t>9780471478102</t>
        </is>
      </c>
      <c r="BC236" t="inlineStr">
        <is>
          <t>32285002641610</t>
        </is>
      </c>
      <c r="BD236" t="inlineStr">
        <is>
          <t>893417060</t>
        </is>
      </c>
    </row>
    <row r="237">
      <c r="A237" t="inlineStr">
        <is>
          <t>No</t>
        </is>
      </c>
      <c r="B237" t="inlineStr">
        <is>
          <t>QB501 .K69</t>
        </is>
      </c>
      <c r="C237" t="inlineStr">
        <is>
          <t>0                      QB 0501000K  69</t>
        </is>
      </c>
      <c r="D237" t="inlineStr">
        <is>
          <t>The solar system.</t>
        </is>
      </c>
      <c r="F237" t="inlineStr">
        <is>
          <t>No</t>
        </is>
      </c>
      <c r="G237" t="inlineStr">
        <is>
          <t>1</t>
        </is>
      </c>
      <c r="H237" t="inlineStr">
        <is>
          <t>No</t>
        </is>
      </c>
      <c r="I237" t="inlineStr">
        <is>
          <t>No</t>
        </is>
      </c>
      <c r="J237" t="inlineStr">
        <is>
          <t>0</t>
        </is>
      </c>
      <c r="K237" t="inlineStr">
        <is>
          <t>Kopal, Zdeněk, 1914-1993.</t>
        </is>
      </c>
      <c r="L237" t="inlineStr">
        <is>
          <t>London ; New York : Oxford University Press, 1972.</t>
        </is>
      </c>
      <c r="M237" t="inlineStr">
        <is>
          <t>1972</t>
        </is>
      </c>
      <c r="O237" t="inlineStr">
        <is>
          <t>eng</t>
        </is>
      </c>
      <c r="P237" t="inlineStr">
        <is>
          <t>enk</t>
        </is>
      </c>
      <c r="R237" t="inlineStr">
        <is>
          <t xml:space="preserve">QB </t>
        </is>
      </c>
      <c r="S237" t="n">
        <v>1</v>
      </c>
      <c r="T237" t="n">
        <v>1</v>
      </c>
      <c r="U237" t="inlineStr">
        <is>
          <t>1996-10-04</t>
        </is>
      </c>
      <c r="V237" t="inlineStr">
        <is>
          <t>1996-10-04</t>
        </is>
      </c>
      <c r="W237" t="inlineStr">
        <is>
          <t>1992-12-15</t>
        </is>
      </c>
      <c r="X237" t="inlineStr">
        <is>
          <t>1992-12-15</t>
        </is>
      </c>
      <c r="Y237" t="n">
        <v>510</v>
      </c>
      <c r="Z237" t="n">
        <v>376</v>
      </c>
      <c r="AA237" t="n">
        <v>511</v>
      </c>
      <c r="AB237" t="n">
        <v>6</v>
      </c>
      <c r="AC237" t="n">
        <v>7</v>
      </c>
      <c r="AD237" t="n">
        <v>14</v>
      </c>
      <c r="AE237" t="n">
        <v>17</v>
      </c>
      <c r="AF237" t="n">
        <v>2</v>
      </c>
      <c r="AG237" t="n">
        <v>3</v>
      </c>
      <c r="AH237" t="n">
        <v>1</v>
      </c>
      <c r="AI237" t="n">
        <v>2</v>
      </c>
      <c r="AJ237" t="n">
        <v>8</v>
      </c>
      <c r="AK237" t="n">
        <v>9</v>
      </c>
      <c r="AL237" t="n">
        <v>5</v>
      </c>
      <c r="AM237" t="n">
        <v>6</v>
      </c>
      <c r="AN237" t="n">
        <v>0</v>
      </c>
      <c r="AO237" t="n">
        <v>0</v>
      </c>
      <c r="AP237" t="inlineStr">
        <is>
          <t>Yes</t>
        </is>
      </c>
      <c r="AQ237" t="inlineStr">
        <is>
          <t>No</t>
        </is>
      </c>
      <c r="AR237">
        <f>HYPERLINK("http://catalog.hathitrust.org/Record/102073826","HathiTrust Record")</f>
        <v/>
      </c>
      <c r="AS237">
        <f>HYPERLINK("https://creighton-primo.hosted.exlibrisgroup.com/primo-explore/search?tab=default_tab&amp;search_scope=EVERYTHING&amp;vid=01CRU&amp;lang=en_US&amp;offset=0&amp;query=any,contains,991003201909702656","Catalog Record")</f>
        <v/>
      </c>
      <c r="AT237">
        <f>HYPERLINK("http://www.worldcat.org/oclc/726854","WorldCat Record")</f>
        <v/>
      </c>
      <c r="AU237" t="inlineStr">
        <is>
          <t>3769054579:eng</t>
        </is>
      </c>
      <c r="AV237" t="inlineStr">
        <is>
          <t>726854</t>
        </is>
      </c>
      <c r="AW237" t="inlineStr">
        <is>
          <t>991003201909702656</t>
        </is>
      </c>
      <c r="AX237" t="inlineStr">
        <is>
          <t>991003201909702656</t>
        </is>
      </c>
      <c r="AY237" t="inlineStr">
        <is>
          <t>2264011470002656</t>
        </is>
      </c>
      <c r="AZ237" t="inlineStr">
        <is>
          <t>BOOK</t>
        </is>
      </c>
      <c r="BB237" t="inlineStr">
        <is>
          <t>9780198850618</t>
        </is>
      </c>
      <c r="BC237" t="inlineStr">
        <is>
          <t>32285001441376</t>
        </is>
      </c>
      <c r="BD237" t="inlineStr">
        <is>
          <t>893428531</t>
        </is>
      </c>
    </row>
    <row r="238">
      <c r="A238" t="inlineStr">
        <is>
          <t>No</t>
        </is>
      </c>
      <c r="B238" t="inlineStr">
        <is>
          <t>QB501 .L26 1991</t>
        </is>
      </c>
      <c r="C238" t="inlineStr">
        <is>
          <t>0                      QB 0501000L  26          1991</t>
        </is>
      </c>
      <c r="D238" t="inlineStr">
        <is>
          <t>Wanderers in space : exploration and discovery in the solar system / Kenneth R. Lang, Charles A. Whitney.</t>
        </is>
      </c>
      <c r="F238" t="inlineStr">
        <is>
          <t>No</t>
        </is>
      </c>
      <c r="G238" t="inlineStr">
        <is>
          <t>1</t>
        </is>
      </c>
      <c r="H238" t="inlineStr">
        <is>
          <t>No</t>
        </is>
      </c>
      <c r="I238" t="inlineStr">
        <is>
          <t>No</t>
        </is>
      </c>
      <c r="J238" t="inlineStr">
        <is>
          <t>0</t>
        </is>
      </c>
      <c r="K238" t="inlineStr">
        <is>
          <t>Lang, Kenneth R.</t>
        </is>
      </c>
      <c r="L238" t="inlineStr">
        <is>
          <t>Cambridge ; New York : Cambridge University Press, 1991.</t>
        </is>
      </c>
      <c r="M238" t="inlineStr">
        <is>
          <t>1991</t>
        </is>
      </c>
      <c r="O238" t="inlineStr">
        <is>
          <t>eng</t>
        </is>
      </c>
      <c r="P238" t="inlineStr">
        <is>
          <t>enk</t>
        </is>
      </c>
      <c r="R238" t="inlineStr">
        <is>
          <t xml:space="preserve">QB </t>
        </is>
      </c>
      <c r="S238" t="n">
        <v>3</v>
      </c>
      <c r="T238" t="n">
        <v>3</v>
      </c>
      <c r="U238" t="inlineStr">
        <is>
          <t>1994-10-31</t>
        </is>
      </c>
      <c r="V238" t="inlineStr">
        <is>
          <t>1994-10-31</t>
        </is>
      </c>
      <c r="W238" t="inlineStr">
        <is>
          <t>1992-12-01</t>
        </is>
      </c>
      <c r="X238" t="inlineStr">
        <is>
          <t>1992-12-01</t>
        </is>
      </c>
      <c r="Y238" t="n">
        <v>351</v>
      </c>
      <c r="Z238" t="n">
        <v>249</v>
      </c>
      <c r="AA238" t="n">
        <v>256</v>
      </c>
      <c r="AB238" t="n">
        <v>4</v>
      </c>
      <c r="AC238" t="n">
        <v>4</v>
      </c>
      <c r="AD238" t="n">
        <v>10</v>
      </c>
      <c r="AE238" t="n">
        <v>10</v>
      </c>
      <c r="AF238" t="n">
        <v>4</v>
      </c>
      <c r="AG238" t="n">
        <v>4</v>
      </c>
      <c r="AH238" t="n">
        <v>2</v>
      </c>
      <c r="AI238" t="n">
        <v>2</v>
      </c>
      <c r="AJ238" t="n">
        <v>4</v>
      </c>
      <c r="AK238" t="n">
        <v>4</v>
      </c>
      <c r="AL238" t="n">
        <v>3</v>
      </c>
      <c r="AM238" t="n">
        <v>3</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HYPERLINK("https://creighton-primo.hosted.exlibrisgroup.com/primo-explore/search?tab=default_tab&amp;search_scope=EVERYTHING&amp;vid=01CRU&amp;lang=en_US&amp;offset=0&amp;query=any,contains,991001653109702656","Catalog Record")</f>
        <v/>
      </c>
      <c r="AT238">
        <f>HYPERLINK("http://www.worldcat.org/oclc/21116717","WorldCat Record")</f>
        <v/>
      </c>
      <c r="AU238" t="inlineStr">
        <is>
          <t>3901263209:eng</t>
        </is>
      </c>
      <c r="AV238" t="inlineStr">
        <is>
          <t>21116717</t>
        </is>
      </c>
      <c r="AW238" t="inlineStr">
        <is>
          <t>991001653109702656</t>
        </is>
      </c>
      <c r="AX238" t="inlineStr">
        <is>
          <t>991001653109702656</t>
        </is>
      </c>
      <c r="AY238" t="inlineStr">
        <is>
          <t>2264241660002656</t>
        </is>
      </c>
      <c r="AZ238" t="inlineStr">
        <is>
          <t>BOOK</t>
        </is>
      </c>
      <c r="BB238" t="inlineStr">
        <is>
          <t>9780521422529</t>
        </is>
      </c>
      <c r="BC238" t="inlineStr">
        <is>
          <t>32285001400885</t>
        </is>
      </c>
      <c r="BD238" t="inlineStr">
        <is>
          <t>893509789</t>
        </is>
      </c>
    </row>
    <row r="239">
      <c r="A239" t="inlineStr">
        <is>
          <t>No</t>
        </is>
      </c>
      <c r="B239" t="inlineStr">
        <is>
          <t>QB501 .N18 1977</t>
        </is>
      </c>
      <c r="C239" t="inlineStr">
        <is>
          <t>0                      QB 0501000N  18          1977</t>
        </is>
      </c>
      <c r="D239" t="inlineStr">
        <is>
          <t>The origin of the solar system / edited by S. F. Dermott.</t>
        </is>
      </c>
      <c r="F239" t="inlineStr">
        <is>
          <t>No</t>
        </is>
      </c>
      <c r="G239" t="inlineStr">
        <is>
          <t>1</t>
        </is>
      </c>
      <c r="H239" t="inlineStr">
        <is>
          <t>No</t>
        </is>
      </c>
      <c r="I239" t="inlineStr">
        <is>
          <t>No</t>
        </is>
      </c>
      <c r="J239" t="inlineStr">
        <is>
          <t>0</t>
        </is>
      </c>
      <c r="K239" t="inlineStr">
        <is>
          <t>NATO Advanced Study Institute on the Origin of the Solar System (1977 : University of Newcastle upon Tyne)</t>
        </is>
      </c>
      <c r="L239" t="inlineStr">
        <is>
          <t>Chichester ; New York : Wiley, c1978.</t>
        </is>
      </c>
      <c r="M239" t="inlineStr">
        <is>
          <t>1978</t>
        </is>
      </c>
      <c r="O239" t="inlineStr">
        <is>
          <t>eng</t>
        </is>
      </c>
      <c r="P239" t="inlineStr">
        <is>
          <t>enk</t>
        </is>
      </c>
      <c r="R239" t="inlineStr">
        <is>
          <t xml:space="preserve">QB </t>
        </is>
      </c>
      <c r="S239" t="n">
        <v>2</v>
      </c>
      <c r="T239" t="n">
        <v>2</v>
      </c>
      <c r="U239" t="inlineStr">
        <is>
          <t>2007-11-11</t>
        </is>
      </c>
      <c r="V239" t="inlineStr">
        <is>
          <t>2007-11-11</t>
        </is>
      </c>
      <c r="W239" t="inlineStr">
        <is>
          <t>1992-11-19</t>
        </is>
      </c>
      <c r="X239" t="inlineStr">
        <is>
          <t>1992-11-19</t>
        </is>
      </c>
      <c r="Y239" t="n">
        <v>423</v>
      </c>
      <c r="Z239" t="n">
        <v>302</v>
      </c>
      <c r="AA239" t="n">
        <v>315</v>
      </c>
      <c r="AB239" t="n">
        <v>2</v>
      </c>
      <c r="AC239" t="n">
        <v>3</v>
      </c>
      <c r="AD239" t="n">
        <v>7</v>
      </c>
      <c r="AE239" t="n">
        <v>8</v>
      </c>
      <c r="AF239" t="n">
        <v>1</v>
      </c>
      <c r="AG239" t="n">
        <v>1</v>
      </c>
      <c r="AH239" t="n">
        <v>2</v>
      </c>
      <c r="AI239" t="n">
        <v>3</v>
      </c>
      <c r="AJ239" t="n">
        <v>4</v>
      </c>
      <c r="AK239" t="n">
        <v>5</v>
      </c>
      <c r="AL239" t="n">
        <v>1</v>
      </c>
      <c r="AM239" t="n">
        <v>1</v>
      </c>
      <c r="AN239" t="n">
        <v>0</v>
      </c>
      <c r="AO239" t="n">
        <v>0</v>
      </c>
      <c r="AP239" t="inlineStr">
        <is>
          <t>No</t>
        </is>
      </c>
      <c r="AQ239" t="inlineStr">
        <is>
          <t>Yes</t>
        </is>
      </c>
      <c r="AR239">
        <f>HYPERLINK("http://catalog.hathitrust.org/Record/000213489","HathiTrust Record")</f>
        <v/>
      </c>
      <c r="AS239">
        <f>HYPERLINK("https://creighton-primo.hosted.exlibrisgroup.com/primo-explore/search?tab=default_tab&amp;search_scope=EVERYTHING&amp;vid=01CRU&amp;lang=en_US&amp;offset=0&amp;query=any,contains,991004295879702656","Catalog Record")</f>
        <v/>
      </c>
      <c r="AT239">
        <f>HYPERLINK("http://www.worldcat.org/oclc/2964147","WorldCat Record")</f>
        <v/>
      </c>
      <c r="AU239" t="inlineStr">
        <is>
          <t>510113749:eng</t>
        </is>
      </c>
      <c r="AV239" t="inlineStr">
        <is>
          <t>2964147</t>
        </is>
      </c>
      <c r="AW239" t="inlineStr">
        <is>
          <t>991004295879702656</t>
        </is>
      </c>
      <c r="AX239" t="inlineStr">
        <is>
          <t>991004295879702656</t>
        </is>
      </c>
      <c r="AY239" t="inlineStr">
        <is>
          <t>2270997930002656</t>
        </is>
      </c>
      <c r="AZ239" t="inlineStr">
        <is>
          <t>BOOK</t>
        </is>
      </c>
      <c r="BB239" t="inlineStr">
        <is>
          <t>9780471995296</t>
        </is>
      </c>
      <c r="BC239" t="inlineStr">
        <is>
          <t>32285001433274</t>
        </is>
      </c>
      <c r="BD239" t="inlineStr">
        <is>
          <t>893806887</t>
        </is>
      </c>
    </row>
    <row r="240">
      <c r="A240" t="inlineStr">
        <is>
          <t>No</t>
        </is>
      </c>
      <c r="B240" t="inlineStr">
        <is>
          <t>QB501 .N47 1990</t>
        </is>
      </c>
      <c r="C240" t="inlineStr">
        <is>
          <t>0                      QB 0501000N  47          1990</t>
        </is>
      </c>
      <c r="D240" t="inlineStr">
        <is>
          <t>The New solar system / edited by J. Kelly Beatty, Andrew Chaikin ; introduction by Carl Sagan.</t>
        </is>
      </c>
      <c r="F240" t="inlineStr">
        <is>
          <t>No</t>
        </is>
      </c>
      <c r="G240" t="inlineStr">
        <is>
          <t>1</t>
        </is>
      </c>
      <c r="H240" t="inlineStr">
        <is>
          <t>No</t>
        </is>
      </c>
      <c r="I240" t="inlineStr">
        <is>
          <t>No</t>
        </is>
      </c>
      <c r="J240" t="inlineStr">
        <is>
          <t>0</t>
        </is>
      </c>
      <c r="L240" t="inlineStr">
        <is>
          <t>Cambridge [England] ; New York : Cambridge University Press ; Cambridge, Mass. : Sky Pub. Corp., 1990.</t>
        </is>
      </c>
      <c r="M240" t="inlineStr">
        <is>
          <t>1990</t>
        </is>
      </c>
      <c r="N240" t="inlineStr">
        <is>
          <t>3rd ed.</t>
        </is>
      </c>
      <c r="O240" t="inlineStr">
        <is>
          <t>eng</t>
        </is>
      </c>
      <c r="P240" t="inlineStr">
        <is>
          <t>enk</t>
        </is>
      </c>
      <c r="R240" t="inlineStr">
        <is>
          <t xml:space="preserve">QB </t>
        </is>
      </c>
      <c r="S240" t="n">
        <v>8</v>
      </c>
      <c r="T240" t="n">
        <v>8</v>
      </c>
      <c r="U240" t="inlineStr">
        <is>
          <t>1996-02-06</t>
        </is>
      </c>
      <c r="V240" t="inlineStr">
        <is>
          <t>1996-02-06</t>
        </is>
      </c>
      <c r="W240" t="inlineStr">
        <is>
          <t>1990-11-26</t>
        </is>
      </c>
      <c r="X240" t="inlineStr">
        <is>
          <t>1990-11-26</t>
        </is>
      </c>
      <c r="Y240" t="n">
        <v>599</v>
      </c>
      <c r="Z240" t="n">
        <v>464</v>
      </c>
      <c r="AA240" t="n">
        <v>1698</v>
      </c>
      <c r="AB240" t="n">
        <v>4</v>
      </c>
      <c r="AC240" t="n">
        <v>12</v>
      </c>
      <c r="AD240" t="n">
        <v>10</v>
      </c>
      <c r="AE240" t="n">
        <v>40</v>
      </c>
      <c r="AF240" t="n">
        <v>3</v>
      </c>
      <c r="AG240" t="n">
        <v>18</v>
      </c>
      <c r="AH240" t="n">
        <v>2</v>
      </c>
      <c r="AI240" t="n">
        <v>6</v>
      </c>
      <c r="AJ240" t="n">
        <v>5</v>
      </c>
      <c r="AK240" t="n">
        <v>19</v>
      </c>
      <c r="AL240" t="n">
        <v>2</v>
      </c>
      <c r="AM240" t="n">
        <v>6</v>
      </c>
      <c r="AN240" t="n">
        <v>0</v>
      </c>
      <c r="AO240" t="n">
        <v>0</v>
      </c>
      <c r="AP240" t="inlineStr">
        <is>
          <t>No</t>
        </is>
      </c>
      <c r="AQ240" t="inlineStr">
        <is>
          <t>Yes</t>
        </is>
      </c>
      <c r="AR240">
        <f>HYPERLINK("http://catalog.hathitrust.org/Record/002168722","HathiTrust Record")</f>
        <v/>
      </c>
      <c r="AS240">
        <f>HYPERLINK("https://creighton-primo.hosted.exlibrisgroup.com/primo-explore/search?tab=default_tab&amp;search_scope=EVERYTHING&amp;vid=01CRU&amp;lang=en_US&amp;offset=0&amp;query=any,contains,991001547529702656","Catalog Record")</f>
        <v/>
      </c>
      <c r="AT240">
        <f>HYPERLINK("http://www.worldcat.org/oclc/20170365","WorldCat Record")</f>
        <v/>
      </c>
      <c r="AU240" t="inlineStr">
        <is>
          <t>364394054:eng</t>
        </is>
      </c>
      <c r="AV240" t="inlineStr">
        <is>
          <t>20170365</t>
        </is>
      </c>
      <c r="AW240" t="inlineStr">
        <is>
          <t>991001547529702656</t>
        </is>
      </c>
      <c r="AX240" t="inlineStr">
        <is>
          <t>991001547529702656</t>
        </is>
      </c>
      <c r="AY240" t="inlineStr">
        <is>
          <t>2257296240002656</t>
        </is>
      </c>
      <c r="AZ240" t="inlineStr">
        <is>
          <t>BOOK</t>
        </is>
      </c>
      <c r="BB240" t="inlineStr">
        <is>
          <t>9780933346567</t>
        </is>
      </c>
      <c r="BC240" t="inlineStr">
        <is>
          <t>32285000356435</t>
        </is>
      </c>
      <c r="BD240" t="inlineStr">
        <is>
          <t>893615201</t>
        </is>
      </c>
    </row>
    <row r="241">
      <c r="A241" t="inlineStr">
        <is>
          <t>No</t>
        </is>
      </c>
      <c r="B241" t="inlineStr">
        <is>
          <t>QB501 .S56</t>
        </is>
      </c>
      <c r="C241" t="inlineStr">
        <is>
          <t>0                      QB 0501000S  56</t>
        </is>
      </c>
      <c r="D241" t="inlineStr">
        <is>
          <t>The origin of the solar system; genesis of the sun and planets, and life on other worlds / Edited by Thornton Page &amp; Lou Williams Page.</t>
        </is>
      </c>
      <c r="F241" t="inlineStr">
        <is>
          <t>No</t>
        </is>
      </c>
      <c r="G241" t="inlineStr">
        <is>
          <t>1</t>
        </is>
      </c>
      <c r="H241" t="inlineStr">
        <is>
          <t>No</t>
        </is>
      </c>
      <c r="I241" t="inlineStr">
        <is>
          <t>No</t>
        </is>
      </c>
      <c r="J241" t="inlineStr">
        <is>
          <t>0</t>
        </is>
      </c>
      <c r="K241" t="inlineStr">
        <is>
          <t>Sky and telescope.</t>
        </is>
      </c>
      <c r="L241" t="inlineStr">
        <is>
          <t>New York : Macmillan, c1966, 1969 printing.</t>
        </is>
      </c>
      <c r="M241" t="inlineStr">
        <is>
          <t>1966</t>
        </is>
      </c>
      <c r="O241" t="inlineStr">
        <is>
          <t>eng</t>
        </is>
      </c>
      <c r="P241" t="inlineStr">
        <is>
          <t>nyu</t>
        </is>
      </c>
      <c r="Q241" t="inlineStr">
        <is>
          <t>Sky and telescope library of astronomy ; v. 3</t>
        </is>
      </c>
      <c r="R241" t="inlineStr">
        <is>
          <t xml:space="preserve">QB </t>
        </is>
      </c>
      <c r="S241" t="n">
        <v>2</v>
      </c>
      <c r="T241" t="n">
        <v>2</v>
      </c>
      <c r="U241" t="inlineStr">
        <is>
          <t>1996-11-24</t>
        </is>
      </c>
      <c r="V241" t="inlineStr">
        <is>
          <t>1996-11-24</t>
        </is>
      </c>
      <c r="W241" t="inlineStr">
        <is>
          <t>1992-11-19</t>
        </is>
      </c>
      <c r="X241" t="inlineStr">
        <is>
          <t>1992-11-19</t>
        </is>
      </c>
      <c r="Y241" t="n">
        <v>623</v>
      </c>
      <c r="Z241" t="n">
        <v>568</v>
      </c>
      <c r="AA241" t="n">
        <v>583</v>
      </c>
      <c r="AB241" t="n">
        <v>5</v>
      </c>
      <c r="AC241" t="n">
        <v>5</v>
      </c>
      <c r="AD241" t="n">
        <v>14</v>
      </c>
      <c r="AE241" t="n">
        <v>15</v>
      </c>
      <c r="AF241" t="n">
        <v>5</v>
      </c>
      <c r="AG241" t="n">
        <v>6</v>
      </c>
      <c r="AH241" t="n">
        <v>3</v>
      </c>
      <c r="AI241" t="n">
        <v>3</v>
      </c>
      <c r="AJ241" t="n">
        <v>5</v>
      </c>
      <c r="AK241" t="n">
        <v>6</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HYPERLINK("https://creighton-primo.hosted.exlibrisgroup.com/primo-explore/search?tab=default_tab&amp;search_scope=EVERYTHING&amp;vid=01CRU&amp;lang=en_US&amp;offset=0&amp;query=any,contains,991002910439702656","Catalog Record")</f>
        <v/>
      </c>
      <c r="AT241">
        <f>HYPERLINK("http://www.worldcat.org/oclc/521816","WorldCat Record")</f>
        <v/>
      </c>
      <c r="AU241" t="inlineStr">
        <is>
          <t>53979138:eng</t>
        </is>
      </c>
      <c r="AV241" t="inlineStr">
        <is>
          <t>521816</t>
        </is>
      </c>
      <c r="AW241" t="inlineStr">
        <is>
          <t>991002910439702656</t>
        </is>
      </c>
      <c r="AX241" t="inlineStr">
        <is>
          <t>991002910439702656</t>
        </is>
      </c>
      <c r="AY241" t="inlineStr">
        <is>
          <t>2260509220002656</t>
        </is>
      </c>
      <c r="AZ241" t="inlineStr">
        <is>
          <t>BOOK</t>
        </is>
      </c>
      <c r="BC241" t="inlineStr">
        <is>
          <t>32285001433290</t>
        </is>
      </c>
      <c r="BD241" t="inlineStr">
        <is>
          <t>893774180</t>
        </is>
      </c>
    </row>
    <row r="242">
      <c r="A242" t="inlineStr">
        <is>
          <t>No</t>
        </is>
      </c>
      <c r="B242" t="inlineStr">
        <is>
          <t>QB501 .V66 1979</t>
        </is>
      </c>
      <c r="C242" t="inlineStr">
        <is>
          <t>0                      QB 0501000V  66          1979</t>
        </is>
      </c>
      <c r="D242" t="inlineStr">
        <is>
          <t>New worlds : discoveries from our solar system / Wernher von Braun andd Frederick I. Ordway III ; with editorial assistance and pref. by Eric Burgess.</t>
        </is>
      </c>
      <c r="F242" t="inlineStr">
        <is>
          <t>No</t>
        </is>
      </c>
      <c r="G242" t="inlineStr">
        <is>
          <t>1</t>
        </is>
      </c>
      <c r="H242" t="inlineStr">
        <is>
          <t>No</t>
        </is>
      </c>
      <c r="I242" t="inlineStr">
        <is>
          <t>No</t>
        </is>
      </c>
      <c r="J242" t="inlineStr">
        <is>
          <t>0</t>
        </is>
      </c>
      <c r="K242" t="inlineStr">
        <is>
          <t>Von Braun, Wernher, 1912-1977.</t>
        </is>
      </c>
      <c r="L242" t="inlineStr">
        <is>
          <t>Garden City, N.Y. : Anchor Press/Doubleday, 1979.</t>
        </is>
      </c>
      <c r="M242" t="inlineStr">
        <is>
          <t>1979</t>
        </is>
      </c>
      <c r="N242" t="inlineStr">
        <is>
          <t>1st ed.</t>
        </is>
      </c>
      <c r="O242" t="inlineStr">
        <is>
          <t>eng</t>
        </is>
      </c>
      <c r="P242" t="inlineStr">
        <is>
          <t>nyu</t>
        </is>
      </c>
      <c r="R242" t="inlineStr">
        <is>
          <t xml:space="preserve">QB </t>
        </is>
      </c>
      <c r="S242" t="n">
        <v>2</v>
      </c>
      <c r="T242" t="n">
        <v>2</v>
      </c>
      <c r="U242" t="inlineStr">
        <is>
          <t>1995-10-12</t>
        </is>
      </c>
      <c r="V242" t="inlineStr">
        <is>
          <t>1995-10-12</t>
        </is>
      </c>
      <c r="W242" t="inlineStr">
        <is>
          <t>1992-11-19</t>
        </is>
      </c>
      <c r="X242" t="inlineStr">
        <is>
          <t>1992-11-19</t>
        </is>
      </c>
      <c r="Y242" t="n">
        <v>757</v>
      </c>
      <c r="Z242" t="n">
        <v>700</v>
      </c>
      <c r="AA242" t="n">
        <v>707</v>
      </c>
      <c r="AB242" t="n">
        <v>4</v>
      </c>
      <c r="AC242" t="n">
        <v>4</v>
      </c>
      <c r="AD242" t="n">
        <v>14</v>
      </c>
      <c r="AE242" t="n">
        <v>14</v>
      </c>
      <c r="AF242" t="n">
        <v>9</v>
      </c>
      <c r="AG242" t="n">
        <v>9</v>
      </c>
      <c r="AH242" t="n">
        <v>5</v>
      </c>
      <c r="AI242" t="n">
        <v>5</v>
      </c>
      <c r="AJ242" t="n">
        <v>5</v>
      </c>
      <c r="AK242" t="n">
        <v>5</v>
      </c>
      <c r="AL242" t="n">
        <v>1</v>
      </c>
      <c r="AM242" t="n">
        <v>1</v>
      </c>
      <c r="AN242" t="n">
        <v>0</v>
      </c>
      <c r="AO242" t="n">
        <v>0</v>
      </c>
      <c r="AP242" t="inlineStr">
        <is>
          <t>No</t>
        </is>
      </c>
      <c r="AQ242" t="inlineStr">
        <is>
          <t>Yes</t>
        </is>
      </c>
      <c r="AR242">
        <f>HYPERLINK("http://catalog.hathitrust.org/Record/000043763","HathiTrust Record")</f>
        <v/>
      </c>
      <c r="AS242">
        <f>HYPERLINK("https://creighton-primo.hosted.exlibrisgroup.com/primo-explore/search?tab=default_tab&amp;search_scope=EVERYTHING&amp;vid=01CRU&amp;lang=en_US&amp;offset=0&amp;query=any,contains,991004659019702656","Catalog Record")</f>
        <v/>
      </c>
      <c r="AT242">
        <f>HYPERLINK("http://www.worldcat.org/oclc/4496184","WorldCat Record")</f>
        <v/>
      </c>
      <c r="AU242" t="inlineStr">
        <is>
          <t>425663877:eng</t>
        </is>
      </c>
      <c r="AV242" t="inlineStr">
        <is>
          <t>4496184</t>
        </is>
      </c>
      <c r="AW242" t="inlineStr">
        <is>
          <t>991004659019702656</t>
        </is>
      </c>
      <c r="AX242" t="inlineStr">
        <is>
          <t>991004659019702656</t>
        </is>
      </c>
      <c r="AY242" t="inlineStr">
        <is>
          <t>2268700210002656</t>
        </is>
      </c>
      <c r="AZ242" t="inlineStr">
        <is>
          <t>BOOK</t>
        </is>
      </c>
      <c r="BB242" t="inlineStr">
        <is>
          <t>9780385140652</t>
        </is>
      </c>
      <c r="BC242" t="inlineStr">
        <is>
          <t>32285001433308</t>
        </is>
      </c>
      <c r="BD242" t="inlineStr">
        <is>
          <t>893263369</t>
        </is>
      </c>
    </row>
    <row r="243">
      <c r="A243" t="inlineStr">
        <is>
          <t>No</t>
        </is>
      </c>
      <c r="B243" t="inlineStr">
        <is>
          <t>QB501 .W66</t>
        </is>
      </c>
      <c r="C243" t="inlineStr">
        <is>
          <t>0                      QB 0501000W  66</t>
        </is>
      </c>
      <c r="D243" t="inlineStr">
        <is>
          <t>The solar system / John A. Wood.</t>
        </is>
      </c>
      <c r="F243" t="inlineStr">
        <is>
          <t>No</t>
        </is>
      </c>
      <c r="G243" t="inlineStr">
        <is>
          <t>1</t>
        </is>
      </c>
      <c r="H243" t="inlineStr">
        <is>
          <t>No</t>
        </is>
      </c>
      <c r="I243" t="inlineStr">
        <is>
          <t>No</t>
        </is>
      </c>
      <c r="J243" t="inlineStr">
        <is>
          <t>0</t>
        </is>
      </c>
      <c r="K243" t="inlineStr">
        <is>
          <t>Wood, John A., 1932-</t>
        </is>
      </c>
      <c r="L243" t="inlineStr">
        <is>
          <t>Englewood Cliffs, N.J. : Prentice-Hall, c1979.</t>
        </is>
      </c>
      <c r="M243" t="inlineStr">
        <is>
          <t>1979</t>
        </is>
      </c>
      <c r="O243" t="inlineStr">
        <is>
          <t>eng</t>
        </is>
      </c>
      <c r="P243" t="inlineStr">
        <is>
          <t>nju</t>
        </is>
      </c>
      <c r="Q243" t="inlineStr">
        <is>
          <t>The Prentice-Hall foundations of earth science series</t>
        </is>
      </c>
      <c r="R243" t="inlineStr">
        <is>
          <t xml:space="preserve">QB </t>
        </is>
      </c>
      <c r="S243" t="n">
        <v>2</v>
      </c>
      <c r="T243" t="n">
        <v>2</v>
      </c>
      <c r="U243" t="inlineStr">
        <is>
          <t>1996-02-13</t>
        </is>
      </c>
      <c r="V243" t="inlineStr">
        <is>
          <t>1996-02-13</t>
        </is>
      </c>
      <c r="W243" t="inlineStr">
        <is>
          <t>1992-11-19</t>
        </is>
      </c>
      <c r="X243" t="inlineStr">
        <is>
          <t>1992-11-19</t>
        </is>
      </c>
      <c r="Y243" t="n">
        <v>618</v>
      </c>
      <c r="Z243" t="n">
        <v>473</v>
      </c>
      <c r="AA243" t="n">
        <v>530</v>
      </c>
      <c r="AB243" t="n">
        <v>3</v>
      </c>
      <c r="AC243" t="n">
        <v>3</v>
      </c>
      <c r="AD243" t="n">
        <v>11</v>
      </c>
      <c r="AE243" t="n">
        <v>13</v>
      </c>
      <c r="AF243" t="n">
        <v>4</v>
      </c>
      <c r="AG243" t="n">
        <v>5</v>
      </c>
      <c r="AH243" t="n">
        <v>3</v>
      </c>
      <c r="AI243" t="n">
        <v>4</v>
      </c>
      <c r="AJ243" t="n">
        <v>4</v>
      </c>
      <c r="AK243" t="n">
        <v>6</v>
      </c>
      <c r="AL243" t="n">
        <v>2</v>
      </c>
      <c r="AM243" t="n">
        <v>2</v>
      </c>
      <c r="AN243" t="n">
        <v>0</v>
      </c>
      <c r="AO243" t="n">
        <v>0</v>
      </c>
      <c r="AP243" t="inlineStr">
        <is>
          <t>No</t>
        </is>
      </c>
      <c r="AQ243" t="inlineStr">
        <is>
          <t>Yes</t>
        </is>
      </c>
      <c r="AR243">
        <f>HYPERLINK("http://catalog.hathitrust.org/Record/000137197","HathiTrust Record")</f>
        <v/>
      </c>
      <c r="AS243">
        <f>HYPERLINK("https://creighton-primo.hosted.exlibrisgroup.com/primo-explore/search?tab=default_tab&amp;search_scope=EVERYTHING&amp;vid=01CRU&amp;lang=en_US&amp;offset=0&amp;query=any,contains,991004540389702656","Catalog Record")</f>
        <v/>
      </c>
      <c r="AT243">
        <f>HYPERLINK("http://www.worldcat.org/oclc/3892863","WorldCat Record")</f>
        <v/>
      </c>
      <c r="AU243" t="inlineStr">
        <is>
          <t>412305:eng</t>
        </is>
      </c>
      <c r="AV243" t="inlineStr">
        <is>
          <t>3892863</t>
        </is>
      </c>
      <c r="AW243" t="inlineStr">
        <is>
          <t>991004540389702656</t>
        </is>
      </c>
      <c r="AX243" t="inlineStr">
        <is>
          <t>991004540389702656</t>
        </is>
      </c>
      <c r="AY243" t="inlineStr">
        <is>
          <t>2272312530002656</t>
        </is>
      </c>
      <c r="AZ243" t="inlineStr">
        <is>
          <t>BOOK</t>
        </is>
      </c>
      <c r="BB243" t="inlineStr">
        <is>
          <t>9780138220075</t>
        </is>
      </c>
      <c r="BC243" t="inlineStr">
        <is>
          <t>32285001433316</t>
        </is>
      </c>
      <c r="BD243" t="inlineStr">
        <is>
          <t>893687847</t>
        </is>
      </c>
    </row>
    <row r="244">
      <c r="A244" t="inlineStr">
        <is>
          <t>No</t>
        </is>
      </c>
      <c r="B244" t="inlineStr">
        <is>
          <t>QB501.2 .M54 1993</t>
        </is>
      </c>
      <c r="C244" t="inlineStr">
        <is>
          <t>0                      QB 0501200M  54          1993</t>
        </is>
      </c>
      <c r="D244" t="inlineStr">
        <is>
          <t>The grand tour : a traveler's guide to the solar system / by Ron Miller &amp; William K. Hartmann.</t>
        </is>
      </c>
      <c r="F244" t="inlineStr">
        <is>
          <t>No</t>
        </is>
      </c>
      <c r="G244" t="inlineStr">
        <is>
          <t>1</t>
        </is>
      </c>
      <c r="H244" t="inlineStr">
        <is>
          <t>No</t>
        </is>
      </c>
      <c r="I244" t="inlineStr">
        <is>
          <t>No</t>
        </is>
      </c>
      <c r="J244" t="inlineStr">
        <is>
          <t>0</t>
        </is>
      </c>
      <c r="K244" t="inlineStr">
        <is>
          <t>Miller, Ron, 1947-</t>
        </is>
      </c>
      <c r="L244" t="inlineStr">
        <is>
          <t>New York : Workman Pub., c1993.</t>
        </is>
      </c>
      <c r="M244" t="inlineStr">
        <is>
          <t>1993</t>
        </is>
      </c>
      <c r="N244" t="inlineStr">
        <is>
          <t>Rev. ed.</t>
        </is>
      </c>
      <c r="O244" t="inlineStr">
        <is>
          <t>eng</t>
        </is>
      </c>
      <c r="P244" t="inlineStr">
        <is>
          <t>nyu</t>
        </is>
      </c>
      <c r="R244" t="inlineStr">
        <is>
          <t xml:space="preserve">QB </t>
        </is>
      </c>
      <c r="S244" t="n">
        <v>2</v>
      </c>
      <c r="T244" t="n">
        <v>2</v>
      </c>
      <c r="U244" t="inlineStr">
        <is>
          <t>1994-07-29</t>
        </is>
      </c>
      <c r="V244" t="inlineStr">
        <is>
          <t>1994-07-29</t>
        </is>
      </c>
      <c r="W244" t="inlineStr">
        <is>
          <t>1994-07-20</t>
        </is>
      </c>
      <c r="X244" t="inlineStr">
        <is>
          <t>1994-07-20</t>
        </is>
      </c>
      <c r="Y244" t="n">
        <v>275</v>
      </c>
      <c r="Z244" t="n">
        <v>246</v>
      </c>
      <c r="AA244" t="n">
        <v>1088</v>
      </c>
      <c r="AB244" t="n">
        <v>1</v>
      </c>
      <c r="AC244" t="n">
        <v>6</v>
      </c>
      <c r="AD244" t="n">
        <v>1</v>
      </c>
      <c r="AE244" t="n">
        <v>8</v>
      </c>
      <c r="AF244" t="n">
        <v>0</v>
      </c>
      <c r="AG244" t="n">
        <v>1</v>
      </c>
      <c r="AH244" t="n">
        <v>1</v>
      </c>
      <c r="AI244" t="n">
        <v>3</v>
      </c>
      <c r="AJ244" t="n">
        <v>1</v>
      </c>
      <c r="AK244" t="n">
        <v>5</v>
      </c>
      <c r="AL244" t="n">
        <v>0</v>
      </c>
      <c r="AM244" t="n">
        <v>2</v>
      </c>
      <c r="AN244" t="n">
        <v>0</v>
      </c>
      <c r="AO244" t="n">
        <v>0</v>
      </c>
      <c r="AP244" t="inlineStr">
        <is>
          <t>No</t>
        </is>
      </c>
      <c r="AQ244" t="inlineStr">
        <is>
          <t>Yes</t>
        </is>
      </c>
      <c r="AR244">
        <f>HYPERLINK("http://catalog.hathitrust.org/Record/007039456","HathiTrust Record")</f>
        <v/>
      </c>
      <c r="AS244">
        <f>HYPERLINK("https://creighton-primo.hosted.exlibrisgroup.com/primo-explore/search?tab=default_tab&amp;search_scope=EVERYTHING&amp;vid=01CRU&amp;lang=en_US&amp;offset=0&amp;query=any,contains,991002259439702656","Catalog Record")</f>
        <v/>
      </c>
      <c r="AT244">
        <f>HYPERLINK("http://www.worldcat.org/oclc/29289325","WorldCat Record")</f>
        <v/>
      </c>
      <c r="AU244" t="inlineStr">
        <is>
          <t>29214835:eng</t>
        </is>
      </c>
      <c r="AV244" t="inlineStr">
        <is>
          <t>29289325</t>
        </is>
      </c>
      <c r="AW244" t="inlineStr">
        <is>
          <t>991002259439702656</t>
        </is>
      </c>
      <c r="AX244" t="inlineStr">
        <is>
          <t>991002259439702656</t>
        </is>
      </c>
      <c r="AY244" t="inlineStr">
        <is>
          <t>2262289220002656</t>
        </is>
      </c>
      <c r="AZ244" t="inlineStr">
        <is>
          <t>BOOK</t>
        </is>
      </c>
      <c r="BB244" t="inlineStr">
        <is>
          <t>9781563050312</t>
        </is>
      </c>
      <c r="BC244" t="inlineStr">
        <is>
          <t>32285001932226</t>
        </is>
      </c>
      <c r="BD244" t="inlineStr">
        <is>
          <t>893886041</t>
        </is>
      </c>
    </row>
    <row r="245">
      <c r="A245" t="inlineStr">
        <is>
          <t>No</t>
        </is>
      </c>
      <c r="B245" t="inlineStr">
        <is>
          <t>QB501.2 .S58 1983</t>
        </is>
      </c>
      <c r="C245" t="inlineStr">
        <is>
          <t>0                      QB 0501200S  58          1983</t>
        </is>
      </c>
      <c r="D245" t="inlineStr">
        <is>
          <t>The solar system : the sun, planets, and life / Roman Smoluchowski.</t>
        </is>
      </c>
      <c r="F245" t="inlineStr">
        <is>
          <t>No</t>
        </is>
      </c>
      <c r="G245" t="inlineStr">
        <is>
          <t>1</t>
        </is>
      </c>
      <c r="H245" t="inlineStr">
        <is>
          <t>No</t>
        </is>
      </c>
      <c r="I245" t="inlineStr">
        <is>
          <t>No</t>
        </is>
      </c>
      <c r="J245" t="inlineStr">
        <is>
          <t>0</t>
        </is>
      </c>
      <c r="K245" t="inlineStr">
        <is>
          <t>Smoluchowski, Roman.</t>
        </is>
      </c>
      <c r="L245" t="inlineStr">
        <is>
          <t>New York : Scientific American Library : Distributed by W.H. Freeman, c1983.</t>
        </is>
      </c>
      <c r="M245" t="inlineStr">
        <is>
          <t>1983</t>
        </is>
      </c>
      <c r="O245" t="inlineStr">
        <is>
          <t>eng</t>
        </is>
      </c>
      <c r="P245" t="inlineStr">
        <is>
          <t>nyu</t>
        </is>
      </c>
      <c r="R245" t="inlineStr">
        <is>
          <t xml:space="preserve">QB </t>
        </is>
      </c>
      <c r="S245" t="n">
        <v>2</v>
      </c>
      <c r="T245" t="n">
        <v>2</v>
      </c>
      <c r="U245" t="inlineStr">
        <is>
          <t>1996-02-13</t>
        </is>
      </c>
      <c r="V245" t="inlineStr">
        <is>
          <t>1996-02-13</t>
        </is>
      </c>
      <c r="W245" t="inlineStr">
        <is>
          <t>1992-11-19</t>
        </is>
      </c>
      <c r="X245" t="inlineStr">
        <is>
          <t>1992-11-19</t>
        </is>
      </c>
      <c r="Y245" t="n">
        <v>900</v>
      </c>
      <c r="Z245" t="n">
        <v>825</v>
      </c>
      <c r="AA245" t="n">
        <v>848</v>
      </c>
      <c r="AB245" t="n">
        <v>5</v>
      </c>
      <c r="AC245" t="n">
        <v>5</v>
      </c>
      <c r="AD245" t="n">
        <v>20</v>
      </c>
      <c r="AE245" t="n">
        <v>20</v>
      </c>
      <c r="AF245" t="n">
        <v>7</v>
      </c>
      <c r="AG245" t="n">
        <v>7</v>
      </c>
      <c r="AH245" t="n">
        <v>4</v>
      </c>
      <c r="AI245" t="n">
        <v>4</v>
      </c>
      <c r="AJ245" t="n">
        <v>11</v>
      </c>
      <c r="AK245" t="n">
        <v>11</v>
      </c>
      <c r="AL245" t="n">
        <v>3</v>
      </c>
      <c r="AM245" t="n">
        <v>3</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HYPERLINK("https://creighton-primo.hosted.exlibrisgroup.com/primo-explore/search?tab=default_tab&amp;search_scope=EVERYTHING&amp;vid=01CRU&amp;lang=en_US&amp;offset=0&amp;query=any,contains,991000238509702656","Catalog Record")</f>
        <v/>
      </c>
      <c r="AT245">
        <f>HYPERLINK("http://www.worldcat.org/oclc/9682272","WorldCat Record")</f>
        <v/>
      </c>
      <c r="AU245" t="inlineStr">
        <is>
          <t>41055439:eng</t>
        </is>
      </c>
      <c r="AV245" t="inlineStr">
        <is>
          <t>9682272</t>
        </is>
      </c>
      <c r="AW245" t="inlineStr">
        <is>
          <t>991000238509702656</t>
        </is>
      </c>
      <c r="AX245" t="inlineStr">
        <is>
          <t>991000238509702656</t>
        </is>
      </c>
      <c r="AY245" t="inlineStr">
        <is>
          <t>2263880780002656</t>
        </is>
      </c>
      <c r="AZ245" t="inlineStr">
        <is>
          <t>BOOK</t>
        </is>
      </c>
      <c r="BB245" t="inlineStr">
        <is>
          <t>9780716714934</t>
        </is>
      </c>
      <c r="BC245" t="inlineStr">
        <is>
          <t>32285001433324</t>
        </is>
      </c>
      <c r="BD245" t="inlineStr">
        <is>
          <t>893601609</t>
        </is>
      </c>
    </row>
    <row r="246">
      <c r="A246" t="inlineStr">
        <is>
          <t>No</t>
        </is>
      </c>
      <c r="B246" t="inlineStr">
        <is>
          <t>QB501.3 .L44 1993</t>
        </is>
      </c>
      <c r="C246" t="inlineStr">
        <is>
          <t>0                      QB 0501300L  44          1993</t>
        </is>
      </c>
      <c r="D246" t="inlineStr">
        <is>
          <t>Postcards from Pluto : a tour of the solar system / written and illustrated by Loreen Leedy.</t>
        </is>
      </c>
      <c r="F246" t="inlineStr">
        <is>
          <t>No</t>
        </is>
      </c>
      <c r="G246" t="inlineStr">
        <is>
          <t>1</t>
        </is>
      </c>
      <c r="H246" t="inlineStr">
        <is>
          <t>No</t>
        </is>
      </c>
      <c r="I246" t="inlineStr">
        <is>
          <t>No</t>
        </is>
      </c>
      <c r="J246" t="inlineStr">
        <is>
          <t>0</t>
        </is>
      </c>
      <c r="K246" t="inlineStr">
        <is>
          <t>Leedy, Loreen.</t>
        </is>
      </c>
      <c r="L246" t="inlineStr">
        <is>
          <t>New York : Holiday House, c1993.</t>
        </is>
      </c>
      <c r="M246" t="inlineStr">
        <is>
          <t>1993</t>
        </is>
      </c>
      <c r="N246" t="inlineStr">
        <is>
          <t>1st ed.</t>
        </is>
      </c>
      <c r="O246" t="inlineStr">
        <is>
          <t>eng</t>
        </is>
      </c>
      <c r="P246" t="inlineStr">
        <is>
          <t>nyu</t>
        </is>
      </c>
      <c r="R246" t="inlineStr">
        <is>
          <t xml:space="preserve">QB </t>
        </is>
      </c>
      <c r="S246" t="n">
        <v>15</v>
      </c>
      <c r="T246" t="n">
        <v>15</v>
      </c>
      <c r="U246" t="inlineStr">
        <is>
          <t>2007-04-09</t>
        </is>
      </c>
      <c r="V246" t="inlineStr">
        <is>
          <t>2007-04-09</t>
        </is>
      </c>
      <c r="W246" t="inlineStr">
        <is>
          <t>1994-09-12</t>
        </is>
      </c>
      <c r="X246" t="inlineStr">
        <is>
          <t>1994-09-12</t>
        </is>
      </c>
      <c r="Y246" t="n">
        <v>726</v>
      </c>
      <c r="Z246" t="n">
        <v>691</v>
      </c>
      <c r="AA246" t="n">
        <v>783</v>
      </c>
      <c r="AB246" t="n">
        <v>3</v>
      </c>
      <c r="AC246" t="n">
        <v>4</v>
      </c>
      <c r="AD246" t="n">
        <v>6</v>
      </c>
      <c r="AE246" t="n">
        <v>6</v>
      </c>
      <c r="AF246" t="n">
        <v>4</v>
      </c>
      <c r="AG246" t="n">
        <v>4</v>
      </c>
      <c r="AH246" t="n">
        <v>0</v>
      </c>
      <c r="AI246" t="n">
        <v>0</v>
      </c>
      <c r="AJ246" t="n">
        <v>2</v>
      </c>
      <c r="AK246" t="n">
        <v>2</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HYPERLINK("https://creighton-primo.hosted.exlibrisgroup.com/primo-explore/search?tab=default_tab&amp;search_scope=EVERYTHING&amp;vid=01CRU&amp;lang=en_US&amp;offset=0&amp;query=any,contains,991004565859702656","Catalog Record")</f>
        <v/>
      </c>
      <c r="AT246">
        <f>HYPERLINK("http://www.worldcat.org/oclc/26586841","WorldCat Record")</f>
        <v/>
      </c>
      <c r="AU246" t="inlineStr">
        <is>
          <t>29203853:eng</t>
        </is>
      </c>
      <c r="AV246" t="inlineStr">
        <is>
          <t>26586841</t>
        </is>
      </c>
      <c r="AW246" t="inlineStr">
        <is>
          <t>991004565859702656</t>
        </is>
      </c>
      <c r="AX246" t="inlineStr">
        <is>
          <t>991004565859702656</t>
        </is>
      </c>
      <c r="AY246" t="inlineStr">
        <is>
          <t>2264538340002656</t>
        </is>
      </c>
      <c r="AZ246" t="inlineStr">
        <is>
          <t>BOOK</t>
        </is>
      </c>
      <c r="BB246" t="inlineStr">
        <is>
          <t>9780823410002</t>
        </is>
      </c>
      <c r="BC246" t="inlineStr">
        <is>
          <t>32285001946317</t>
        </is>
      </c>
      <c r="BD246" t="inlineStr">
        <is>
          <t>893314258</t>
        </is>
      </c>
    </row>
    <row r="247">
      <c r="A247" t="inlineStr">
        <is>
          <t>No</t>
        </is>
      </c>
      <c r="B247" t="inlineStr">
        <is>
          <t>QB501.5 .B49 1986</t>
        </is>
      </c>
      <c r="C247" t="inlineStr">
        <is>
          <t>0                      QB 0501500B  49          1986</t>
        </is>
      </c>
      <c r="D247" t="inlineStr">
        <is>
          <t>Beyond spaceship earth : environmental ethics and the solar system / Eugene C. Hargrove, editor.</t>
        </is>
      </c>
      <c r="F247" t="inlineStr">
        <is>
          <t>No</t>
        </is>
      </c>
      <c r="G247" t="inlineStr">
        <is>
          <t>1</t>
        </is>
      </c>
      <c r="H247" t="inlineStr">
        <is>
          <t>No</t>
        </is>
      </c>
      <c r="I247" t="inlineStr">
        <is>
          <t>No</t>
        </is>
      </c>
      <c r="J247" t="inlineStr">
        <is>
          <t>0</t>
        </is>
      </c>
      <c r="L247" t="inlineStr">
        <is>
          <t>San Francisco : Sierra Club Books, c1986.</t>
        </is>
      </c>
      <c r="M247" t="inlineStr">
        <is>
          <t>1986</t>
        </is>
      </c>
      <c r="O247" t="inlineStr">
        <is>
          <t>eng</t>
        </is>
      </c>
      <c r="P247" t="inlineStr">
        <is>
          <t>cau</t>
        </is>
      </c>
      <c r="R247" t="inlineStr">
        <is>
          <t xml:space="preserve">QB </t>
        </is>
      </c>
      <c r="S247" t="n">
        <v>2</v>
      </c>
      <c r="T247" t="n">
        <v>2</v>
      </c>
      <c r="U247" t="inlineStr">
        <is>
          <t>1993-04-20</t>
        </is>
      </c>
      <c r="V247" t="inlineStr">
        <is>
          <t>1993-04-20</t>
        </is>
      </c>
      <c r="W247" t="inlineStr">
        <is>
          <t>1992-03-27</t>
        </is>
      </c>
      <c r="X247" t="inlineStr">
        <is>
          <t>1992-03-27</t>
        </is>
      </c>
      <c r="Y247" t="n">
        <v>706</v>
      </c>
      <c r="Z247" t="n">
        <v>644</v>
      </c>
      <c r="AA247" t="n">
        <v>650</v>
      </c>
      <c r="AB247" t="n">
        <v>6</v>
      </c>
      <c r="AC247" t="n">
        <v>6</v>
      </c>
      <c r="AD247" t="n">
        <v>24</v>
      </c>
      <c r="AE247" t="n">
        <v>24</v>
      </c>
      <c r="AF247" t="n">
        <v>10</v>
      </c>
      <c r="AG247" t="n">
        <v>10</v>
      </c>
      <c r="AH247" t="n">
        <v>3</v>
      </c>
      <c r="AI247" t="n">
        <v>3</v>
      </c>
      <c r="AJ247" t="n">
        <v>11</v>
      </c>
      <c r="AK247" t="n">
        <v>11</v>
      </c>
      <c r="AL247" t="n">
        <v>5</v>
      </c>
      <c r="AM247" t="n">
        <v>5</v>
      </c>
      <c r="AN247" t="n">
        <v>0</v>
      </c>
      <c r="AO247" t="n">
        <v>0</v>
      </c>
      <c r="AP247" t="inlineStr">
        <is>
          <t>No</t>
        </is>
      </c>
      <c r="AQ247" t="inlineStr">
        <is>
          <t>Yes</t>
        </is>
      </c>
      <c r="AR247">
        <f>HYPERLINK("http://catalog.hathitrust.org/Record/000493263","HathiTrust Record")</f>
        <v/>
      </c>
      <c r="AS247">
        <f>HYPERLINK("https://creighton-primo.hosted.exlibrisgroup.com/primo-explore/search?tab=default_tab&amp;search_scope=EVERYTHING&amp;vid=01CRU&amp;lang=en_US&amp;offset=0&amp;query=any,contains,991000810499702656","Catalog Record")</f>
        <v/>
      </c>
      <c r="AT247">
        <f>HYPERLINK("http://www.worldcat.org/oclc/13331461","WorldCat Record")</f>
        <v/>
      </c>
      <c r="AU247" t="inlineStr">
        <is>
          <t>906249612:eng</t>
        </is>
      </c>
      <c r="AV247" t="inlineStr">
        <is>
          <t>13331461</t>
        </is>
      </c>
      <c r="AW247" t="inlineStr">
        <is>
          <t>991000810499702656</t>
        </is>
      </c>
      <c r="AX247" t="inlineStr">
        <is>
          <t>991000810499702656</t>
        </is>
      </c>
      <c r="AY247" t="inlineStr">
        <is>
          <t>2263560810002656</t>
        </is>
      </c>
      <c r="AZ247" t="inlineStr">
        <is>
          <t>BOOK</t>
        </is>
      </c>
      <c r="BB247" t="inlineStr">
        <is>
          <t>9780871567680</t>
        </is>
      </c>
      <c r="BC247" t="inlineStr">
        <is>
          <t>32285001045516</t>
        </is>
      </c>
      <c r="BD247" t="inlineStr">
        <is>
          <t>893702454</t>
        </is>
      </c>
    </row>
    <row r="248">
      <c r="A248" t="inlineStr">
        <is>
          <t>No</t>
        </is>
      </c>
      <c r="B248" t="inlineStr">
        <is>
          <t>QB505 .B72</t>
        </is>
      </c>
      <c r="C248" t="inlineStr">
        <is>
          <t>0                      QB 0505000B  72</t>
        </is>
      </c>
      <c r="D248" t="inlineStr">
        <is>
          <t>Introduction to the solar wind / [by] John C. Brandt.</t>
        </is>
      </c>
      <c r="F248" t="inlineStr">
        <is>
          <t>No</t>
        </is>
      </c>
      <c r="G248" t="inlineStr">
        <is>
          <t>1</t>
        </is>
      </c>
      <c r="H248" t="inlineStr">
        <is>
          <t>No</t>
        </is>
      </c>
      <c r="I248" t="inlineStr">
        <is>
          <t>No</t>
        </is>
      </c>
      <c r="J248" t="inlineStr">
        <is>
          <t>0</t>
        </is>
      </c>
      <c r="K248" t="inlineStr">
        <is>
          <t>Brandt, John C.</t>
        </is>
      </c>
      <c r="L248" t="inlineStr">
        <is>
          <t>San Francisco : W. H. Freeman, [1970]</t>
        </is>
      </c>
      <c r="M248" t="inlineStr">
        <is>
          <t>1970</t>
        </is>
      </c>
      <c r="O248" t="inlineStr">
        <is>
          <t>eng</t>
        </is>
      </c>
      <c r="P248" t="inlineStr">
        <is>
          <t>cau</t>
        </is>
      </c>
      <c r="Q248" t="inlineStr">
        <is>
          <t>A Series of books in astronomy and astrophysics</t>
        </is>
      </c>
      <c r="R248" t="inlineStr">
        <is>
          <t xml:space="preserve">QB </t>
        </is>
      </c>
      <c r="S248" t="n">
        <v>2</v>
      </c>
      <c r="T248" t="n">
        <v>2</v>
      </c>
      <c r="U248" t="inlineStr">
        <is>
          <t>1995-11-27</t>
        </is>
      </c>
      <c r="V248" t="inlineStr">
        <is>
          <t>1995-11-27</t>
        </is>
      </c>
      <c r="W248" t="inlineStr">
        <is>
          <t>1992-04-01</t>
        </is>
      </c>
      <c r="X248" t="inlineStr">
        <is>
          <t>1992-04-01</t>
        </is>
      </c>
      <c r="Y248" t="n">
        <v>635</v>
      </c>
      <c r="Z248" t="n">
        <v>500</v>
      </c>
      <c r="AA248" t="n">
        <v>506</v>
      </c>
      <c r="AB248" t="n">
        <v>5</v>
      </c>
      <c r="AC248" t="n">
        <v>5</v>
      </c>
      <c r="AD248" t="n">
        <v>20</v>
      </c>
      <c r="AE248" t="n">
        <v>20</v>
      </c>
      <c r="AF248" t="n">
        <v>7</v>
      </c>
      <c r="AG248" t="n">
        <v>7</v>
      </c>
      <c r="AH248" t="n">
        <v>3</v>
      </c>
      <c r="AI248" t="n">
        <v>3</v>
      </c>
      <c r="AJ248" t="n">
        <v>10</v>
      </c>
      <c r="AK248" t="n">
        <v>10</v>
      </c>
      <c r="AL248" t="n">
        <v>4</v>
      </c>
      <c r="AM248" t="n">
        <v>4</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HYPERLINK("https://creighton-primo.hosted.exlibrisgroup.com/primo-explore/search?tab=default_tab&amp;search_scope=EVERYTHING&amp;vid=01CRU&amp;lang=en_US&amp;offset=0&amp;query=any,contains,991000159839702656","Catalog Record")</f>
        <v/>
      </c>
      <c r="AT248">
        <f>HYPERLINK("http://www.worldcat.org/oclc/61313","WorldCat Record")</f>
        <v/>
      </c>
      <c r="AU248" t="inlineStr">
        <is>
          <t>1222874:eng</t>
        </is>
      </c>
      <c r="AV248" t="inlineStr">
        <is>
          <t>61313</t>
        </is>
      </c>
      <c r="AW248" t="inlineStr">
        <is>
          <t>991000159839702656</t>
        </is>
      </c>
      <c r="AX248" t="inlineStr">
        <is>
          <t>991000159839702656</t>
        </is>
      </c>
      <c r="AY248" t="inlineStr">
        <is>
          <t>2255280460002656</t>
        </is>
      </c>
      <c r="AZ248" t="inlineStr">
        <is>
          <t>BOOK</t>
        </is>
      </c>
      <c r="BB248" t="inlineStr">
        <is>
          <t>9780716703280</t>
        </is>
      </c>
      <c r="BC248" t="inlineStr">
        <is>
          <t>32285001030807</t>
        </is>
      </c>
      <c r="BD248" t="inlineStr">
        <is>
          <t>893327085</t>
        </is>
      </c>
    </row>
    <row r="249">
      <c r="A249" t="inlineStr">
        <is>
          <t>No</t>
        </is>
      </c>
      <c r="B249" t="inlineStr">
        <is>
          <t>QB505 .F74 2001</t>
        </is>
      </c>
      <c r="C249" t="inlineStr">
        <is>
          <t>0                      QB 0505000F  74          2001</t>
        </is>
      </c>
      <c r="D249" t="inlineStr">
        <is>
          <t>Storms in space / John W. Freeman ; foreword by George Siscoe.</t>
        </is>
      </c>
      <c r="F249" t="inlineStr">
        <is>
          <t>No</t>
        </is>
      </c>
      <c r="G249" t="inlineStr">
        <is>
          <t>1</t>
        </is>
      </c>
      <c r="H249" t="inlineStr">
        <is>
          <t>No</t>
        </is>
      </c>
      <c r="I249" t="inlineStr">
        <is>
          <t>No</t>
        </is>
      </c>
      <c r="J249" t="inlineStr">
        <is>
          <t>0</t>
        </is>
      </c>
      <c r="K249" t="inlineStr">
        <is>
          <t>Freeman, John W.</t>
        </is>
      </c>
      <c r="L249" t="inlineStr">
        <is>
          <t>Cambridge, UK ; New York : Cambridge University Press, 2001.</t>
        </is>
      </c>
      <c r="M249" t="inlineStr">
        <is>
          <t>2001</t>
        </is>
      </c>
      <c r="O249" t="inlineStr">
        <is>
          <t>eng</t>
        </is>
      </c>
      <c r="P249" t="inlineStr">
        <is>
          <t>enk</t>
        </is>
      </c>
      <c r="R249" t="inlineStr">
        <is>
          <t xml:space="preserve">QB </t>
        </is>
      </c>
      <c r="S249" t="n">
        <v>2</v>
      </c>
      <c r="T249" t="n">
        <v>2</v>
      </c>
      <c r="U249" t="inlineStr">
        <is>
          <t>2003-04-04</t>
        </is>
      </c>
      <c r="V249" t="inlineStr">
        <is>
          <t>2003-04-04</t>
        </is>
      </c>
      <c r="W249" t="inlineStr">
        <is>
          <t>2002-09-12</t>
        </is>
      </c>
      <c r="X249" t="inlineStr">
        <is>
          <t>2002-09-12</t>
        </is>
      </c>
      <c r="Y249" t="n">
        <v>467</v>
      </c>
      <c r="Z249" t="n">
        <v>402</v>
      </c>
      <c r="AA249" t="n">
        <v>407</v>
      </c>
      <c r="AB249" t="n">
        <v>4</v>
      </c>
      <c r="AC249" t="n">
        <v>4</v>
      </c>
      <c r="AD249" t="n">
        <v>18</v>
      </c>
      <c r="AE249" t="n">
        <v>18</v>
      </c>
      <c r="AF249" t="n">
        <v>10</v>
      </c>
      <c r="AG249" t="n">
        <v>10</v>
      </c>
      <c r="AH249" t="n">
        <v>2</v>
      </c>
      <c r="AI249" t="n">
        <v>2</v>
      </c>
      <c r="AJ249" t="n">
        <v>10</v>
      </c>
      <c r="AK249" t="n">
        <v>10</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HYPERLINK("https://creighton-primo.hosted.exlibrisgroup.com/primo-explore/search?tab=default_tab&amp;search_scope=EVERYTHING&amp;vid=01CRU&amp;lang=en_US&amp;offset=0&amp;query=any,contains,991003886689702656","Catalog Record")</f>
        <v/>
      </c>
      <c r="AT249">
        <f>HYPERLINK("http://www.worldcat.org/oclc/46462807","WorldCat Record")</f>
        <v/>
      </c>
      <c r="AU249" t="inlineStr">
        <is>
          <t>35354360:eng</t>
        </is>
      </c>
      <c r="AV249" t="inlineStr">
        <is>
          <t>46462807</t>
        </is>
      </c>
      <c r="AW249" t="inlineStr">
        <is>
          <t>991003886689702656</t>
        </is>
      </c>
      <c r="AX249" t="inlineStr">
        <is>
          <t>991003886689702656</t>
        </is>
      </c>
      <c r="AY249" t="inlineStr">
        <is>
          <t>2268548150002656</t>
        </is>
      </c>
      <c r="AZ249" t="inlineStr">
        <is>
          <t>BOOK</t>
        </is>
      </c>
      <c r="BB249" t="inlineStr">
        <is>
          <t>9780521660389</t>
        </is>
      </c>
      <c r="BC249" t="inlineStr">
        <is>
          <t>32285004653092</t>
        </is>
      </c>
      <c r="BD249" t="inlineStr">
        <is>
          <t>893800288</t>
        </is>
      </c>
    </row>
    <row r="250">
      <c r="A250" t="inlineStr">
        <is>
          <t>No</t>
        </is>
      </c>
      <c r="B250" t="inlineStr">
        <is>
          <t>QB509 .S57 2004</t>
        </is>
      </c>
      <c r="C250" t="inlineStr">
        <is>
          <t>0                      QB 0509000S  57          2004</t>
        </is>
      </c>
      <c r="D250" t="inlineStr">
        <is>
          <t>The transits of Venus / William Sheehan and John Westfall.</t>
        </is>
      </c>
      <c r="F250" t="inlineStr">
        <is>
          <t>No</t>
        </is>
      </c>
      <c r="G250" t="inlineStr">
        <is>
          <t>1</t>
        </is>
      </c>
      <c r="H250" t="inlineStr">
        <is>
          <t>No</t>
        </is>
      </c>
      <c r="I250" t="inlineStr">
        <is>
          <t>No</t>
        </is>
      </c>
      <c r="J250" t="inlineStr">
        <is>
          <t>0</t>
        </is>
      </c>
      <c r="K250" t="inlineStr">
        <is>
          <t>Sheehan, William, 1954-</t>
        </is>
      </c>
      <c r="L250" t="inlineStr">
        <is>
          <t>Amherst, N.Y. : Prometheus Books, 2004.</t>
        </is>
      </c>
      <c r="M250" t="inlineStr">
        <is>
          <t>2004</t>
        </is>
      </c>
      <c r="O250" t="inlineStr">
        <is>
          <t>eng</t>
        </is>
      </c>
      <c r="P250" t="inlineStr">
        <is>
          <t>nyu</t>
        </is>
      </c>
      <c r="R250" t="inlineStr">
        <is>
          <t xml:space="preserve">QB </t>
        </is>
      </c>
      <c r="S250" t="n">
        <v>1</v>
      </c>
      <c r="T250" t="n">
        <v>1</v>
      </c>
      <c r="U250" t="inlineStr">
        <is>
          <t>2004-10-16</t>
        </is>
      </c>
      <c r="V250" t="inlineStr">
        <is>
          <t>2004-10-16</t>
        </is>
      </c>
      <c r="W250" t="inlineStr">
        <is>
          <t>2004-10-16</t>
        </is>
      </c>
      <c r="X250" t="inlineStr">
        <is>
          <t>2004-10-16</t>
        </is>
      </c>
      <c r="Y250" t="n">
        <v>391</v>
      </c>
      <c r="Z250" t="n">
        <v>343</v>
      </c>
      <c r="AA250" t="n">
        <v>350</v>
      </c>
      <c r="AB250" t="n">
        <v>4</v>
      </c>
      <c r="AC250" t="n">
        <v>4</v>
      </c>
      <c r="AD250" t="n">
        <v>12</v>
      </c>
      <c r="AE250" t="n">
        <v>12</v>
      </c>
      <c r="AF250" t="n">
        <v>4</v>
      </c>
      <c r="AG250" t="n">
        <v>4</v>
      </c>
      <c r="AH250" t="n">
        <v>3</v>
      </c>
      <c r="AI250" t="n">
        <v>3</v>
      </c>
      <c r="AJ250" t="n">
        <v>6</v>
      </c>
      <c r="AK250" t="n">
        <v>6</v>
      </c>
      <c r="AL250" t="n">
        <v>2</v>
      </c>
      <c r="AM250" t="n">
        <v>2</v>
      </c>
      <c r="AN250" t="n">
        <v>0</v>
      </c>
      <c r="AO250" t="n">
        <v>0</v>
      </c>
      <c r="AP250" t="inlineStr">
        <is>
          <t>No</t>
        </is>
      </c>
      <c r="AQ250" t="inlineStr">
        <is>
          <t>Yes</t>
        </is>
      </c>
      <c r="AR250">
        <f>HYPERLINK("http://catalog.hathitrust.org/Record/004379562","HathiTrust Record")</f>
        <v/>
      </c>
      <c r="AS250">
        <f>HYPERLINK("https://creighton-primo.hosted.exlibrisgroup.com/primo-explore/search?tab=default_tab&amp;search_scope=EVERYTHING&amp;vid=01CRU&amp;lang=en_US&amp;offset=0&amp;query=any,contains,991004393919702656","Catalog Record")</f>
        <v/>
      </c>
      <c r="AT250">
        <f>HYPERLINK("http://www.worldcat.org/oclc/53223573","WorldCat Record")</f>
        <v/>
      </c>
      <c r="AU250" t="inlineStr">
        <is>
          <t>807824:eng</t>
        </is>
      </c>
      <c r="AV250" t="inlineStr">
        <is>
          <t>53223573</t>
        </is>
      </c>
      <c r="AW250" t="inlineStr">
        <is>
          <t>991004393919702656</t>
        </is>
      </c>
      <c r="AX250" t="inlineStr">
        <is>
          <t>991004393919702656</t>
        </is>
      </c>
      <c r="AY250" t="inlineStr">
        <is>
          <t>2263848300002656</t>
        </is>
      </c>
      <c r="AZ250" t="inlineStr">
        <is>
          <t>BOOK</t>
        </is>
      </c>
      <c r="BB250" t="inlineStr">
        <is>
          <t>9781591021759</t>
        </is>
      </c>
      <c r="BC250" t="inlineStr">
        <is>
          <t>32285005004816</t>
        </is>
      </c>
      <c r="BD250" t="inlineStr">
        <is>
          <t>893259674</t>
        </is>
      </c>
    </row>
    <row r="251">
      <c r="A251" t="inlineStr">
        <is>
          <t>No</t>
        </is>
      </c>
      <c r="B251" t="inlineStr">
        <is>
          <t>QB51 .A23</t>
        </is>
      </c>
      <c r="C251" t="inlineStr">
        <is>
          <t>0                      QB 0051000A  23</t>
        </is>
      </c>
      <c r="D251" t="inlineStr">
        <is>
          <t>An oration delivered before the Cincinnati astronomical society, on the occasion of laying the corner stone of an astronomical observatory, on the 10th of November, 1843. By John Quincy Adams.</t>
        </is>
      </c>
      <c r="F251" t="inlineStr">
        <is>
          <t>No</t>
        </is>
      </c>
      <c r="G251" t="inlineStr">
        <is>
          <t>1</t>
        </is>
      </c>
      <c r="H251" t="inlineStr">
        <is>
          <t>No</t>
        </is>
      </c>
      <c r="I251" t="inlineStr">
        <is>
          <t>No</t>
        </is>
      </c>
      <c r="J251" t="inlineStr">
        <is>
          <t>0</t>
        </is>
      </c>
      <c r="K251" t="inlineStr">
        <is>
          <t>Adams, John Quincy, 1767-1848.</t>
        </is>
      </c>
      <c r="L251" t="inlineStr">
        <is>
          <t>Cincinnati, Printed by Shepard &amp; co., 1843.</t>
        </is>
      </c>
      <c r="M251" t="inlineStr">
        <is>
          <t>1843</t>
        </is>
      </c>
      <c r="O251" t="inlineStr">
        <is>
          <t>eng</t>
        </is>
      </c>
      <c r="P251" t="inlineStr">
        <is>
          <t>ohu</t>
        </is>
      </c>
      <c r="R251" t="inlineStr">
        <is>
          <t xml:space="preserve">QB </t>
        </is>
      </c>
      <c r="S251" t="n">
        <v>0</v>
      </c>
      <c r="T251" t="n">
        <v>0</v>
      </c>
      <c r="U251" t="inlineStr">
        <is>
          <t>2001-11-05</t>
        </is>
      </c>
      <c r="V251" t="inlineStr">
        <is>
          <t>2001-11-05</t>
        </is>
      </c>
      <c r="W251" t="inlineStr">
        <is>
          <t>1997-04-29</t>
        </is>
      </c>
      <c r="X251" t="inlineStr">
        <is>
          <t>1997-04-29</t>
        </is>
      </c>
      <c r="Y251" t="n">
        <v>78</v>
      </c>
      <c r="Z251" t="n">
        <v>69</v>
      </c>
      <c r="AA251" t="n">
        <v>193</v>
      </c>
      <c r="AB251" t="n">
        <v>1</v>
      </c>
      <c r="AC251" t="n">
        <v>1</v>
      </c>
      <c r="AD251" t="n">
        <v>2</v>
      </c>
      <c r="AE251" t="n">
        <v>4</v>
      </c>
      <c r="AF251" t="n">
        <v>1</v>
      </c>
      <c r="AG251" t="n">
        <v>1</v>
      </c>
      <c r="AH251" t="n">
        <v>0</v>
      </c>
      <c r="AI251" t="n">
        <v>1</v>
      </c>
      <c r="AJ251" t="n">
        <v>1</v>
      </c>
      <c r="AK251" t="n">
        <v>2</v>
      </c>
      <c r="AL251" t="n">
        <v>0</v>
      </c>
      <c r="AM251" t="n">
        <v>0</v>
      </c>
      <c r="AN251" t="n">
        <v>1</v>
      </c>
      <c r="AO251" t="n">
        <v>1</v>
      </c>
      <c r="AP251" t="inlineStr">
        <is>
          <t>Yes</t>
        </is>
      </c>
      <c r="AQ251" t="inlineStr">
        <is>
          <t>No</t>
        </is>
      </c>
      <c r="AR251">
        <f>HYPERLINK("http://catalog.hathitrust.org/Record/001475985","HathiTrust Record")</f>
        <v/>
      </c>
      <c r="AS251">
        <f>HYPERLINK("https://creighton-primo.hosted.exlibrisgroup.com/primo-explore/search?tab=default_tab&amp;search_scope=EVERYTHING&amp;vid=01CRU&amp;lang=en_US&amp;offset=0&amp;query=any,contains,991003390999702656","Catalog Record")</f>
        <v/>
      </c>
      <c r="AT251">
        <f>HYPERLINK("http://www.worldcat.org/oclc/928858","WorldCat Record")</f>
        <v/>
      </c>
      <c r="AU251" t="inlineStr">
        <is>
          <t>1879156:eng</t>
        </is>
      </c>
      <c r="AV251" t="inlineStr">
        <is>
          <t>928858</t>
        </is>
      </c>
      <c r="AW251" t="inlineStr">
        <is>
          <t>991003390999702656</t>
        </is>
      </c>
      <c r="AX251" t="inlineStr">
        <is>
          <t>991003390999702656</t>
        </is>
      </c>
      <c r="AY251" t="inlineStr">
        <is>
          <t>2268602970002656</t>
        </is>
      </c>
      <c r="AZ251" t="inlineStr">
        <is>
          <t>BOOK</t>
        </is>
      </c>
      <c r="BC251" t="inlineStr">
        <is>
          <t>32285002584406</t>
        </is>
      </c>
      <c r="BD251" t="inlineStr">
        <is>
          <t>893793578</t>
        </is>
      </c>
    </row>
    <row r="252">
      <c r="A252" t="inlineStr">
        <is>
          <t>No</t>
        </is>
      </c>
      <c r="B252" t="inlineStr">
        <is>
          <t>QB51 .A77 1984</t>
        </is>
      </c>
      <c r="C252" t="inlineStr">
        <is>
          <t>0                      QB 0051000A  77          1984</t>
        </is>
      </c>
      <c r="D252" t="inlineStr">
        <is>
          <t>The astronomical scrapbook : skywatchers, pioneers, and seekers in astronomy / by Joseph Ashbrook ; edited by Leif J. Robinson ; introduction by Owen Gingerich.</t>
        </is>
      </c>
      <c r="F252" t="inlineStr">
        <is>
          <t>No</t>
        </is>
      </c>
      <c r="G252" t="inlineStr">
        <is>
          <t>1</t>
        </is>
      </c>
      <c r="H252" t="inlineStr">
        <is>
          <t>No</t>
        </is>
      </c>
      <c r="I252" t="inlineStr">
        <is>
          <t>No</t>
        </is>
      </c>
      <c r="J252" t="inlineStr">
        <is>
          <t>0</t>
        </is>
      </c>
      <c r="K252" t="inlineStr">
        <is>
          <t>Ashbrook, Joseph, 1918-1980.</t>
        </is>
      </c>
      <c r="L252" t="inlineStr">
        <is>
          <t>Cambridge [Cambridgeshire] ; New York : Cambridge University Press ; Cambridge, Mass. : Sky Pub. Corp., 1984.</t>
        </is>
      </c>
      <c r="M252" t="inlineStr">
        <is>
          <t>1984</t>
        </is>
      </c>
      <c r="O252" t="inlineStr">
        <is>
          <t>eng</t>
        </is>
      </c>
      <c r="P252" t="inlineStr">
        <is>
          <t>enk</t>
        </is>
      </c>
      <c r="R252" t="inlineStr">
        <is>
          <t xml:space="preserve">QB </t>
        </is>
      </c>
      <c r="S252" t="n">
        <v>1</v>
      </c>
      <c r="T252" t="n">
        <v>1</v>
      </c>
      <c r="U252" t="inlineStr">
        <is>
          <t>1994-10-21</t>
        </is>
      </c>
      <c r="V252" t="inlineStr">
        <is>
          <t>1994-10-21</t>
        </is>
      </c>
      <c r="W252" t="inlineStr">
        <is>
          <t>1992-11-17</t>
        </is>
      </c>
      <c r="X252" t="inlineStr">
        <is>
          <t>1992-11-17</t>
        </is>
      </c>
      <c r="Y252" t="n">
        <v>418</v>
      </c>
      <c r="Z252" t="n">
        <v>343</v>
      </c>
      <c r="AA252" t="n">
        <v>345</v>
      </c>
      <c r="AB252" t="n">
        <v>3</v>
      </c>
      <c r="AC252" t="n">
        <v>3</v>
      </c>
      <c r="AD252" t="n">
        <v>5</v>
      </c>
      <c r="AE252" t="n">
        <v>5</v>
      </c>
      <c r="AF252" t="n">
        <v>0</v>
      </c>
      <c r="AG252" t="n">
        <v>0</v>
      </c>
      <c r="AH252" t="n">
        <v>0</v>
      </c>
      <c r="AI252" t="n">
        <v>0</v>
      </c>
      <c r="AJ252" t="n">
        <v>4</v>
      </c>
      <c r="AK252" t="n">
        <v>4</v>
      </c>
      <c r="AL252" t="n">
        <v>1</v>
      </c>
      <c r="AM252" t="n">
        <v>1</v>
      </c>
      <c r="AN252" t="n">
        <v>0</v>
      </c>
      <c r="AO252" t="n">
        <v>0</v>
      </c>
      <c r="AP252" t="inlineStr">
        <is>
          <t>No</t>
        </is>
      </c>
      <c r="AQ252" t="inlineStr">
        <is>
          <t>Yes</t>
        </is>
      </c>
      <c r="AR252">
        <f>HYPERLINK("http://catalog.hathitrust.org/Record/000603999","HathiTrust Record")</f>
        <v/>
      </c>
      <c r="AS252">
        <f>HYPERLINK("https://creighton-primo.hosted.exlibrisgroup.com/primo-explore/search?tab=default_tab&amp;search_scope=EVERYTHING&amp;vid=01CRU&amp;lang=en_US&amp;offset=0&amp;query=any,contains,991000551299702656","Catalog Record")</f>
        <v/>
      </c>
      <c r="AT252">
        <f>HYPERLINK("http://www.worldcat.org/oclc/11533367","WorldCat Record")</f>
        <v/>
      </c>
      <c r="AU252" t="inlineStr">
        <is>
          <t>793333176:eng</t>
        </is>
      </c>
      <c r="AV252" t="inlineStr">
        <is>
          <t>11533367</t>
        </is>
      </c>
      <c r="AW252" t="inlineStr">
        <is>
          <t>991000551299702656</t>
        </is>
      </c>
      <c r="AX252" t="inlineStr">
        <is>
          <t>991000551299702656</t>
        </is>
      </c>
      <c r="AY252" t="inlineStr">
        <is>
          <t>2258351110002656</t>
        </is>
      </c>
      <c r="AZ252" t="inlineStr">
        <is>
          <t>BOOK</t>
        </is>
      </c>
      <c r="BB252" t="inlineStr">
        <is>
          <t>9780933346246</t>
        </is>
      </c>
      <c r="BC252" t="inlineStr">
        <is>
          <t>32285001431674</t>
        </is>
      </c>
      <c r="BD252" t="inlineStr">
        <is>
          <t>893778024</t>
        </is>
      </c>
    </row>
    <row r="253">
      <c r="A253" t="inlineStr">
        <is>
          <t>No</t>
        </is>
      </c>
      <c r="B253" t="inlineStr">
        <is>
          <t>QB51 .A78 1979</t>
        </is>
      </c>
      <c r="C253" t="inlineStr">
        <is>
          <t>0                      QB 0051000A  78          1979</t>
        </is>
      </c>
      <c r="D253" t="inlineStr">
        <is>
          <t>Asimov on astronomy / Isaac Asimov.</t>
        </is>
      </c>
      <c r="F253" t="inlineStr">
        <is>
          <t>No</t>
        </is>
      </c>
      <c r="G253" t="inlineStr">
        <is>
          <t>1</t>
        </is>
      </c>
      <c r="H253" t="inlineStr">
        <is>
          <t>No</t>
        </is>
      </c>
      <c r="I253" t="inlineStr">
        <is>
          <t>No</t>
        </is>
      </c>
      <c r="J253" t="inlineStr">
        <is>
          <t>0</t>
        </is>
      </c>
      <c r="K253" t="inlineStr">
        <is>
          <t>Asimov, Isaac, 1920-1992.</t>
        </is>
      </c>
      <c r="L253" t="inlineStr">
        <is>
          <t>New York : Bonanza Books, 1979.</t>
        </is>
      </c>
      <c r="M253" t="inlineStr">
        <is>
          <t>1979</t>
        </is>
      </c>
      <c r="O253" t="inlineStr">
        <is>
          <t>eng</t>
        </is>
      </c>
      <c r="P253" t="inlineStr">
        <is>
          <t>nyu</t>
        </is>
      </c>
      <c r="R253" t="inlineStr">
        <is>
          <t xml:space="preserve">QB </t>
        </is>
      </c>
      <c r="S253" t="n">
        <v>2</v>
      </c>
      <c r="T253" t="n">
        <v>2</v>
      </c>
      <c r="U253" t="inlineStr">
        <is>
          <t>1997-03-06</t>
        </is>
      </c>
      <c r="V253" t="inlineStr">
        <is>
          <t>1997-03-06</t>
        </is>
      </c>
      <c r="W253" t="inlineStr">
        <is>
          <t>1992-11-17</t>
        </is>
      </c>
      <c r="X253" t="inlineStr">
        <is>
          <t>1992-11-17</t>
        </is>
      </c>
      <c r="Y253" t="n">
        <v>265</v>
      </c>
      <c r="Z253" t="n">
        <v>257</v>
      </c>
      <c r="AA253" t="n">
        <v>923</v>
      </c>
      <c r="AB253" t="n">
        <v>4</v>
      </c>
      <c r="AC253" t="n">
        <v>9</v>
      </c>
      <c r="AD253" t="n">
        <v>4</v>
      </c>
      <c r="AE253" t="n">
        <v>16</v>
      </c>
      <c r="AF253" t="n">
        <v>1</v>
      </c>
      <c r="AG253" t="n">
        <v>6</v>
      </c>
      <c r="AH253" t="n">
        <v>0</v>
      </c>
      <c r="AI253" t="n">
        <v>1</v>
      </c>
      <c r="AJ253" t="n">
        <v>2</v>
      </c>
      <c r="AK253" t="n">
        <v>8</v>
      </c>
      <c r="AL253" t="n">
        <v>1</v>
      </c>
      <c r="AM253" t="n">
        <v>5</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HYPERLINK("https://creighton-primo.hosted.exlibrisgroup.com/primo-explore/search?tab=default_tab&amp;search_scope=EVERYTHING&amp;vid=01CRU&amp;lang=en_US&amp;offset=0&amp;query=any,contains,991004777919702656","Catalog Record")</f>
        <v/>
      </c>
      <c r="AT253">
        <f>HYPERLINK("http://www.worldcat.org/oclc/5101723","WorldCat Record")</f>
        <v/>
      </c>
      <c r="AU253" t="inlineStr">
        <is>
          <t>50862796:eng</t>
        </is>
      </c>
      <c r="AV253" t="inlineStr">
        <is>
          <t>5101723</t>
        </is>
      </c>
      <c r="AW253" t="inlineStr">
        <is>
          <t>991004777919702656</t>
        </is>
      </c>
      <c r="AX253" t="inlineStr">
        <is>
          <t>991004777919702656</t>
        </is>
      </c>
      <c r="AY253" t="inlineStr">
        <is>
          <t>2259001440002656</t>
        </is>
      </c>
      <c r="AZ253" t="inlineStr">
        <is>
          <t>BOOK</t>
        </is>
      </c>
      <c r="BB253" t="inlineStr">
        <is>
          <t>9780517279243</t>
        </is>
      </c>
      <c r="BC253" t="inlineStr">
        <is>
          <t>32285001431682</t>
        </is>
      </c>
      <c r="BD253" t="inlineStr">
        <is>
          <t>893895476</t>
        </is>
      </c>
    </row>
    <row r="254">
      <c r="A254" t="inlineStr">
        <is>
          <t>No</t>
        </is>
      </c>
      <c r="B254" t="inlineStr">
        <is>
          <t>QB51 .S67</t>
        </is>
      </c>
      <c r="C254" t="inlineStr">
        <is>
          <t>0                      QB 0051000S  67</t>
        </is>
      </c>
      <c r="D254" t="inlineStr">
        <is>
          <t>A Source book in astronomy and astrophysics, 1900-1975 / edited by Kenneth R. Lang and Owen Gingerich.</t>
        </is>
      </c>
      <c r="F254" t="inlineStr">
        <is>
          <t>No</t>
        </is>
      </c>
      <c r="G254" t="inlineStr">
        <is>
          <t>1</t>
        </is>
      </c>
      <c r="H254" t="inlineStr">
        <is>
          <t>No</t>
        </is>
      </c>
      <c r="I254" t="inlineStr">
        <is>
          <t>No</t>
        </is>
      </c>
      <c r="J254" t="inlineStr">
        <is>
          <t>0</t>
        </is>
      </c>
      <c r="L254" t="inlineStr">
        <is>
          <t>Cambridge, Mass. : Harvard University Press, 1979.</t>
        </is>
      </c>
      <c r="M254" t="inlineStr">
        <is>
          <t>1979</t>
        </is>
      </c>
      <c r="O254" t="inlineStr">
        <is>
          <t>eng</t>
        </is>
      </c>
      <c r="P254" t="inlineStr">
        <is>
          <t>mau</t>
        </is>
      </c>
      <c r="Q254" t="inlineStr">
        <is>
          <t>Source books in the history of the sciences</t>
        </is>
      </c>
      <c r="R254" t="inlineStr">
        <is>
          <t xml:space="preserve">QB </t>
        </is>
      </c>
      <c r="S254" t="n">
        <v>3</v>
      </c>
      <c r="T254" t="n">
        <v>3</v>
      </c>
      <c r="U254" t="inlineStr">
        <is>
          <t>1994-11-13</t>
        </is>
      </c>
      <c r="V254" t="inlineStr">
        <is>
          <t>1994-11-13</t>
        </is>
      </c>
      <c r="W254" t="inlineStr">
        <is>
          <t>1992-11-17</t>
        </is>
      </c>
      <c r="X254" t="inlineStr">
        <is>
          <t>1992-11-17</t>
        </is>
      </c>
      <c r="Y254" t="n">
        <v>563</v>
      </c>
      <c r="Z254" t="n">
        <v>438</v>
      </c>
      <c r="AA254" t="n">
        <v>443</v>
      </c>
      <c r="AB254" t="n">
        <v>4</v>
      </c>
      <c r="AC254" t="n">
        <v>4</v>
      </c>
      <c r="AD254" t="n">
        <v>15</v>
      </c>
      <c r="AE254" t="n">
        <v>15</v>
      </c>
      <c r="AF254" t="n">
        <v>3</v>
      </c>
      <c r="AG254" t="n">
        <v>3</v>
      </c>
      <c r="AH254" t="n">
        <v>5</v>
      </c>
      <c r="AI254" t="n">
        <v>5</v>
      </c>
      <c r="AJ254" t="n">
        <v>7</v>
      </c>
      <c r="AK254" t="n">
        <v>7</v>
      </c>
      <c r="AL254" t="n">
        <v>3</v>
      </c>
      <c r="AM254" t="n">
        <v>3</v>
      </c>
      <c r="AN254" t="n">
        <v>0</v>
      </c>
      <c r="AO254" t="n">
        <v>0</v>
      </c>
      <c r="AP254" t="inlineStr">
        <is>
          <t>No</t>
        </is>
      </c>
      <c r="AQ254" t="inlineStr">
        <is>
          <t>Yes</t>
        </is>
      </c>
      <c r="AR254">
        <f>HYPERLINK("http://catalog.hathitrust.org/Record/000174660","HathiTrust Record")</f>
        <v/>
      </c>
      <c r="AS254">
        <f>HYPERLINK("https://creighton-primo.hosted.exlibrisgroup.com/primo-explore/search?tab=default_tab&amp;search_scope=EVERYTHING&amp;vid=01CRU&amp;lang=en_US&amp;offset=0&amp;query=any,contains,991004550749702656","Catalog Record")</f>
        <v/>
      </c>
      <c r="AT254">
        <f>HYPERLINK("http://www.worldcat.org/oclc/3933662","WorldCat Record")</f>
        <v/>
      </c>
      <c r="AU254" t="inlineStr">
        <is>
          <t>346450595:eng</t>
        </is>
      </c>
      <c r="AV254" t="inlineStr">
        <is>
          <t>3933662</t>
        </is>
      </c>
      <c r="AW254" t="inlineStr">
        <is>
          <t>991004550749702656</t>
        </is>
      </c>
      <c r="AX254" t="inlineStr">
        <is>
          <t>991004550749702656</t>
        </is>
      </c>
      <c r="AY254" t="inlineStr">
        <is>
          <t>2266978390002656</t>
        </is>
      </c>
      <c r="AZ254" t="inlineStr">
        <is>
          <t>BOOK</t>
        </is>
      </c>
      <c r="BB254" t="inlineStr">
        <is>
          <t>9780674822009</t>
        </is>
      </c>
      <c r="BC254" t="inlineStr">
        <is>
          <t>32285001431708</t>
        </is>
      </c>
      <c r="BD254" t="inlineStr">
        <is>
          <t>893442743</t>
        </is>
      </c>
    </row>
    <row r="255">
      <c r="A255" t="inlineStr">
        <is>
          <t>No</t>
        </is>
      </c>
      <c r="B255" t="inlineStr">
        <is>
          <t>QB52 .C685 2003</t>
        </is>
      </c>
      <c r="C255" t="inlineStr">
        <is>
          <t>0                      QB 0052000C  685         2003</t>
        </is>
      </c>
      <c r="D255" t="inlineStr">
        <is>
          <t>The Kepler problem : group theoretical aspects, regularization and quantization, with application to the study of perturbations / Bruno Cordani.</t>
        </is>
      </c>
      <c r="F255" t="inlineStr">
        <is>
          <t>No</t>
        </is>
      </c>
      <c r="G255" t="inlineStr">
        <is>
          <t>1</t>
        </is>
      </c>
      <c r="H255" t="inlineStr">
        <is>
          <t>No</t>
        </is>
      </c>
      <c r="I255" t="inlineStr">
        <is>
          <t>No</t>
        </is>
      </c>
      <c r="J255" t="inlineStr">
        <is>
          <t>0</t>
        </is>
      </c>
      <c r="K255" t="inlineStr">
        <is>
          <t>Cordani, Bruno, 1945-</t>
        </is>
      </c>
      <c r="L255" t="inlineStr">
        <is>
          <t>Basel ; Boston : Birkheauser Verlag, c2003.</t>
        </is>
      </c>
      <c r="M255" t="inlineStr">
        <is>
          <t>2003</t>
        </is>
      </c>
      <c r="O255" t="inlineStr">
        <is>
          <t>eng</t>
        </is>
      </c>
      <c r="P255" t="inlineStr">
        <is>
          <t xml:space="preserve">sz </t>
        </is>
      </c>
      <c r="Q255" t="inlineStr">
        <is>
          <t>Progress in mathematical physics ; v. 29</t>
        </is>
      </c>
      <c r="R255" t="inlineStr">
        <is>
          <t xml:space="preserve">QB </t>
        </is>
      </c>
      <c r="S255" t="n">
        <v>1</v>
      </c>
      <c r="T255" t="n">
        <v>1</v>
      </c>
      <c r="U255" t="inlineStr">
        <is>
          <t>2004-05-19</t>
        </is>
      </c>
      <c r="V255" t="inlineStr">
        <is>
          <t>2004-05-19</t>
        </is>
      </c>
      <c r="W255" t="inlineStr">
        <is>
          <t>2004-05-18</t>
        </is>
      </c>
      <c r="X255" t="inlineStr">
        <is>
          <t>2004-05-18</t>
        </is>
      </c>
      <c r="Y255" t="n">
        <v>161</v>
      </c>
      <c r="Z255" t="n">
        <v>119</v>
      </c>
      <c r="AA255" t="n">
        <v>147</v>
      </c>
      <c r="AB255" t="n">
        <v>3</v>
      </c>
      <c r="AC255" t="n">
        <v>3</v>
      </c>
      <c r="AD255" t="n">
        <v>10</v>
      </c>
      <c r="AE255" t="n">
        <v>12</v>
      </c>
      <c r="AF255" t="n">
        <v>4</v>
      </c>
      <c r="AG255" t="n">
        <v>5</v>
      </c>
      <c r="AH255" t="n">
        <v>2</v>
      </c>
      <c r="AI255" t="n">
        <v>3</v>
      </c>
      <c r="AJ255" t="n">
        <v>6</v>
      </c>
      <c r="AK255" t="n">
        <v>7</v>
      </c>
      <c r="AL255" t="n">
        <v>2</v>
      </c>
      <c r="AM255" t="n">
        <v>2</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HYPERLINK("https://creighton-primo.hosted.exlibrisgroup.com/primo-explore/search?tab=default_tab&amp;search_scope=EVERYTHING&amp;vid=01CRU&amp;lang=en_US&amp;offset=0&amp;query=any,contains,991004251029702656","Catalog Record")</f>
        <v/>
      </c>
      <c r="AT255">
        <f>HYPERLINK("http://www.worldcat.org/oclc/51098161","WorldCat Record")</f>
        <v/>
      </c>
      <c r="AU255" t="inlineStr">
        <is>
          <t>709991:eng</t>
        </is>
      </c>
      <c r="AV255" t="inlineStr">
        <is>
          <t>51098161</t>
        </is>
      </c>
      <c r="AW255" t="inlineStr">
        <is>
          <t>991004251029702656</t>
        </is>
      </c>
      <c r="AX255" t="inlineStr">
        <is>
          <t>991004251029702656</t>
        </is>
      </c>
      <c r="AY255" t="inlineStr">
        <is>
          <t>2270035610002656</t>
        </is>
      </c>
      <c r="AZ255" t="inlineStr">
        <is>
          <t>BOOK</t>
        </is>
      </c>
      <c r="BB255" t="inlineStr">
        <is>
          <t>9780817669027</t>
        </is>
      </c>
      <c r="BC255" t="inlineStr">
        <is>
          <t>32285004950720</t>
        </is>
      </c>
      <c r="BD255" t="inlineStr">
        <is>
          <t>893532187</t>
        </is>
      </c>
    </row>
    <row r="256">
      <c r="A256" t="inlineStr">
        <is>
          <t>No</t>
        </is>
      </c>
      <c r="B256" t="inlineStr">
        <is>
          <t>QB521 .A3</t>
        </is>
      </c>
      <c r="C256" t="inlineStr">
        <is>
          <t>0                      QB 0521000A  3</t>
        </is>
      </c>
      <c r="D256" t="inlineStr">
        <is>
          <t>The sun / by Charles G. Abbot ; with numerous illustrations.</t>
        </is>
      </c>
      <c r="F256" t="inlineStr">
        <is>
          <t>No</t>
        </is>
      </c>
      <c r="G256" t="inlineStr">
        <is>
          <t>1</t>
        </is>
      </c>
      <c r="H256" t="inlineStr">
        <is>
          <t>No</t>
        </is>
      </c>
      <c r="I256" t="inlineStr">
        <is>
          <t>No</t>
        </is>
      </c>
      <c r="J256" t="inlineStr">
        <is>
          <t>0</t>
        </is>
      </c>
      <c r="K256" t="inlineStr">
        <is>
          <t>Abbot, C. G. (Charles Greeley), 1872-1973.</t>
        </is>
      </c>
      <c r="L256" t="inlineStr">
        <is>
          <t>New York ; London : D. Appleton and Company, 1911.</t>
        </is>
      </c>
      <c r="M256" t="inlineStr">
        <is>
          <t>1911</t>
        </is>
      </c>
      <c r="O256" t="inlineStr">
        <is>
          <t>eng</t>
        </is>
      </c>
      <c r="P256" t="inlineStr">
        <is>
          <t>nyu</t>
        </is>
      </c>
      <c r="R256" t="inlineStr">
        <is>
          <t xml:space="preserve">QB </t>
        </is>
      </c>
      <c r="S256" t="n">
        <v>2</v>
      </c>
      <c r="T256" t="n">
        <v>2</v>
      </c>
      <c r="U256" t="inlineStr">
        <is>
          <t>2006-01-20</t>
        </is>
      </c>
      <c r="V256" t="inlineStr">
        <is>
          <t>2006-01-20</t>
        </is>
      </c>
      <c r="W256" t="inlineStr">
        <is>
          <t>1992-01-31</t>
        </is>
      </c>
      <c r="X256" t="inlineStr">
        <is>
          <t>1992-01-31</t>
        </is>
      </c>
      <c r="Y256" t="n">
        <v>110</v>
      </c>
      <c r="Z256" t="n">
        <v>89</v>
      </c>
      <c r="AA256" t="n">
        <v>168</v>
      </c>
      <c r="AB256" t="n">
        <v>2</v>
      </c>
      <c r="AC256" t="n">
        <v>2</v>
      </c>
      <c r="AD256" t="n">
        <v>2</v>
      </c>
      <c r="AE256" t="n">
        <v>4</v>
      </c>
      <c r="AF256" t="n">
        <v>0</v>
      </c>
      <c r="AG256" t="n">
        <v>0</v>
      </c>
      <c r="AH256" t="n">
        <v>0</v>
      </c>
      <c r="AI256" t="n">
        <v>0</v>
      </c>
      <c r="AJ256" t="n">
        <v>1</v>
      </c>
      <c r="AK256" t="n">
        <v>3</v>
      </c>
      <c r="AL256" t="n">
        <v>1</v>
      </c>
      <c r="AM256" t="n">
        <v>1</v>
      </c>
      <c r="AN256" t="n">
        <v>0</v>
      </c>
      <c r="AO256" t="n">
        <v>0</v>
      </c>
      <c r="AP256" t="inlineStr">
        <is>
          <t>Yes</t>
        </is>
      </c>
      <c r="AQ256" t="inlineStr">
        <is>
          <t>No</t>
        </is>
      </c>
      <c r="AR256">
        <f>HYPERLINK("http://catalog.hathitrust.org/Record/000159168","HathiTrust Record")</f>
        <v/>
      </c>
      <c r="AS256">
        <f>HYPERLINK("https://creighton-primo.hosted.exlibrisgroup.com/primo-explore/search?tab=default_tab&amp;search_scope=EVERYTHING&amp;vid=01CRU&amp;lang=en_US&amp;offset=0&amp;query=any,contains,991003854709702656","Catalog Record")</f>
        <v/>
      </c>
      <c r="AT256">
        <f>HYPERLINK("http://www.worldcat.org/oclc/1651890","WorldCat Record")</f>
        <v/>
      </c>
      <c r="AU256" t="inlineStr">
        <is>
          <t>139229793:eng</t>
        </is>
      </c>
      <c r="AV256" t="inlineStr">
        <is>
          <t>1651890</t>
        </is>
      </c>
      <c r="AW256" t="inlineStr">
        <is>
          <t>991003854709702656</t>
        </is>
      </c>
      <c r="AX256" t="inlineStr">
        <is>
          <t>991003854709702656</t>
        </is>
      </c>
      <c r="AY256" t="inlineStr">
        <is>
          <t>2269714370002656</t>
        </is>
      </c>
      <c r="AZ256" t="inlineStr">
        <is>
          <t>BOOK</t>
        </is>
      </c>
      <c r="BC256" t="inlineStr">
        <is>
          <t>32285000931427</t>
        </is>
      </c>
      <c r="BD256" t="inlineStr">
        <is>
          <t>893240673</t>
        </is>
      </c>
    </row>
    <row r="257">
      <c r="A257" t="inlineStr">
        <is>
          <t>No</t>
        </is>
      </c>
      <c r="B257" t="inlineStr">
        <is>
          <t>QB521 .F68 1990</t>
        </is>
      </c>
      <c r="C257" t="inlineStr">
        <is>
          <t>0                      QB 0521000F  68          1990</t>
        </is>
      </c>
      <c r="D257" t="inlineStr">
        <is>
          <t>Solar astrophysics / Peter Foukal.</t>
        </is>
      </c>
      <c r="F257" t="inlineStr">
        <is>
          <t>No</t>
        </is>
      </c>
      <c r="G257" t="inlineStr">
        <is>
          <t>1</t>
        </is>
      </c>
      <c r="H257" t="inlineStr">
        <is>
          <t>No</t>
        </is>
      </c>
      <c r="I257" t="inlineStr">
        <is>
          <t>No</t>
        </is>
      </c>
      <c r="J257" t="inlineStr">
        <is>
          <t>0</t>
        </is>
      </c>
      <c r="K257" t="inlineStr">
        <is>
          <t>Foukal, Peter.</t>
        </is>
      </c>
      <c r="L257" t="inlineStr">
        <is>
          <t>New York : Wiley, c1990.</t>
        </is>
      </c>
      <c r="M257" t="inlineStr">
        <is>
          <t>1990</t>
        </is>
      </c>
      <c r="O257" t="inlineStr">
        <is>
          <t>eng</t>
        </is>
      </c>
      <c r="P257" t="inlineStr">
        <is>
          <t>nyu</t>
        </is>
      </c>
      <c r="R257" t="inlineStr">
        <is>
          <t xml:space="preserve">QB </t>
        </is>
      </c>
      <c r="S257" t="n">
        <v>5</v>
      </c>
      <c r="T257" t="n">
        <v>5</v>
      </c>
      <c r="U257" t="inlineStr">
        <is>
          <t>1995-10-02</t>
        </is>
      </c>
      <c r="V257" t="inlineStr">
        <is>
          <t>1995-10-02</t>
        </is>
      </c>
      <c r="W257" t="inlineStr">
        <is>
          <t>1991-06-24</t>
        </is>
      </c>
      <c r="X257" t="inlineStr">
        <is>
          <t>1991-06-24</t>
        </is>
      </c>
      <c r="Y257" t="n">
        <v>301</v>
      </c>
      <c r="Z257" t="n">
        <v>213</v>
      </c>
      <c r="AA257" t="n">
        <v>353</v>
      </c>
      <c r="AB257" t="n">
        <v>2</v>
      </c>
      <c r="AC257" t="n">
        <v>3</v>
      </c>
      <c r="AD257" t="n">
        <v>8</v>
      </c>
      <c r="AE257" t="n">
        <v>13</v>
      </c>
      <c r="AF257" t="n">
        <v>1</v>
      </c>
      <c r="AG257" t="n">
        <v>2</v>
      </c>
      <c r="AH257" t="n">
        <v>4</v>
      </c>
      <c r="AI257" t="n">
        <v>4</v>
      </c>
      <c r="AJ257" t="n">
        <v>3</v>
      </c>
      <c r="AK257" t="n">
        <v>6</v>
      </c>
      <c r="AL257" t="n">
        <v>1</v>
      </c>
      <c r="AM257" t="n">
        <v>2</v>
      </c>
      <c r="AN257" t="n">
        <v>0</v>
      </c>
      <c r="AO257" t="n">
        <v>0</v>
      </c>
      <c r="AP257" t="inlineStr">
        <is>
          <t>No</t>
        </is>
      </c>
      <c r="AQ257" t="inlineStr">
        <is>
          <t>Yes</t>
        </is>
      </c>
      <c r="AR257">
        <f>HYPERLINK("http://catalog.hathitrust.org/Record/002165345","HathiTrust Record")</f>
        <v/>
      </c>
      <c r="AS257">
        <f>HYPERLINK("https://creighton-primo.hosted.exlibrisgroup.com/primo-explore/search?tab=default_tab&amp;search_scope=EVERYTHING&amp;vid=01CRU&amp;lang=en_US&amp;offset=0&amp;query=any,contains,991001475499702656","Catalog Record")</f>
        <v/>
      </c>
      <c r="AT257">
        <f>HYPERLINK("http://www.worldcat.org/oclc/19556312","WorldCat Record")</f>
        <v/>
      </c>
      <c r="AU257" t="inlineStr">
        <is>
          <t>831991:eng</t>
        </is>
      </c>
      <c r="AV257" t="inlineStr">
        <is>
          <t>19556312</t>
        </is>
      </c>
      <c r="AW257" t="inlineStr">
        <is>
          <t>991001475499702656</t>
        </is>
      </c>
      <c r="AX257" t="inlineStr">
        <is>
          <t>991001475499702656</t>
        </is>
      </c>
      <c r="AY257" t="inlineStr">
        <is>
          <t>2271052600002656</t>
        </is>
      </c>
      <c r="AZ257" t="inlineStr">
        <is>
          <t>BOOK</t>
        </is>
      </c>
      <c r="BB257" t="inlineStr">
        <is>
          <t>9780471839354</t>
        </is>
      </c>
      <c r="BC257" t="inlineStr">
        <is>
          <t>32285000658608</t>
        </is>
      </c>
      <c r="BD257" t="inlineStr">
        <is>
          <t>893803635</t>
        </is>
      </c>
    </row>
    <row r="258">
      <c r="A258" t="inlineStr">
        <is>
          <t>No</t>
        </is>
      </c>
      <c r="B258" t="inlineStr">
        <is>
          <t>QB521 .F73</t>
        </is>
      </c>
      <c r="C258" t="inlineStr">
        <is>
          <t>0                      QB 0521000F  73</t>
        </is>
      </c>
      <c r="D258" t="inlineStr">
        <is>
          <t>Our turbulent sun / Kendrick Frazier.</t>
        </is>
      </c>
      <c r="F258" t="inlineStr">
        <is>
          <t>No</t>
        </is>
      </c>
      <c r="G258" t="inlineStr">
        <is>
          <t>1</t>
        </is>
      </c>
      <c r="H258" t="inlineStr">
        <is>
          <t>No</t>
        </is>
      </c>
      <c r="I258" t="inlineStr">
        <is>
          <t>No</t>
        </is>
      </c>
      <c r="J258" t="inlineStr">
        <is>
          <t>0</t>
        </is>
      </c>
      <c r="K258" t="inlineStr">
        <is>
          <t>Frazier, Kendrick.</t>
        </is>
      </c>
      <c r="L258" t="inlineStr">
        <is>
          <t>Englewood Cliffs, N.J. : Prentice-Hall, c1982.</t>
        </is>
      </c>
      <c r="M258" t="inlineStr">
        <is>
          <t>1982</t>
        </is>
      </c>
      <c r="O258" t="inlineStr">
        <is>
          <t>eng</t>
        </is>
      </c>
      <c r="P258" t="inlineStr">
        <is>
          <t>nju</t>
        </is>
      </c>
      <c r="R258" t="inlineStr">
        <is>
          <t xml:space="preserve">QB </t>
        </is>
      </c>
      <c r="S258" t="n">
        <v>4</v>
      </c>
      <c r="T258" t="n">
        <v>4</v>
      </c>
      <c r="U258" t="inlineStr">
        <is>
          <t>1995-12-09</t>
        </is>
      </c>
      <c r="V258" t="inlineStr">
        <is>
          <t>1995-12-09</t>
        </is>
      </c>
      <c r="W258" t="inlineStr">
        <is>
          <t>1992-11-19</t>
        </is>
      </c>
      <c r="X258" t="inlineStr">
        <is>
          <t>1992-11-19</t>
        </is>
      </c>
      <c r="Y258" t="n">
        <v>499</v>
      </c>
      <c r="Z258" t="n">
        <v>467</v>
      </c>
      <c r="AA258" t="n">
        <v>475</v>
      </c>
      <c r="AB258" t="n">
        <v>3</v>
      </c>
      <c r="AC258" t="n">
        <v>3</v>
      </c>
      <c r="AD258" t="n">
        <v>4</v>
      </c>
      <c r="AE258" t="n">
        <v>4</v>
      </c>
      <c r="AF258" t="n">
        <v>1</v>
      </c>
      <c r="AG258" t="n">
        <v>1</v>
      </c>
      <c r="AH258" t="n">
        <v>1</v>
      </c>
      <c r="AI258" t="n">
        <v>1</v>
      </c>
      <c r="AJ258" t="n">
        <v>2</v>
      </c>
      <c r="AK258" t="n">
        <v>2</v>
      </c>
      <c r="AL258" t="n">
        <v>1</v>
      </c>
      <c r="AM258" t="n">
        <v>1</v>
      </c>
      <c r="AN258" t="n">
        <v>0</v>
      </c>
      <c r="AO258" t="n">
        <v>0</v>
      </c>
      <c r="AP258" t="inlineStr">
        <is>
          <t>No</t>
        </is>
      </c>
      <c r="AQ258" t="inlineStr">
        <is>
          <t>Yes</t>
        </is>
      </c>
      <c r="AR258">
        <f>HYPERLINK("http://catalog.hathitrust.org/Record/000145422","HathiTrust Record")</f>
        <v/>
      </c>
      <c r="AS258">
        <f>HYPERLINK("https://creighton-primo.hosted.exlibrisgroup.com/primo-explore/search?tab=default_tab&amp;search_scope=EVERYTHING&amp;vid=01CRU&amp;lang=en_US&amp;offset=0&amp;query=any,contains,991005117149702656","Catalog Record")</f>
        <v/>
      </c>
      <c r="AT258">
        <f>HYPERLINK("http://www.worldcat.org/oclc/7463959","WorldCat Record")</f>
        <v/>
      </c>
      <c r="AU258" t="inlineStr">
        <is>
          <t>27382319:eng</t>
        </is>
      </c>
      <c r="AV258" t="inlineStr">
        <is>
          <t>7463959</t>
        </is>
      </c>
      <c r="AW258" t="inlineStr">
        <is>
          <t>991005117149702656</t>
        </is>
      </c>
      <c r="AX258" t="inlineStr">
        <is>
          <t>991005117149702656</t>
        </is>
      </c>
      <c r="AY258" t="inlineStr">
        <is>
          <t>2264081990002656</t>
        </is>
      </c>
      <c r="AZ258" t="inlineStr">
        <is>
          <t>BOOK</t>
        </is>
      </c>
      <c r="BB258" t="inlineStr">
        <is>
          <t>9780136444923</t>
        </is>
      </c>
      <c r="BC258" t="inlineStr">
        <is>
          <t>32285001433357</t>
        </is>
      </c>
      <c r="BD258" t="inlineStr">
        <is>
          <t>893902137</t>
        </is>
      </c>
    </row>
    <row r="259">
      <c r="A259" t="inlineStr">
        <is>
          <t>No</t>
        </is>
      </c>
      <c r="B259" t="inlineStr">
        <is>
          <t>QB521 .G26</t>
        </is>
      </c>
      <c r="C259" t="inlineStr">
        <is>
          <t>0                      QB 0521000G  26</t>
        </is>
      </c>
      <c r="D259" t="inlineStr">
        <is>
          <t>A star called the sun.</t>
        </is>
      </c>
      <c r="F259" t="inlineStr">
        <is>
          <t>No</t>
        </is>
      </c>
      <c r="G259" t="inlineStr">
        <is>
          <t>1</t>
        </is>
      </c>
      <c r="H259" t="inlineStr">
        <is>
          <t>No</t>
        </is>
      </c>
      <c r="I259" t="inlineStr">
        <is>
          <t>No</t>
        </is>
      </c>
      <c r="J259" t="inlineStr">
        <is>
          <t>0</t>
        </is>
      </c>
      <c r="K259" t="inlineStr">
        <is>
          <t>Gamow, George, 1904-1968.</t>
        </is>
      </c>
      <c r="L259" t="inlineStr">
        <is>
          <t>New York : Viking Press, [1964]</t>
        </is>
      </c>
      <c r="M259" t="inlineStr">
        <is>
          <t>1964</t>
        </is>
      </c>
      <c r="O259" t="inlineStr">
        <is>
          <t>eng</t>
        </is>
      </c>
      <c r="P259" t="inlineStr">
        <is>
          <t>nyu</t>
        </is>
      </c>
      <c r="R259" t="inlineStr">
        <is>
          <t xml:space="preserve">QB </t>
        </is>
      </c>
      <c r="S259" t="n">
        <v>3</v>
      </c>
      <c r="T259" t="n">
        <v>3</v>
      </c>
      <c r="U259" t="inlineStr">
        <is>
          <t>1995-04-07</t>
        </is>
      </c>
      <c r="V259" t="inlineStr">
        <is>
          <t>1995-04-07</t>
        </is>
      </c>
      <c r="W259" t="inlineStr">
        <is>
          <t>1992-07-14</t>
        </is>
      </c>
      <c r="X259" t="inlineStr">
        <is>
          <t>1992-07-14</t>
        </is>
      </c>
      <c r="Y259" t="n">
        <v>878</v>
      </c>
      <c r="Z259" t="n">
        <v>826</v>
      </c>
      <c r="AA259" t="n">
        <v>859</v>
      </c>
      <c r="AB259" t="n">
        <v>8</v>
      </c>
      <c r="AC259" t="n">
        <v>8</v>
      </c>
      <c r="AD259" t="n">
        <v>19</v>
      </c>
      <c r="AE259" t="n">
        <v>20</v>
      </c>
      <c r="AF259" t="n">
        <v>6</v>
      </c>
      <c r="AG259" t="n">
        <v>6</v>
      </c>
      <c r="AH259" t="n">
        <v>3</v>
      </c>
      <c r="AI259" t="n">
        <v>3</v>
      </c>
      <c r="AJ259" t="n">
        <v>9</v>
      </c>
      <c r="AK259" t="n">
        <v>10</v>
      </c>
      <c r="AL259" t="n">
        <v>5</v>
      </c>
      <c r="AM259" t="n">
        <v>5</v>
      </c>
      <c r="AN259" t="n">
        <v>0</v>
      </c>
      <c r="AO259" t="n">
        <v>0</v>
      </c>
      <c r="AP259" t="inlineStr">
        <is>
          <t>No</t>
        </is>
      </c>
      <c r="AQ259" t="inlineStr">
        <is>
          <t>Yes</t>
        </is>
      </c>
      <c r="AR259">
        <f>HYPERLINK("http://catalog.hathitrust.org/Record/001476788","HathiTrust Record")</f>
        <v/>
      </c>
      <c r="AS259">
        <f>HYPERLINK("https://creighton-primo.hosted.exlibrisgroup.com/primo-explore/search?tab=default_tab&amp;search_scope=EVERYTHING&amp;vid=01CRU&amp;lang=en_US&amp;offset=0&amp;query=any,contains,991002929389702656","Catalog Record")</f>
        <v/>
      </c>
      <c r="AT259">
        <f>HYPERLINK("http://www.worldcat.org/oclc/530403","WorldCat Record")</f>
        <v/>
      </c>
      <c r="AU259" t="inlineStr">
        <is>
          <t>139144252:eng</t>
        </is>
      </c>
      <c r="AV259" t="inlineStr">
        <is>
          <t>530403</t>
        </is>
      </c>
      <c r="AW259" t="inlineStr">
        <is>
          <t>991002929389702656</t>
        </is>
      </c>
      <c r="AX259" t="inlineStr">
        <is>
          <t>991002929389702656</t>
        </is>
      </c>
      <c r="AY259" t="inlineStr">
        <is>
          <t>2266482670002656</t>
        </is>
      </c>
      <c r="AZ259" t="inlineStr">
        <is>
          <t>BOOK</t>
        </is>
      </c>
      <c r="BC259" t="inlineStr">
        <is>
          <t>32285001151587</t>
        </is>
      </c>
      <c r="BD259" t="inlineStr">
        <is>
          <t>893524215</t>
        </is>
      </c>
    </row>
    <row r="260">
      <c r="A260" t="inlineStr">
        <is>
          <t>No</t>
        </is>
      </c>
      <c r="B260" t="inlineStr">
        <is>
          <t>QB521 .H93 1991</t>
        </is>
      </c>
      <c r="C260" t="inlineStr">
        <is>
          <t>0                      QB 0521000H  93          1991</t>
        </is>
      </c>
      <c r="D260" t="inlineStr">
        <is>
          <t>Exploring the sun : solar science since Galileo / Karl Hufbauer.</t>
        </is>
      </c>
      <c r="F260" t="inlineStr">
        <is>
          <t>No</t>
        </is>
      </c>
      <c r="G260" t="inlineStr">
        <is>
          <t>1</t>
        </is>
      </c>
      <c r="H260" t="inlineStr">
        <is>
          <t>No</t>
        </is>
      </c>
      <c r="I260" t="inlineStr">
        <is>
          <t>No</t>
        </is>
      </c>
      <c r="J260" t="inlineStr">
        <is>
          <t>0</t>
        </is>
      </c>
      <c r="K260" t="inlineStr">
        <is>
          <t>Hufbauer, Karl.</t>
        </is>
      </c>
      <c r="L260" t="inlineStr">
        <is>
          <t>Baltimore : Johns Hopkins University Press, c1991.</t>
        </is>
      </c>
      <c r="M260" t="inlineStr">
        <is>
          <t>1991</t>
        </is>
      </c>
      <c r="O260" t="inlineStr">
        <is>
          <t>eng</t>
        </is>
      </c>
      <c r="P260" t="inlineStr">
        <is>
          <t>mdu</t>
        </is>
      </c>
      <c r="Q260" t="inlineStr">
        <is>
          <t>New series in NASA history</t>
        </is>
      </c>
      <c r="R260" t="inlineStr">
        <is>
          <t xml:space="preserve">QB </t>
        </is>
      </c>
      <c r="S260" t="n">
        <v>7</v>
      </c>
      <c r="T260" t="n">
        <v>7</v>
      </c>
      <c r="U260" t="inlineStr">
        <is>
          <t>1996-11-11</t>
        </is>
      </c>
      <c r="V260" t="inlineStr">
        <is>
          <t>1996-11-11</t>
        </is>
      </c>
      <c r="W260" t="inlineStr">
        <is>
          <t>1992-09-05</t>
        </is>
      </c>
      <c r="X260" t="inlineStr">
        <is>
          <t>1992-09-05</t>
        </is>
      </c>
      <c r="Y260" t="n">
        <v>608</v>
      </c>
      <c r="Z260" t="n">
        <v>524</v>
      </c>
      <c r="AA260" t="n">
        <v>547</v>
      </c>
      <c r="AB260" t="n">
        <v>6</v>
      </c>
      <c r="AC260" t="n">
        <v>6</v>
      </c>
      <c r="AD260" t="n">
        <v>23</v>
      </c>
      <c r="AE260" t="n">
        <v>23</v>
      </c>
      <c r="AF260" t="n">
        <v>10</v>
      </c>
      <c r="AG260" t="n">
        <v>10</v>
      </c>
      <c r="AH260" t="n">
        <v>4</v>
      </c>
      <c r="AI260" t="n">
        <v>4</v>
      </c>
      <c r="AJ260" t="n">
        <v>9</v>
      </c>
      <c r="AK260" t="n">
        <v>9</v>
      </c>
      <c r="AL260" t="n">
        <v>5</v>
      </c>
      <c r="AM260" t="n">
        <v>5</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HYPERLINK("https://creighton-primo.hosted.exlibrisgroup.com/primo-explore/search?tab=default_tab&amp;search_scope=EVERYTHING&amp;vid=01CRU&amp;lang=en_US&amp;offset=0&amp;query=any,contains,991001755019702656","Catalog Record")</f>
        <v/>
      </c>
      <c r="AT260">
        <f>HYPERLINK("http://www.worldcat.org/oclc/22207724","WorldCat Record")</f>
        <v/>
      </c>
      <c r="AU260" t="inlineStr">
        <is>
          <t>836726188:eng</t>
        </is>
      </c>
      <c r="AV260" t="inlineStr">
        <is>
          <t>22207724</t>
        </is>
      </c>
      <c r="AW260" t="inlineStr">
        <is>
          <t>991001755019702656</t>
        </is>
      </c>
      <c r="AX260" t="inlineStr">
        <is>
          <t>991001755019702656</t>
        </is>
      </c>
      <c r="AY260" t="inlineStr">
        <is>
          <t>2256433300002656</t>
        </is>
      </c>
      <c r="AZ260" t="inlineStr">
        <is>
          <t>BOOK</t>
        </is>
      </c>
      <c r="BB260" t="inlineStr">
        <is>
          <t>9780801840982</t>
        </is>
      </c>
      <c r="BC260" t="inlineStr">
        <is>
          <t>32285001286359</t>
        </is>
      </c>
      <c r="BD260" t="inlineStr">
        <is>
          <t>893408327</t>
        </is>
      </c>
    </row>
    <row r="261">
      <c r="A261" t="inlineStr">
        <is>
          <t>No</t>
        </is>
      </c>
      <c r="B261" t="inlineStr">
        <is>
          <t>QB521 .K613</t>
        </is>
      </c>
      <c r="C261" t="inlineStr">
        <is>
          <t>0                      QB 0521000K  613</t>
        </is>
      </c>
      <c r="D261" t="inlineStr">
        <is>
          <t>The sun / [translated by A. J. Pomerans]</t>
        </is>
      </c>
      <c r="F261" t="inlineStr">
        <is>
          <t>No</t>
        </is>
      </c>
      <c r="G261" t="inlineStr">
        <is>
          <t>1</t>
        </is>
      </c>
      <c r="H261" t="inlineStr">
        <is>
          <t>No</t>
        </is>
      </c>
      <c r="I261" t="inlineStr">
        <is>
          <t>No</t>
        </is>
      </c>
      <c r="J261" t="inlineStr">
        <is>
          <t>0</t>
        </is>
      </c>
      <c r="K261" t="inlineStr">
        <is>
          <t>Kiepenheuer, K. O. (Karl Otto)</t>
        </is>
      </c>
      <c r="L261" t="inlineStr">
        <is>
          <t>Ann Arbor : University of Michigan Press, [1959]</t>
        </is>
      </c>
      <c r="M261" t="inlineStr">
        <is>
          <t>1959</t>
        </is>
      </c>
      <c r="O261" t="inlineStr">
        <is>
          <t>eng</t>
        </is>
      </c>
      <c r="P261" t="inlineStr">
        <is>
          <t>miu</t>
        </is>
      </c>
      <c r="Q261" t="inlineStr">
        <is>
          <t>Ann Arbor science library</t>
        </is>
      </c>
      <c r="R261" t="inlineStr">
        <is>
          <t xml:space="preserve">QB </t>
        </is>
      </c>
      <c r="S261" t="n">
        <v>3</v>
      </c>
      <c r="T261" t="n">
        <v>3</v>
      </c>
      <c r="U261" t="inlineStr">
        <is>
          <t>1995-04-07</t>
        </is>
      </c>
      <c r="V261" t="inlineStr">
        <is>
          <t>1995-04-07</t>
        </is>
      </c>
      <c r="W261" t="inlineStr">
        <is>
          <t>1991-12-05</t>
        </is>
      </c>
      <c r="X261" t="inlineStr">
        <is>
          <t>1991-12-05</t>
        </is>
      </c>
      <c r="Y261" t="n">
        <v>480</v>
      </c>
      <c r="Z261" t="n">
        <v>437</v>
      </c>
      <c r="AA261" t="n">
        <v>446</v>
      </c>
      <c r="AB261" t="n">
        <v>2</v>
      </c>
      <c r="AC261" t="n">
        <v>2</v>
      </c>
      <c r="AD261" t="n">
        <v>11</v>
      </c>
      <c r="AE261" t="n">
        <v>11</v>
      </c>
      <c r="AF261" t="n">
        <v>5</v>
      </c>
      <c r="AG261" t="n">
        <v>5</v>
      </c>
      <c r="AH261" t="n">
        <v>2</v>
      </c>
      <c r="AI261" t="n">
        <v>2</v>
      </c>
      <c r="AJ261" t="n">
        <v>7</v>
      </c>
      <c r="AK261" t="n">
        <v>7</v>
      </c>
      <c r="AL261" t="n">
        <v>1</v>
      </c>
      <c r="AM261" t="n">
        <v>1</v>
      </c>
      <c r="AN261" t="n">
        <v>0</v>
      </c>
      <c r="AO261" t="n">
        <v>0</v>
      </c>
      <c r="AP261" t="inlineStr">
        <is>
          <t>No</t>
        </is>
      </c>
      <c r="AQ261" t="inlineStr">
        <is>
          <t>Yes</t>
        </is>
      </c>
      <c r="AR261">
        <f>HYPERLINK("http://catalog.hathitrust.org/Record/001476794","HathiTrust Record")</f>
        <v/>
      </c>
      <c r="AS261">
        <f>HYPERLINK("https://creighton-primo.hosted.exlibrisgroup.com/primo-explore/search?tab=default_tab&amp;search_scope=EVERYTHING&amp;vid=01CRU&amp;lang=en_US&amp;offset=0&amp;query=any,contains,991002966289702656","Catalog Record")</f>
        <v/>
      </c>
      <c r="AT261">
        <f>HYPERLINK("http://www.worldcat.org/oclc/546064","WorldCat Record")</f>
        <v/>
      </c>
      <c r="AU261" t="inlineStr">
        <is>
          <t>1578366:eng</t>
        </is>
      </c>
      <c r="AV261" t="inlineStr">
        <is>
          <t>546064</t>
        </is>
      </c>
      <c r="AW261" t="inlineStr">
        <is>
          <t>991002966289702656</t>
        </is>
      </c>
      <c r="AX261" t="inlineStr">
        <is>
          <t>991002966289702656</t>
        </is>
      </c>
      <c r="AY261" t="inlineStr">
        <is>
          <t>2264871120002656</t>
        </is>
      </c>
      <c r="AZ261" t="inlineStr">
        <is>
          <t>BOOK</t>
        </is>
      </c>
      <c r="BC261" t="inlineStr">
        <is>
          <t>32285000844471</t>
        </is>
      </c>
      <c r="BD261" t="inlineStr">
        <is>
          <t>893415864</t>
        </is>
      </c>
    </row>
    <row r="262">
      <c r="A262" t="inlineStr">
        <is>
          <t>No</t>
        </is>
      </c>
      <c r="B262" t="inlineStr">
        <is>
          <t>QB521 .M4 1959</t>
        </is>
      </c>
      <c r="C262" t="inlineStr">
        <is>
          <t>0                      QB 0521000M  4           1959</t>
        </is>
      </c>
      <c r="D262" t="inlineStr">
        <is>
          <t>Our sun.</t>
        </is>
      </c>
      <c r="F262" t="inlineStr">
        <is>
          <t>No</t>
        </is>
      </c>
      <c r="G262" t="inlineStr">
        <is>
          <t>1</t>
        </is>
      </c>
      <c r="H262" t="inlineStr">
        <is>
          <t>No</t>
        </is>
      </c>
      <c r="I262" t="inlineStr">
        <is>
          <t>No</t>
        </is>
      </c>
      <c r="J262" t="inlineStr">
        <is>
          <t>0</t>
        </is>
      </c>
      <c r="K262" t="inlineStr">
        <is>
          <t>Menzel, Donald H. (Donald Howard), 1901-1976.</t>
        </is>
      </c>
      <c r="L262" t="inlineStr">
        <is>
          <t>Cambridge, Harvard University Press, 1959.</t>
        </is>
      </c>
      <c r="M262" t="inlineStr">
        <is>
          <t>1959</t>
        </is>
      </c>
      <c r="N262" t="inlineStr">
        <is>
          <t>Rev. ed.</t>
        </is>
      </c>
      <c r="O262" t="inlineStr">
        <is>
          <t>eng</t>
        </is>
      </c>
      <c r="P262" t="inlineStr">
        <is>
          <t>mau</t>
        </is>
      </c>
      <c r="Q262" t="inlineStr">
        <is>
          <t>The Harvard books on astronomy</t>
        </is>
      </c>
      <c r="R262" t="inlineStr">
        <is>
          <t xml:space="preserve">QB </t>
        </is>
      </c>
      <c r="S262" t="n">
        <v>4</v>
      </c>
      <c r="T262" t="n">
        <v>4</v>
      </c>
      <c r="U262" t="inlineStr">
        <is>
          <t>2000-03-14</t>
        </is>
      </c>
      <c r="V262" t="inlineStr">
        <is>
          <t>2000-03-14</t>
        </is>
      </c>
      <c r="W262" t="inlineStr">
        <is>
          <t>1991-12-17</t>
        </is>
      </c>
      <c r="X262" t="inlineStr">
        <is>
          <t>1991-12-17</t>
        </is>
      </c>
      <c r="Y262" t="n">
        <v>600</v>
      </c>
      <c r="Z262" t="n">
        <v>517</v>
      </c>
      <c r="AA262" t="n">
        <v>669</v>
      </c>
      <c r="AB262" t="n">
        <v>5</v>
      </c>
      <c r="AC262" t="n">
        <v>5</v>
      </c>
      <c r="AD262" t="n">
        <v>18</v>
      </c>
      <c r="AE262" t="n">
        <v>22</v>
      </c>
      <c r="AF262" t="n">
        <v>7</v>
      </c>
      <c r="AG262" t="n">
        <v>10</v>
      </c>
      <c r="AH262" t="n">
        <v>4</v>
      </c>
      <c r="AI262" t="n">
        <v>4</v>
      </c>
      <c r="AJ262" t="n">
        <v>8</v>
      </c>
      <c r="AK262" t="n">
        <v>10</v>
      </c>
      <c r="AL262" t="n">
        <v>4</v>
      </c>
      <c r="AM262" t="n">
        <v>4</v>
      </c>
      <c r="AN262" t="n">
        <v>0</v>
      </c>
      <c r="AO262" t="n">
        <v>0</v>
      </c>
      <c r="AP262" t="inlineStr">
        <is>
          <t>No</t>
        </is>
      </c>
      <c r="AQ262" t="inlineStr">
        <is>
          <t>Yes</t>
        </is>
      </c>
      <c r="AR262">
        <f>HYPERLINK("http://catalog.hathitrust.org/Record/001483961","HathiTrust Record")</f>
        <v/>
      </c>
      <c r="AS262">
        <f>HYPERLINK("https://creighton-primo.hosted.exlibrisgroup.com/primo-explore/search?tab=default_tab&amp;search_scope=EVERYTHING&amp;vid=01CRU&amp;lang=en_US&amp;offset=0&amp;query=any,contains,991003370159702656","Catalog Record")</f>
        <v/>
      </c>
      <c r="AT262">
        <f>HYPERLINK("http://www.worldcat.org/oclc/905905","WorldCat Record")</f>
        <v/>
      </c>
      <c r="AU262" t="inlineStr">
        <is>
          <t>218595135:eng</t>
        </is>
      </c>
      <c r="AV262" t="inlineStr">
        <is>
          <t>905905</t>
        </is>
      </c>
      <c r="AW262" t="inlineStr">
        <is>
          <t>991003370159702656</t>
        </is>
      </c>
      <c r="AX262" t="inlineStr">
        <is>
          <t>991003370159702656</t>
        </is>
      </c>
      <c r="AY262" t="inlineStr">
        <is>
          <t>2264168430002656</t>
        </is>
      </c>
      <c r="AZ262" t="inlineStr">
        <is>
          <t>BOOK</t>
        </is>
      </c>
      <c r="BC262" t="inlineStr">
        <is>
          <t>32285000901628</t>
        </is>
      </c>
      <c r="BD262" t="inlineStr">
        <is>
          <t>893336435</t>
        </is>
      </c>
    </row>
    <row r="263">
      <c r="A263" t="inlineStr">
        <is>
          <t>No</t>
        </is>
      </c>
      <c r="B263" t="inlineStr">
        <is>
          <t>QB521 .N68 1982</t>
        </is>
      </c>
      <c r="C263" t="inlineStr">
        <is>
          <t>0                      QB 0521000N  68          1982</t>
        </is>
      </c>
      <c r="D263" t="inlineStr">
        <is>
          <t>The Sun, our star / Robert W. Noyes.</t>
        </is>
      </c>
      <c r="F263" t="inlineStr">
        <is>
          <t>No</t>
        </is>
      </c>
      <c r="G263" t="inlineStr">
        <is>
          <t>1</t>
        </is>
      </c>
      <c r="H263" t="inlineStr">
        <is>
          <t>No</t>
        </is>
      </c>
      <c r="I263" t="inlineStr">
        <is>
          <t>No</t>
        </is>
      </c>
      <c r="J263" t="inlineStr">
        <is>
          <t>0</t>
        </is>
      </c>
      <c r="K263" t="inlineStr">
        <is>
          <t>Noyes, Robert W., 1934-</t>
        </is>
      </c>
      <c r="L263" t="inlineStr">
        <is>
          <t>Cambridge, Mass. : Harvard University Press, 1982.</t>
        </is>
      </c>
      <c r="M263" t="inlineStr">
        <is>
          <t>1982</t>
        </is>
      </c>
      <c r="O263" t="inlineStr">
        <is>
          <t>eng</t>
        </is>
      </c>
      <c r="P263" t="inlineStr">
        <is>
          <t>mau</t>
        </is>
      </c>
      <c r="Q263" t="inlineStr">
        <is>
          <t>The Harvard books on astronomy</t>
        </is>
      </c>
      <c r="R263" t="inlineStr">
        <is>
          <t xml:space="preserve">QB </t>
        </is>
      </c>
      <c r="S263" t="n">
        <v>2</v>
      </c>
      <c r="T263" t="n">
        <v>2</v>
      </c>
      <c r="U263" t="inlineStr">
        <is>
          <t>1992-06-30</t>
        </is>
      </c>
      <c r="V263" t="inlineStr">
        <is>
          <t>1992-06-30</t>
        </is>
      </c>
      <c r="W263" t="inlineStr">
        <is>
          <t>1992-01-30</t>
        </is>
      </c>
      <c r="X263" t="inlineStr">
        <is>
          <t>1992-01-30</t>
        </is>
      </c>
      <c r="Y263" t="n">
        <v>964</v>
      </c>
      <c r="Z263" t="n">
        <v>855</v>
      </c>
      <c r="AA263" t="n">
        <v>863</v>
      </c>
      <c r="AB263" t="n">
        <v>5</v>
      </c>
      <c r="AC263" t="n">
        <v>5</v>
      </c>
      <c r="AD263" t="n">
        <v>30</v>
      </c>
      <c r="AE263" t="n">
        <v>30</v>
      </c>
      <c r="AF263" t="n">
        <v>10</v>
      </c>
      <c r="AG263" t="n">
        <v>10</v>
      </c>
      <c r="AH263" t="n">
        <v>7</v>
      </c>
      <c r="AI263" t="n">
        <v>7</v>
      </c>
      <c r="AJ263" t="n">
        <v>14</v>
      </c>
      <c r="AK263" t="n">
        <v>14</v>
      </c>
      <c r="AL263" t="n">
        <v>4</v>
      </c>
      <c r="AM263" t="n">
        <v>4</v>
      </c>
      <c r="AN263" t="n">
        <v>0</v>
      </c>
      <c r="AO263" t="n">
        <v>0</v>
      </c>
      <c r="AP263" t="inlineStr">
        <is>
          <t>No</t>
        </is>
      </c>
      <c r="AQ263" t="inlineStr">
        <is>
          <t>Yes</t>
        </is>
      </c>
      <c r="AR263">
        <f>HYPERLINK("http://catalog.hathitrust.org/Record/000273212","HathiTrust Record")</f>
        <v/>
      </c>
      <c r="AS263">
        <f>HYPERLINK("https://creighton-primo.hosted.exlibrisgroup.com/primo-explore/search?tab=default_tab&amp;search_scope=EVERYTHING&amp;vid=01CRU&amp;lang=en_US&amp;offset=0&amp;query=any,contains,991000018809702656","Catalog Record")</f>
        <v/>
      </c>
      <c r="AT263">
        <f>HYPERLINK("http://www.worldcat.org/oclc/8554094","WorldCat Record")</f>
        <v/>
      </c>
      <c r="AU263" t="inlineStr">
        <is>
          <t>430632:eng</t>
        </is>
      </c>
      <c r="AV263" t="inlineStr">
        <is>
          <t>8554094</t>
        </is>
      </c>
      <c r="AW263" t="inlineStr">
        <is>
          <t>991000018809702656</t>
        </is>
      </c>
      <c r="AX263" t="inlineStr">
        <is>
          <t>991000018809702656</t>
        </is>
      </c>
      <c r="AY263" t="inlineStr">
        <is>
          <t>2256474340002656</t>
        </is>
      </c>
      <c r="AZ263" t="inlineStr">
        <is>
          <t>BOOK</t>
        </is>
      </c>
      <c r="BB263" t="inlineStr">
        <is>
          <t>9780674854352</t>
        </is>
      </c>
      <c r="BC263" t="inlineStr">
        <is>
          <t>32285000900000</t>
        </is>
      </c>
      <c r="BD263" t="inlineStr">
        <is>
          <t>893425333</t>
        </is>
      </c>
    </row>
    <row r="264">
      <c r="A264" t="inlineStr">
        <is>
          <t>No</t>
        </is>
      </c>
      <c r="B264" t="inlineStr">
        <is>
          <t>QB521 .P45 1992</t>
        </is>
      </c>
      <c r="C264" t="inlineStr">
        <is>
          <t>0                      QB 0521000P  45          1992</t>
        </is>
      </c>
      <c r="D264" t="inlineStr">
        <is>
          <t>Guide to the sun / Kenneth J.H. Phillips.</t>
        </is>
      </c>
      <c r="F264" t="inlineStr">
        <is>
          <t>No</t>
        </is>
      </c>
      <c r="G264" t="inlineStr">
        <is>
          <t>1</t>
        </is>
      </c>
      <c r="H264" t="inlineStr">
        <is>
          <t>No</t>
        </is>
      </c>
      <c r="I264" t="inlineStr">
        <is>
          <t>No</t>
        </is>
      </c>
      <c r="J264" t="inlineStr">
        <is>
          <t>0</t>
        </is>
      </c>
      <c r="K264" t="inlineStr">
        <is>
          <t>Phillips, Kenneth J. H.</t>
        </is>
      </c>
      <c r="L264" t="inlineStr">
        <is>
          <t>Cambridge [England] ; New York : Cambridge University Press, 1992.</t>
        </is>
      </c>
      <c r="M264" t="inlineStr">
        <is>
          <t>1992</t>
        </is>
      </c>
      <c r="O264" t="inlineStr">
        <is>
          <t>eng</t>
        </is>
      </c>
      <c r="P264" t="inlineStr">
        <is>
          <t>enk</t>
        </is>
      </c>
      <c r="R264" t="inlineStr">
        <is>
          <t xml:space="preserve">QB </t>
        </is>
      </c>
      <c r="S264" t="n">
        <v>11</v>
      </c>
      <c r="T264" t="n">
        <v>11</v>
      </c>
      <c r="U264" t="inlineStr">
        <is>
          <t>1995-09-21</t>
        </is>
      </c>
      <c r="V264" t="inlineStr">
        <is>
          <t>1995-09-21</t>
        </is>
      </c>
      <c r="W264" t="inlineStr">
        <is>
          <t>1993-03-04</t>
        </is>
      </c>
      <c r="X264" t="inlineStr">
        <is>
          <t>1993-03-04</t>
        </is>
      </c>
      <c r="Y264" t="n">
        <v>710</v>
      </c>
      <c r="Z264" t="n">
        <v>557</v>
      </c>
      <c r="AA264" t="n">
        <v>614</v>
      </c>
      <c r="AB264" t="n">
        <v>2</v>
      </c>
      <c r="AC264" t="n">
        <v>2</v>
      </c>
      <c r="AD264" t="n">
        <v>20</v>
      </c>
      <c r="AE264" t="n">
        <v>22</v>
      </c>
      <c r="AF264" t="n">
        <v>10</v>
      </c>
      <c r="AG264" t="n">
        <v>11</v>
      </c>
      <c r="AH264" t="n">
        <v>5</v>
      </c>
      <c r="AI264" t="n">
        <v>6</v>
      </c>
      <c r="AJ264" t="n">
        <v>8</v>
      </c>
      <c r="AK264" t="n">
        <v>8</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HYPERLINK("https://creighton-primo.hosted.exlibrisgroup.com/primo-explore/search?tab=default_tab&amp;search_scope=EVERYTHING&amp;vid=01CRU&amp;lang=en_US&amp;offset=0&amp;query=any,contains,991001951279702656","Catalog Record")</f>
        <v/>
      </c>
      <c r="AT264">
        <f>HYPERLINK("http://www.worldcat.org/oclc/24668571","WorldCat Record")</f>
        <v/>
      </c>
      <c r="AU264" t="inlineStr">
        <is>
          <t>24141466:eng</t>
        </is>
      </c>
      <c r="AV264" t="inlineStr">
        <is>
          <t>24668571</t>
        </is>
      </c>
      <c r="AW264" t="inlineStr">
        <is>
          <t>991001951279702656</t>
        </is>
      </c>
      <c r="AX264" t="inlineStr">
        <is>
          <t>991001951279702656</t>
        </is>
      </c>
      <c r="AY264" t="inlineStr">
        <is>
          <t>2256915010002656</t>
        </is>
      </c>
      <c r="AZ264" t="inlineStr">
        <is>
          <t>BOOK</t>
        </is>
      </c>
      <c r="BB264" t="inlineStr">
        <is>
          <t>9780521394833</t>
        </is>
      </c>
      <c r="BC264" t="inlineStr">
        <is>
          <t>32285001497048</t>
        </is>
      </c>
      <c r="BD264" t="inlineStr">
        <is>
          <t>893244583</t>
        </is>
      </c>
    </row>
    <row r="265">
      <c r="A265" t="inlineStr">
        <is>
          <t>No</t>
        </is>
      </c>
      <c r="B265" t="inlineStr">
        <is>
          <t>QB521 .S75 1989</t>
        </is>
      </c>
      <c r="C265" t="inlineStr">
        <is>
          <t>0                      QB 0521000S  75          1989</t>
        </is>
      </c>
      <c r="D265" t="inlineStr">
        <is>
          <t>The sun : an introduction / Michael Stix.</t>
        </is>
      </c>
      <c r="F265" t="inlineStr">
        <is>
          <t>No</t>
        </is>
      </c>
      <c r="G265" t="inlineStr">
        <is>
          <t>1</t>
        </is>
      </c>
      <c r="H265" t="inlineStr">
        <is>
          <t>No</t>
        </is>
      </c>
      <c r="I265" t="inlineStr">
        <is>
          <t>No</t>
        </is>
      </c>
      <c r="J265" t="inlineStr">
        <is>
          <t>0</t>
        </is>
      </c>
      <c r="K265" t="inlineStr">
        <is>
          <t>Stix, Michael, 1939-</t>
        </is>
      </c>
      <c r="L265" t="inlineStr">
        <is>
          <t>Berlin ; New York : Springer-Verlag, c1989.</t>
        </is>
      </c>
      <c r="M265" t="inlineStr">
        <is>
          <t>1989</t>
        </is>
      </c>
      <c r="O265" t="inlineStr">
        <is>
          <t>eng</t>
        </is>
      </c>
      <c r="P265" t="inlineStr">
        <is>
          <t xml:space="preserve">gw </t>
        </is>
      </c>
      <c r="Q265" t="inlineStr">
        <is>
          <t>Astronomy and astrophysics library</t>
        </is>
      </c>
      <c r="R265" t="inlineStr">
        <is>
          <t xml:space="preserve">QB </t>
        </is>
      </c>
      <c r="S265" t="n">
        <v>9</v>
      </c>
      <c r="T265" t="n">
        <v>9</v>
      </c>
      <c r="U265" t="inlineStr">
        <is>
          <t>1995-09-21</t>
        </is>
      </c>
      <c r="V265" t="inlineStr">
        <is>
          <t>1995-09-21</t>
        </is>
      </c>
      <c r="W265" t="inlineStr">
        <is>
          <t>1990-06-04</t>
        </is>
      </c>
      <c r="X265" t="inlineStr">
        <is>
          <t>1990-06-04</t>
        </is>
      </c>
      <c r="Y265" t="n">
        <v>358</v>
      </c>
      <c r="Z265" t="n">
        <v>238</v>
      </c>
      <c r="AA265" t="n">
        <v>334</v>
      </c>
      <c r="AB265" t="n">
        <v>3</v>
      </c>
      <c r="AC265" t="n">
        <v>4</v>
      </c>
      <c r="AD265" t="n">
        <v>12</v>
      </c>
      <c r="AE265" t="n">
        <v>16</v>
      </c>
      <c r="AF265" t="n">
        <v>2</v>
      </c>
      <c r="AG265" t="n">
        <v>2</v>
      </c>
      <c r="AH265" t="n">
        <v>4</v>
      </c>
      <c r="AI265" t="n">
        <v>6</v>
      </c>
      <c r="AJ265" t="n">
        <v>7</v>
      </c>
      <c r="AK265" t="n">
        <v>9</v>
      </c>
      <c r="AL265" t="n">
        <v>2</v>
      </c>
      <c r="AM265" t="n">
        <v>3</v>
      </c>
      <c r="AN265" t="n">
        <v>0</v>
      </c>
      <c r="AO265" t="n">
        <v>0</v>
      </c>
      <c r="AP265" t="inlineStr">
        <is>
          <t>No</t>
        </is>
      </c>
      <c r="AQ265" t="inlineStr">
        <is>
          <t>Yes</t>
        </is>
      </c>
      <c r="AR265">
        <f>HYPERLINK("http://catalog.hathitrust.org/Record/001539111","HathiTrust Record")</f>
        <v/>
      </c>
      <c r="AS265">
        <f>HYPERLINK("https://creighton-primo.hosted.exlibrisgroup.com/primo-explore/search?tab=default_tab&amp;search_scope=EVERYTHING&amp;vid=01CRU&amp;lang=en_US&amp;offset=0&amp;query=any,contains,991001406299702656","Catalog Record")</f>
        <v/>
      </c>
      <c r="AT265">
        <f>HYPERLINK("http://www.worldcat.org/oclc/18836778","WorldCat Record")</f>
        <v/>
      </c>
      <c r="AU265" t="inlineStr">
        <is>
          <t>823429200:eng</t>
        </is>
      </c>
      <c r="AV265" t="inlineStr">
        <is>
          <t>18836778</t>
        </is>
      </c>
      <c r="AW265" t="inlineStr">
        <is>
          <t>991001406299702656</t>
        </is>
      </c>
      <c r="AX265" t="inlineStr">
        <is>
          <t>991001406299702656</t>
        </is>
      </c>
      <c r="AY265" t="inlineStr">
        <is>
          <t>2255355780002656</t>
        </is>
      </c>
      <c r="AZ265" t="inlineStr">
        <is>
          <t>BOOK</t>
        </is>
      </c>
      <c r="BB265" t="inlineStr">
        <is>
          <t>9780387500812</t>
        </is>
      </c>
      <c r="BC265" t="inlineStr">
        <is>
          <t>32285000156785</t>
        </is>
      </c>
      <c r="BD265" t="inlineStr">
        <is>
          <t>893772581</t>
        </is>
      </c>
    </row>
    <row r="266">
      <c r="A266" t="inlineStr">
        <is>
          <t>No</t>
        </is>
      </c>
      <c r="B266" t="inlineStr">
        <is>
          <t>QB521 .T39 1997</t>
        </is>
      </c>
      <c r="C266" t="inlineStr">
        <is>
          <t>0                      QB 0521000T  39          1997</t>
        </is>
      </c>
      <c r="D266" t="inlineStr">
        <is>
          <t>The Sun as a star / Roger J. Tayler.</t>
        </is>
      </c>
      <c r="F266" t="inlineStr">
        <is>
          <t>No</t>
        </is>
      </c>
      <c r="G266" t="inlineStr">
        <is>
          <t>1</t>
        </is>
      </c>
      <c r="H266" t="inlineStr">
        <is>
          <t>No</t>
        </is>
      </c>
      <c r="I266" t="inlineStr">
        <is>
          <t>No</t>
        </is>
      </c>
      <c r="J266" t="inlineStr">
        <is>
          <t>0</t>
        </is>
      </c>
      <c r="K266" t="inlineStr">
        <is>
          <t>Tayler, R. J. (Roger John)</t>
        </is>
      </c>
      <c r="L266" t="inlineStr">
        <is>
          <t>Cambridge ; New York, NY, USA : Cambridge University Press, 1997.</t>
        </is>
      </c>
      <c r="M266" t="inlineStr">
        <is>
          <t>1997</t>
        </is>
      </c>
      <c r="O266" t="inlineStr">
        <is>
          <t>eng</t>
        </is>
      </c>
      <c r="P266" t="inlineStr">
        <is>
          <t>enk</t>
        </is>
      </c>
      <c r="R266" t="inlineStr">
        <is>
          <t xml:space="preserve">QB </t>
        </is>
      </c>
      <c r="S266" t="n">
        <v>5</v>
      </c>
      <c r="T266" t="n">
        <v>5</v>
      </c>
      <c r="U266" t="inlineStr">
        <is>
          <t>2000-03-14</t>
        </is>
      </c>
      <c r="V266" t="inlineStr">
        <is>
          <t>2000-03-14</t>
        </is>
      </c>
      <c r="W266" t="inlineStr">
        <is>
          <t>1998-01-08</t>
        </is>
      </c>
      <c r="X266" t="inlineStr">
        <is>
          <t>1998-01-08</t>
        </is>
      </c>
      <c r="Y266" t="n">
        <v>394</v>
      </c>
      <c r="Z266" t="n">
        <v>305</v>
      </c>
      <c r="AA266" t="n">
        <v>310</v>
      </c>
      <c r="AB266" t="n">
        <v>2</v>
      </c>
      <c r="AC266" t="n">
        <v>2</v>
      </c>
      <c r="AD266" t="n">
        <v>13</v>
      </c>
      <c r="AE266" t="n">
        <v>13</v>
      </c>
      <c r="AF266" t="n">
        <v>2</v>
      </c>
      <c r="AG266" t="n">
        <v>2</v>
      </c>
      <c r="AH266" t="n">
        <v>3</v>
      </c>
      <c r="AI266" t="n">
        <v>3</v>
      </c>
      <c r="AJ266" t="n">
        <v>10</v>
      </c>
      <c r="AK266" t="n">
        <v>10</v>
      </c>
      <c r="AL266" t="n">
        <v>1</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HYPERLINK("https://creighton-primo.hosted.exlibrisgroup.com/primo-explore/search?tab=default_tab&amp;search_scope=EVERYTHING&amp;vid=01CRU&amp;lang=en_US&amp;offset=0&amp;query=any,contains,991002651279702656","Catalog Record")</f>
        <v/>
      </c>
      <c r="AT266">
        <f>HYPERLINK("http://www.worldcat.org/oclc/34674959","WorldCat Record")</f>
        <v/>
      </c>
      <c r="AU266" t="inlineStr">
        <is>
          <t>10521022085:eng</t>
        </is>
      </c>
      <c r="AV266" t="inlineStr">
        <is>
          <t>34674959</t>
        </is>
      </c>
      <c r="AW266" t="inlineStr">
        <is>
          <t>991002651279702656</t>
        </is>
      </c>
      <c r="AX266" t="inlineStr">
        <is>
          <t>991002651279702656</t>
        </is>
      </c>
      <c r="AY266" t="inlineStr">
        <is>
          <t>2268277560002656</t>
        </is>
      </c>
      <c r="AZ266" t="inlineStr">
        <is>
          <t>BOOK</t>
        </is>
      </c>
      <c r="BB266" t="inlineStr">
        <is>
          <t>9780521464642</t>
        </is>
      </c>
      <c r="BC266" t="inlineStr">
        <is>
          <t>32285003302022</t>
        </is>
      </c>
      <c r="BD266" t="inlineStr">
        <is>
          <t>893873791</t>
        </is>
      </c>
    </row>
    <row r="267">
      <c r="A267" t="inlineStr">
        <is>
          <t>No</t>
        </is>
      </c>
      <c r="B267" t="inlineStr">
        <is>
          <t>QB521 .W46 1989</t>
        </is>
      </c>
      <c r="C267" t="inlineStr">
        <is>
          <t>0                      QB 0521000W  46          1989</t>
        </is>
      </c>
      <c r="D267" t="inlineStr">
        <is>
          <t>The restless sun / Donat G. Wentzel.</t>
        </is>
      </c>
      <c r="F267" t="inlineStr">
        <is>
          <t>No</t>
        </is>
      </c>
      <c r="G267" t="inlineStr">
        <is>
          <t>1</t>
        </is>
      </c>
      <c r="H267" t="inlineStr">
        <is>
          <t>No</t>
        </is>
      </c>
      <c r="I267" t="inlineStr">
        <is>
          <t>No</t>
        </is>
      </c>
      <c r="J267" t="inlineStr">
        <is>
          <t>0</t>
        </is>
      </c>
      <c r="K267" t="inlineStr">
        <is>
          <t>Wentzel, Donat G., 1934-</t>
        </is>
      </c>
      <c r="L267" t="inlineStr">
        <is>
          <t>Washington : Smithsonian Institution Press, 1989.</t>
        </is>
      </c>
      <c r="M267" t="inlineStr">
        <is>
          <t>1989</t>
        </is>
      </c>
      <c r="O267" t="inlineStr">
        <is>
          <t>eng</t>
        </is>
      </c>
      <c r="P267" t="inlineStr">
        <is>
          <t>dcu</t>
        </is>
      </c>
      <c r="Q267" t="inlineStr">
        <is>
          <t>Smithsonian library of the solar system</t>
        </is>
      </c>
      <c r="R267" t="inlineStr">
        <is>
          <t xml:space="preserve">QB </t>
        </is>
      </c>
      <c r="S267" t="n">
        <v>4</v>
      </c>
      <c r="T267" t="n">
        <v>4</v>
      </c>
      <c r="U267" t="inlineStr">
        <is>
          <t>1995-12-09</t>
        </is>
      </c>
      <c r="V267" t="inlineStr">
        <is>
          <t>1995-12-09</t>
        </is>
      </c>
      <c r="W267" t="inlineStr">
        <is>
          <t>1989-11-13</t>
        </is>
      </c>
      <c r="X267" t="inlineStr">
        <is>
          <t>1989-11-13</t>
        </is>
      </c>
      <c r="Y267" t="n">
        <v>801</v>
      </c>
      <c r="Z267" t="n">
        <v>741</v>
      </c>
      <c r="AA267" t="n">
        <v>748</v>
      </c>
      <c r="AB267" t="n">
        <v>9</v>
      </c>
      <c r="AC267" t="n">
        <v>9</v>
      </c>
      <c r="AD267" t="n">
        <v>22</v>
      </c>
      <c r="AE267" t="n">
        <v>22</v>
      </c>
      <c r="AF267" t="n">
        <v>6</v>
      </c>
      <c r="AG267" t="n">
        <v>6</v>
      </c>
      <c r="AH267" t="n">
        <v>5</v>
      </c>
      <c r="AI267" t="n">
        <v>5</v>
      </c>
      <c r="AJ267" t="n">
        <v>9</v>
      </c>
      <c r="AK267" t="n">
        <v>9</v>
      </c>
      <c r="AL267" t="n">
        <v>7</v>
      </c>
      <c r="AM267" t="n">
        <v>7</v>
      </c>
      <c r="AN267" t="n">
        <v>0</v>
      </c>
      <c r="AO267" t="n">
        <v>0</v>
      </c>
      <c r="AP267" t="inlineStr">
        <is>
          <t>No</t>
        </is>
      </c>
      <c r="AQ267" t="inlineStr">
        <is>
          <t>Yes</t>
        </is>
      </c>
      <c r="AR267">
        <f>HYPERLINK("http://catalog.hathitrust.org/Record/001105035","HathiTrust Record")</f>
        <v/>
      </c>
      <c r="AS267">
        <f>HYPERLINK("https://creighton-primo.hosted.exlibrisgroup.com/primo-explore/search?tab=default_tab&amp;search_scope=EVERYTHING&amp;vid=01CRU&amp;lang=en_US&amp;offset=0&amp;query=any,contains,991001321439702656","Catalog Record")</f>
        <v/>
      </c>
      <c r="AT267">
        <f>HYPERLINK("http://www.worldcat.org/oclc/18225260","WorldCat Record")</f>
        <v/>
      </c>
      <c r="AU267" t="inlineStr">
        <is>
          <t>17552932:eng</t>
        </is>
      </c>
      <c r="AV267" t="inlineStr">
        <is>
          <t>18225260</t>
        </is>
      </c>
      <c r="AW267" t="inlineStr">
        <is>
          <t>991001321439702656</t>
        </is>
      </c>
      <c r="AX267" t="inlineStr">
        <is>
          <t>991001321439702656</t>
        </is>
      </c>
      <c r="AY267" t="inlineStr">
        <is>
          <t>2261861320002656</t>
        </is>
      </c>
      <c r="AZ267" t="inlineStr">
        <is>
          <t>BOOK</t>
        </is>
      </c>
      <c r="BB267" t="inlineStr">
        <is>
          <t>9780874749823</t>
        </is>
      </c>
      <c r="BC267" t="inlineStr">
        <is>
          <t>32285000012574</t>
        </is>
      </c>
      <c r="BD267" t="inlineStr">
        <is>
          <t>893791376</t>
        </is>
      </c>
    </row>
    <row r="268">
      <c r="A268" t="inlineStr">
        <is>
          <t>No</t>
        </is>
      </c>
      <c r="B268" t="inlineStr">
        <is>
          <t>QB521 .Z57 1988</t>
        </is>
      </c>
      <c r="C268" t="inlineStr">
        <is>
          <t>0                      QB 0521000Z  57          1988</t>
        </is>
      </c>
      <c r="D268" t="inlineStr">
        <is>
          <t>Astrophysics of the sun / Harold Zirin.</t>
        </is>
      </c>
      <c r="F268" t="inlineStr">
        <is>
          <t>No</t>
        </is>
      </c>
      <c r="G268" t="inlineStr">
        <is>
          <t>1</t>
        </is>
      </c>
      <c r="H268" t="inlineStr">
        <is>
          <t>No</t>
        </is>
      </c>
      <c r="I268" t="inlineStr">
        <is>
          <t>No</t>
        </is>
      </c>
      <c r="J268" t="inlineStr">
        <is>
          <t>0</t>
        </is>
      </c>
      <c r="K268" t="inlineStr">
        <is>
          <t>Zirin, Harold.</t>
        </is>
      </c>
      <c r="L268" t="inlineStr">
        <is>
          <t>Cambridge [Cambridgeshire] ; New York : Cambridge University Press, 1988.</t>
        </is>
      </c>
      <c r="M268" t="inlineStr">
        <is>
          <t>1988</t>
        </is>
      </c>
      <c r="O268" t="inlineStr">
        <is>
          <t>eng</t>
        </is>
      </c>
      <c r="P268" t="inlineStr">
        <is>
          <t>enk</t>
        </is>
      </c>
      <c r="R268" t="inlineStr">
        <is>
          <t xml:space="preserve">QB </t>
        </is>
      </c>
      <c r="S268" t="n">
        <v>3</v>
      </c>
      <c r="T268" t="n">
        <v>3</v>
      </c>
      <c r="U268" t="inlineStr">
        <is>
          <t>1995-10-02</t>
        </is>
      </c>
      <c r="V268" t="inlineStr">
        <is>
          <t>1995-10-02</t>
        </is>
      </c>
      <c r="W268" t="inlineStr">
        <is>
          <t>1992-11-19</t>
        </is>
      </c>
      <c r="X268" t="inlineStr">
        <is>
          <t>1992-11-19</t>
        </is>
      </c>
      <c r="Y268" t="n">
        <v>465</v>
      </c>
      <c r="Z268" t="n">
        <v>347</v>
      </c>
      <c r="AA268" t="n">
        <v>372</v>
      </c>
      <c r="AB268" t="n">
        <v>2</v>
      </c>
      <c r="AC268" t="n">
        <v>2</v>
      </c>
      <c r="AD268" t="n">
        <v>14</v>
      </c>
      <c r="AE268" t="n">
        <v>14</v>
      </c>
      <c r="AF268" t="n">
        <v>3</v>
      </c>
      <c r="AG268" t="n">
        <v>3</v>
      </c>
      <c r="AH268" t="n">
        <v>5</v>
      </c>
      <c r="AI268" t="n">
        <v>5</v>
      </c>
      <c r="AJ268" t="n">
        <v>8</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HYPERLINK("https://creighton-primo.hosted.exlibrisgroup.com/primo-explore/search?tab=default_tab&amp;search_scope=EVERYTHING&amp;vid=01CRU&amp;lang=en_US&amp;offset=0&amp;query=any,contains,991000937289702656","Catalog Record")</f>
        <v/>
      </c>
      <c r="AT268">
        <f>HYPERLINK("http://www.worldcat.org/oclc/14376571","WorldCat Record")</f>
        <v/>
      </c>
      <c r="AU268" t="inlineStr">
        <is>
          <t>8723123:eng</t>
        </is>
      </c>
      <c r="AV268" t="inlineStr">
        <is>
          <t>14376571</t>
        </is>
      </c>
      <c r="AW268" t="inlineStr">
        <is>
          <t>991000937289702656</t>
        </is>
      </c>
      <c r="AX268" t="inlineStr">
        <is>
          <t>991000937289702656</t>
        </is>
      </c>
      <c r="AY268" t="inlineStr">
        <is>
          <t>2264161170002656</t>
        </is>
      </c>
      <c r="AZ268" t="inlineStr">
        <is>
          <t>BOOK</t>
        </is>
      </c>
      <c r="BB268" t="inlineStr">
        <is>
          <t>9780521316071</t>
        </is>
      </c>
      <c r="BC268" t="inlineStr">
        <is>
          <t>32285001433365</t>
        </is>
      </c>
      <c r="BD268" t="inlineStr">
        <is>
          <t>893608399</t>
        </is>
      </c>
    </row>
    <row r="269">
      <c r="A269" t="inlineStr">
        <is>
          <t>No</t>
        </is>
      </c>
      <c r="B269" t="inlineStr">
        <is>
          <t>QB521 .Z58 2002</t>
        </is>
      </c>
      <c r="C269" t="inlineStr">
        <is>
          <t>0                      QB 0521000Z  58          2002</t>
        </is>
      </c>
      <c r="D269" t="inlineStr">
        <is>
          <t>Journey from the center of the sun / Jack B. Zirker.</t>
        </is>
      </c>
      <c r="F269" t="inlineStr">
        <is>
          <t>No</t>
        </is>
      </c>
      <c r="G269" t="inlineStr">
        <is>
          <t>1</t>
        </is>
      </c>
      <c r="H269" t="inlineStr">
        <is>
          <t>No</t>
        </is>
      </c>
      <c r="I269" t="inlineStr">
        <is>
          <t>No</t>
        </is>
      </c>
      <c r="J269" t="inlineStr">
        <is>
          <t>0</t>
        </is>
      </c>
      <c r="K269" t="inlineStr">
        <is>
          <t>Zirker, Jack B.</t>
        </is>
      </c>
      <c r="L269" t="inlineStr">
        <is>
          <t>Princeton, N.J. : Princeton University Press, c2002.</t>
        </is>
      </c>
      <c r="M269" t="inlineStr">
        <is>
          <t>2002</t>
        </is>
      </c>
      <c r="O269" t="inlineStr">
        <is>
          <t>eng</t>
        </is>
      </c>
      <c r="P269" t="inlineStr">
        <is>
          <t>nju</t>
        </is>
      </c>
      <c r="R269" t="inlineStr">
        <is>
          <t xml:space="preserve">QB </t>
        </is>
      </c>
      <c r="S269" t="n">
        <v>1</v>
      </c>
      <c r="T269" t="n">
        <v>1</v>
      </c>
      <c r="U269" t="inlineStr">
        <is>
          <t>2002-10-08</t>
        </is>
      </c>
      <c r="V269" t="inlineStr">
        <is>
          <t>2002-10-08</t>
        </is>
      </c>
      <c r="W269" t="inlineStr">
        <is>
          <t>2002-09-12</t>
        </is>
      </c>
      <c r="X269" t="inlineStr">
        <is>
          <t>2002-09-12</t>
        </is>
      </c>
      <c r="Y269" t="n">
        <v>631</v>
      </c>
      <c r="Z269" t="n">
        <v>552</v>
      </c>
      <c r="AA269" t="n">
        <v>562</v>
      </c>
      <c r="AB269" t="n">
        <v>4</v>
      </c>
      <c r="AC269" t="n">
        <v>4</v>
      </c>
      <c r="AD269" t="n">
        <v>23</v>
      </c>
      <c r="AE269" t="n">
        <v>23</v>
      </c>
      <c r="AF269" t="n">
        <v>8</v>
      </c>
      <c r="AG269" t="n">
        <v>8</v>
      </c>
      <c r="AH269" t="n">
        <v>6</v>
      </c>
      <c r="AI269" t="n">
        <v>6</v>
      </c>
      <c r="AJ269" t="n">
        <v>11</v>
      </c>
      <c r="AK269" t="n">
        <v>11</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HYPERLINK("https://creighton-primo.hosted.exlibrisgroup.com/primo-explore/search?tab=default_tab&amp;search_scope=EVERYTHING&amp;vid=01CRU&amp;lang=en_US&amp;offset=0&amp;query=any,contains,991003886659702656","Catalog Record")</f>
        <v/>
      </c>
      <c r="AT269">
        <f>HYPERLINK("http://www.worldcat.org/oclc/45202072","WorldCat Record")</f>
        <v/>
      </c>
      <c r="AU269" t="inlineStr">
        <is>
          <t>183112:eng</t>
        </is>
      </c>
      <c r="AV269" t="inlineStr">
        <is>
          <t>45202072</t>
        </is>
      </c>
      <c r="AW269" t="inlineStr">
        <is>
          <t>991003886659702656</t>
        </is>
      </c>
      <c r="AX269" t="inlineStr">
        <is>
          <t>991003886659702656</t>
        </is>
      </c>
      <c r="AY269" t="inlineStr">
        <is>
          <t>2262130530002656</t>
        </is>
      </c>
      <c r="AZ269" t="inlineStr">
        <is>
          <t>BOOK</t>
        </is>
      </c>
      <c r="BB269" t="inlineStr">
        <is>
          <t>9780691057811</t>
        </is>
      </c>
      <c r="BC269" t="inlineStr">
        <is>
          <t>32285004652987</t>
        </is>
      </c>
      <c r="BD269" t="inlineStr">
        <is>
          <t>893881675</t>
        </is>
      </c>
    </row>
    <row r="270">
      <c r="A270" t="inlineStr">
        <is>
          <t>No</t>
        </is>
      </c>
      <c r="B270" t="inlineStr">
        <is>
          <t>QB521.4 .G56 1984</t>
        </is>
      </c>
      <c r="C270" t="inlineStr">
        <is>
          <t>0                      QB 0521400G  56          1984</t>
        </is>
      </c>
      <c r="D270" t="inlineStr">
        <is>
          <t>Secrets of the sun / Ronald G. Giovanelli.</t>
        </is>
      </c>
      <c r="F270" t="inlineStr">
        <is>
          <t>No</t>
        </is>
      </c>
      <c r="G270" t="inlineStr">
        <is>
          <t>1</t>
        </is>
      </c>
      <c r="H270" t="inlineStr">
        <is>
          <t>No</t>
        </is>
      </c>
      <c r="I270" t="inlineStr">
        <is>
          <t>No</t>
        </is>
      </c>
      <c r="J270" t="inlineStr">
        <is>
          <t>0</t>
        </is>
      </c>
      <c r="K270" t="inlineStr">
        <is>
          <t>Giovanelli, Ronald G.</t>
        </is>
      </c>
      <c r="L270" t="inlineStr">
        <is>
          <t>Cambridge [Cambridgeshire] ; New York : Cambridge University Press, 1984.</t>
        </is>
      </c>
      <c r="M270" t="inlineStr">
        <is>
          <t>1984</t>
        </is>
      </c>
      <c r="O270" t="inlineStr">
        <is>
          <t>eng</t>
        </is>
      </c>
      <c r="P270" t="inlineStr">
        <is>
          <t>enk</t>
        </is>
      </c>
      <c r="R270" t="inlineStr">
        <is>
          <t xml:space="preserve">QB </t>
        </is>
      </c>
      <c r="S270" t="n">
        <v>3</v>
      </c>
      <c r="T270" t="n">
        <v>3</v>
      </c>
      <c r="U270" t="inlineStr">
        <is>
          <t>2002-11-04</t>
        </is>
      </c>
      <c r="V270" t="inlineStr">
        <is>
          <t>2002-11-04</t>
        </is>
      </c>
      <c r="W270" t="inlineStr">
        <is>
          <t>1992-11-19</t>
        </is>
      </c>
      <c r="X270" t="inlineStr">
        <is>
          <t>1992-11-19</t>
        </is>
      </c>
      <c r="Y270" t="n">
        <v>737</v>
      </c>
      <c r="Z270" t="n">
        <v>607</v>
      </c>
      <c r="AA270" t="n">
        <v>607</v>
      </c>
      <c r="AB270" t="n">
        <v>2</v>
      </c>
      <c r="AC270" t="n">
        <v>2</v>
      </c>
      <c r="AD270" t="n">
        <v>14</v>
      </c>
      <c r="AE270" t="n">
        <v>14</v>
      </c>
      <c r="AF270" t="n">
        <v>6</v>
      </c>
      <c r="AG270" t="n">
        <v>6</v>
      </c>
      <c r="AH270" t="n">
        <v>2</v>
      </c>
      <c r="AI270" t="n">
        <v>2</v>
      </c>
      <c r="AJ270" t="n">
        <v>6</v>
      </c>
      <c r="AK270" t="n">
        <v>6</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HYPERLINK("https://creighton-primo.hosted.exlibrisgroup.com/primo-explore/search?tab=default_tab&amp;search_scope=EVERYTHING&amp;vid=01CRU&amp;lang=en_US&amp;offset=0&amp;query=any,contains,991000415269702656","Catalog Record")</f>
        <v/>
      </c>
      <c r="AT270">
        <f>HYPERLINK("http://www.worldcat.org/oclc/10724147","WorldCat Record")</f>
        <v/>
      </c>
      <c r="AU270" t="inlineStr">
        <is>
          <t>3370943:eng</t>
        </is>
      </c>
      <c r="AV270" t="inlineStr">
        <is>
          <t>10724147</t>
        </is>
      </c>
      <c r="AW270" t="inlineStr">
        <is>
          <t>991000415269702656</t>
        </is>
      </c>
      <c r="AX270" t="inlineStr">
        <is>
          <t>991000415269702656</t>
        </is>
      </c>
      <c r="AY270" t="inlineStr">
        <is>
          <t>2263129900002656</t>
        </is>
      </c>
      <c r="AZ270" t="inlineStr">
        <is>
          <t>BOOK</t>
        </is>
      </c>
      <c r="BB270" t="inlineStr">
        <is>
          <t>9780521255219</t>
        </is>
      </c>
      <c r="BC270" t="inlineStr">
        <is>
          <t>32285001433373</t>
        </is>
      </c>
      <c r="BD270" t="inlineStr">
        <is>
          <t>893528025</t>
        </is>
      </c>
    </row>
    <row r="271">
      <c r="A271" t="inlineStr">
        <is>
          <t>No</t>
        </is>
      </c>
      <c r="B271" t="inlineStr">
        <is>
          <t>QB521.A2 S8</t>
        </is>
      </c>
      <c r="C271" t="inlineStr">
        <is>
          <t>0                      QB 0521000A  2                  S  8</t>
        </is>
      </c>
      <c r="D271" t="inlineStr">
        <is>
          <t>The sun / translated by J.B. Sidgwick.</t>
        </is>
      </c>
      <c r="F271" t="inlineStr">
        <is>
          <t>No</t>
        </is>
      </c>
      <c r="G271" t="inlineStr">
        <is>
          <t>1</t>
        </is>
      </c>
      <c r="H271" t="inlineStr">
        <is>
          <t>No</t>
        </is>
      </c>
      <c r="I271" t="inlineStr">
        <is>
          <t>No</t>
        </is>
      </c>
      <c r="J271" t="inlineStr">
        <is>
          <t>0</t>
        </is>
      </c>
      <c r="K271" t="inlineStr">
        <is>
          <t>Abetti, Giorgio, 1882-1982.</t>
        </is>
      </c>
      <c r="L271" t="inlineStr">
        <is>
          <t>New York : Macmillan, [c1957]</t>
        </is>
      </c>
      <c r="M271" t="inlineStr">
        <is>
          <t>1957</t>
        </is>
      </c>
      <c r="O271" t="inlineStr">
        <is>
          <t>eng</t>
        </is>
      </c>
      <c r="P271" t="inlineStr">
        <is>
          <t>nyu</t>
        </is>
      </c>
      <c r="R271" t="inlineStr">
        <is>
          <t xml:space="preserve">QB </t>
        </is>
      </c>
      <c r="S271" t="n">
        <v>1</v>
      </c>
      <c r="T271" t="n">
        <v>1</v>
      </c>
      <c r="U271" t="inlineStr">
        <is>
          <t>1995-04-07</t>
        </is>
      </c>
      <c r="V271" t="inlineStr">
        <is>
          <t>1995-04-07</t>
        </is>
      </c>
      <c r="W271" t="inlineStr">
        <is>
          <t>1992-12-15</t>
        </is>
      </c>
      <c r="X271" t="inlineStr">
        <is>
          <t>1992-12-15</t>
        </is>
      </c>
      <c r="Y271" t="n">
        <v>266</v>
      </c>
      <c r="Z271" t="n">
        <v>257</v>
      </c>
      <c r="AA271" t="n">
        <v>452</v>
      </c>
      <c r="AB271" t="n">
        <v>2</v>
      </c>
      <c r="AC271" t="n">
        <v>3</v>
      </c>
      <c r="AD271" t="n">
        <v>10</v>
      </c>
      <c r="AE271" t="n">
        <v>19</v>
      </c>
      <c r="AF271" t="n">
        <v>2</v>
      </c>
      <c r="AG271" t="n">
        <v>3</v>
      </c>
      <c r="AH271" t="n">
        <v>1</v>
      </c>
      <c r="AI271" t="n">
        <v>5</v>
      </c>
      <c r="AJ271" t="n">
        <v>6</v>
      </c>
      <c r="AK271" t="n">
        <v>12</v>
      </c>
      <c r="AL271" t="n">
        <v>1</v>
      </c>
      <c r="AM271" t="n">
        <v>2</v>
      </c>
      <c r="AN271" t="n">
        <v>0</v>
      </c>
      <c r="AO271" t="n">
        <v>0</v>
      </c>
      <c r="AP271" t="inlineStr">
        <is>
          <t>No</t>
        </is>
      </c>
      <c r="AQ271" t="inlineStr">
        <is>
          <t>Yes</t>
        </is>
      </c>
      <c r="AR271">
        <f>HYPERLINK("http://catalog.hathitrust.org/Record/001990883","HathiTrust Record")</f>
        <v/>
      </c>
      <c r="AS271">
        <f>HYPERLINK("https://creighton-primo.hosted.exlibrisgroup.com/primo-explore/search?tab=default_tab&amp;search_scope=EVERYTHING&amp;vid=01CRU&amp;lang=en_US&amp;offset=0&amp;query=any,contains,991002974249702656","Catalog Record")</f>
        <v/>
      </c>
      <c r="AT271">
        <f>HYPERLINK("http://www.worldcat.org/oclc/551008","WorldCat Record")</f>
        <v/>
      </c>
      <c r="AU271" t="inlineStr">
        <is>
          <t>427970706:eng</t>
        </is>
      </c>
      <c r="AV271" t="inlineStr">
        <is>
          <t>551008</t>
        </is>
      </c>
      <c r="AW271" t="inlineStr">
        <is>
          <t>991002974249702656</t>
        </is>
      </c>
      <c r="AX271" t="inlineStr">
        <is>
          <t>991002974249702656</t>
        </is>
      </c>
      <c r="AY271" t="inlineStr">
        <is>
          <t>2257842950002656</t>
        </is>
      </c>
      <c r="AZ271" t="inlineStr">
        <is>
          <t>BOOK</t>
        </is>
      </c>
      <c r="BC271" t="inlineStr">
        <is>
          <t>32285001441368</t>
        </is>
      </c>
      <c r="BD271" t="inlineStr">
        <is>
          <t>893610550</t>
        </is>
      </c>
    </row>
    <row r="272">
      <c r="A272" t="inlineStr">
        <is>
          <t>No</t>
        </is>
      </c>
      <c r="B272" t="inlineStr">
        <is>
          <t>QB525 .B78 1965</t>
        </is>
      </c>
      <c r="C272" t="inlineStr">
        <is>
          <t>0                      QB 0525000B  78          1965</t>
        </is>
      </c>
      <c r="D272" t="inlineStr">
        <is>
          <t>Sunspots / [by] R.J. Bray and R.E. Loughhead.</t>
        </is>
      </c>
      <c r="F272" t="inlineStr">
        <is>
          <t>No</t>
        </is>
      </c>
      <c r="G272" t="inlineStr">
        <is>
          <t>1</t>
        </is>
      </c>
      <c r="H272" t="inlineStr">
        <is>
          <t>No</t>
        </is>
      </c>
      <c r="I272" t="inlineStr">
        <is>
          <t>No</t>
        </is>
      </c>
      <c r="J272" t="inlineStr">
        <is>
          <t>0</t>
        </is>
      </c>
      <c r="K272" t="inlineStr">
        <is>
          <t>Bray, R. J.</t>
        </is>
      </c>
      <c r="L272" t="inlineStr">
        <is>
          <t>New York : Wiley, [1965, c1964]</t>
        </is>
      </c>
      <c r="M272" t="inlineStr">
        <is>
          <t>1965</t>
        </is>
      </c>
      <c r="O272" t="inlineStr">
        <is>
          <t>eng</t>
        </is>
      </c>
      <c r="P272" t="inlineStr">
        <is>
          <t>nyu</t>
        </is>
      </c>
      <c r="R272" t="inlineStr">
        <is>
          <t xml:space="preserve">QB </t>
        </is>
      </c>
      <c r="S272" t="n">
        <v>1</v>
      </c>
      <c r="T272" t="n">
        <v>1</v>
      </c>
      <c r="U272" t="inlineStr">
        <is>
          <t>1992-01-26</t>
        </is>
      </c>
      <c r="V272" t="inlineStr">
        <is>
          <t>1992-01-26</t>
        </is>
      </c>
      <c r="W272" t="inlineStr">
        <is>
          <t>1991-09-30</t>
        </is>
      </c>
      <c r="X272" t="inlineStr">
        <is>
          <t>1991-09-30</t>
        </is>
      </c>
      <c r="Y272" t="n">
        <v>312</v>
      </c>
      <c r="Z272" t="n">
        <v>295</v>
      </c>
      <c r="AA272" t="n">
        <v>535</v>
      </c>
      <c r="AB272" t="n">
        <v>1</v>
      </c>
      <c r="AC272" t="n">
        <v>2</v>
      </c>
      <c r="AD272" t="n">
        <v>9</v>
      </c>
      <c r="AE272" t="n">
        <v>17</v>
      </c>
      <c r="AF272" t="n">
        <v>4</v>
      </c>
      <c r="AG272" t="n">
        <v>7</v>
      </c>
      <c r="AH272" t="n">
        <v>2</v>
      </c>
      <c r="AI272" t="n">
        <v>4</v>
      </c>
      <c r="AJ272" t="n">
        <v>6</v>
      </c>
      <c r="AK272" t="n">
        <v>11</v>
      </c>
      <c r="AL272" t="n">
        <v>0</v>
      </c>
      <c r="AM272" t="n">
        <v>1</v>
      </c>
      <c r="AN272" t="n">
        <v>0</v>
      </c>
      <c r="AO272" t="n">
        <v>0</v>
      </c>
      <c r="AP272" t="inlineStr">
        <is>
          <t>No</t>
        </is>
      </c>
      <c r="AQ272" t="inlineStr">
        <is>
          <t>Yes</t>
        </is>
      </c>
      <c r="AR272">
        <f>HYPERLINK("http://catalog.hathitrust.org/Record/001476814","HathiTrust Record")</f>
        <v/>
      </c>
      <c r="AS272">
        <f>HYPERLINK("https://creighton-primo.hosted.exlibrisgroup.com/primo-explore/search?tab=default_tab&amp;search_scope=EVERYTHING&amp;vid=01CRU&amp;lang=en_US&amp;offset=0&amp;query=any,contains,991003705679702656","Catalog Record")</f>
        <v/>
      </c>
      <c r="AT272">
        <f>HYPERLINK("http://www.worldcat.org/oclc/1343142","WorldCat Record")</f>
        <v/>
      </c>
      <c r="AU272" t="inlineStr">
        <is>
          <t>495384:eng</t>
        </is>
      </c>
      <c r="AV272" t="inlineStr">
        <is>
          <t>1343142</t>
        </is>
      </c>
      <c r="AW272" t="inlineStr">
        <is>
          <t>991003705679702656</t>
        </is>
      </c>
      <c r="AX272" t="inlineStr">
        <is>
          <t>991003705679702656</t>
        </is>
      </c>
      <c r="AY272" t="inlineStr">
        <is>
          <t>2263509800002656</t>
        </is>
      </c>
      <c r="AZ272" t="inlineStr">
        <is>
          <t>BOOK</t>
        </is>
      </c>
      <c r="BC272" t="inlineStr">
        <is>
          <t>32285000760081</t>
        </is>
      </c>
      <c r="BD272" t="inlineStr">
        <is>
          <t>893429108</t>
        </is>
      </c>
    </row>
    <row r="273">
      <c r="A273" t="inlineStr">
        <is>
          <t>No</t>
        </is>
      </c>
      <c r="B273" t="inlineStr">
        <is>
          <t>QB528 .S6</t>
        </is>
      </c>
      <c r="C273" t="inlineStr">
        <is>
          <t>0                      QB 0528000S  6</t>
        </is>
      </c>
      <c r="D273" t="inlineStr">
        <is>
          <t>Solar flares / [by] Henry J. Smith [and] Elske v.P. Smith.</t>
        </is>
      </c>
      <c r="F273" t="inlineStr">
        <is>
          <t>No</t>
        </is>
      </c>
      <c r="G273" t="inlineStr">
        <is>
          <t>1</t>
        </is>
      </c>
      <c r="H273" t="inlineStr">
        <is>
          <t>No</t>
        </is>
      </c>
      <c r="I273" t="inlineStr">
        <is>
          <t>No</t>
        </is>
      </c>
      <c r="J273" t="inlineStr">
        <is>
          <t>0</t>
        </is>
      </c>
      <c r="K273" t="inlineStr">
        <is>
          <t>Smith, Henry J.</t>
        </is>
      </c>
      <c r="L273" t="inlineStr">
        <is>
          <t>New York : Macmillan, [1963]</t>
        </is>
      </c>
      <c r="M273" t="inlineStr">
        <is>
          <t>1963</t>
        </is>
      </c>
      <c r="O273" t="inlineStr">
        <is>
          <t>eng</t>
        </is>
      </c>
      <c r="P273" t="inlineStr">
        <is>
          <t>nyu</t>
        </is>
      </c>
      <c r="R273" t="inlineStr">
        <is>
          <t xml:space="preserve">QB </t>
        </is>
      </c>
      <c r="S273" t="n">
        <v>2</v>
      </c>
      <c r="T273" t="n">
        <v>2</v>
      </c>
      <c r="U273" t="inlineStr">
        <is>
          <t>1992-01-23</t>
        </is>
      </c>
      <c r="V273" t="inlineStr">
        <is>
          <t>1992-01-23</t>
        </is>
      </c>
      <c r="W273" t="inlineStr">
        <is>
          <t>1991-09-30</t>
        </is>
      </c>
      <c r="X273" t="inlineStr">
        <is>
          <t>1991-09-30</t>
        </is>
      </c>
      <c r="Y273" t="n">
        <v>346</v>
      </c>
      <c r="Z273" t="n">
        <v>263</v>
      </c>
      <c r="AA273" t="n">
        <v>265</v>
      </c>
      <c r="AB273" t="n">
        <v>3</v>
      </c>
      <c r="AC273" t="n">
        <v>3</v>
      </c>
      <c r="AD273" t="n">
        <v>9</v>
      </c>
      <c r="AE273" t="n">
        <v>9</v>
      </c>
      <c r="AF273" t="n">
        <v>1</v>
      </c>
      <c r="AG273" t="n">
        <v>1</v>
      </c>
      <c r="AH273" t="n">
        <v>2</v>
      </c>
      <c r="AI273" t="n">
        <v>2</v>
      </c>
      <c r="AJ273" t="n">
        <v>5</v>
      </c>
      <c r="AK273" t="n">
        <v>5</v>
      </c>
      <c r="AL273" t="n">
        <v>2</v>
      </c>
      <c r="AM273" t="n">
        <v>2</v>
      </c>
      <c r="AN273" t="n">
        <v>0</v>
      </c>
      <c r="AO273" t="n">
        <v>0</v>
      </c>
      <c r="AP273" t="inlineStr">
        <is>
          <t>No</t>
        </is>
      </c>
      <c r="AQ273" t="inlineStr">
        <is>
          <t>Yes</t>
        </is>
      </c>
      <c r="AR273">
        <f>HYPERLINK("http://catalog.hathitrust.org/Record/001476828","HathiTrust Record")</f>
        <v/>
      </c>
      <c r="AS273">
        <f>HYPERLINK("https://creighton-primo.hosted.exlibrisgroup.com/primo-explore/search?tab=default_tab&amp;search_scope=EVERYTHING&amp;vid=01CRU&amp;lang=en_US&amp;offset=0&amp;query=any,contains,991002930399702656","Catalog Record")</f>
        <v/>
      </c>
      <c r="AT273">
        <f>HYPERLINK("http://www.worldcat.org/oclc/530687","WorldCat Record")</f>
        <v/>
      </c>
      <c r="AU273" t="inlineStr">
        <is>
          <t>148010408:eng</t>
        </is>
      </c>
      <c r="AV273" t="inlineStr">
        <is>
          <t>530687</t>
        </is>
      </c>
      <c r="AW273" t="inlineStr">
        <is>
          <t>991002930399702656</t>
        </is>
      </c>
      <c r="AX273" t="inlineStr">
        <is>
          <t>991002930399702656</t>
        </is>
      </c>
      <c r="AY273" t="inlineStr">
        <is>
          <t>2266511430002656</t>
        </is>
      </c>
      <c r="AZ273" t="inlineStr">
        <is>
          <t>BOOK</t>
        </is>
      </c>
      <c r="BC273" t="inlineStr">
        <is>
          <t>32285000760099</t>
        </is>
      </c>
      <c r="BD273" t="inlineStr">
        <is>
          <t>893329730</t>
        </is>
      </c>
    </row>
    <row r="274">
      <c r="A274" t="inlineStr">
        <is>
          <t>No</t>
        </is>
      </c>
      <c r="B274" t="inlineStr">
        <is>
          <t>QB528 .Z5</t>
        </is>
      </c>
      <c r="C274" t="inlineStr">
        <is>
          <t>0                      QB 0528000Z  5</t>
        </is>
      </c>
      <c r="D274" t="inlineStr">
        <is>
          <t>The solar atmosphere.</t>
        </is>
      </c>
      <c r="F274" t="inlineStr">
        <is>
          <t>No</t>
        </is>
      </c>
      <c r="G274" t="inlineStr">
        <is>
          <t>1</t>
        </is>
      </c>
      <c r="H274" t="inlineStr">
        <is>
          <t>No</t>
        </is>
      </c>
      <c r="I274" t="inlineStr">
        <is>
          <t>No</t>
        </is>
      </c>
      <c r="J274" t="inlineStr">
        <is>
          <t>0</t>
        </is>
      </c>
      <c r="K274" t="inlineStr">
        <is>
          <t>Zirin, Harold.</t>
        </is>
      </c>
      <c r="L274" t="inlineStr">
        <is>
          <t>Waltham, Mass. : Blaisdell Pub. Co., [1966]</t>
        </is>
      </c>
      <c r="M274" t="inlineStr">
        <is>
          <t>1966</t>
        </is>
      </c>
      <c r="O274" t="inlineStr">
        <is>
          <t>eng</t>
        </is>
      </c>
      <c r="P274" t="inlineStr">
        <is>
          <t>mau</t>
        </is>
      </c>
      <c r="Q274" t="inlineStr">
        <is>
          <t>A Blaisdell book in the pure and applied sciences</t>
        </is>
      </c>
      <c r="R274" t="inlineStr">
        <is>
          <t xml:space="preserve">QB </t>
        </is>
      </c>
      <c r="S274" t="n">
        <v>2</v>
      </c>
      <c r="T274" t="n">
        <v>2</v>
      </c>
      <c r="U274" t="inlineStr">
        <is>
          <t>1995-10-02</t>
        </is>
      </c>
      <c r="V274" t="inlineStr">
        <is>
          <t>1995-10-02</t>
        </is>
      </c>
      <c r="W274" t="inlineStr">
        <is>
          <t>1991-09-30</t>
        </is>
      </c>
      <c r="X274" t="inlineStr">
        <is>
          <t>1991-09-30</t>
        </is>
      </c>
      <c r="Y274" t="n">
        <v>474</v>
      </c>
      <c r="Z274" t="n">
        <v>402</v>
      </c>
      <c r="AA274" t="n">
        <v>404</v>
      </c>
      <c r="AB274" t="n">
        <v>2</v>
      </c>
      <c r="AC274" t="n">
        <v>2</v>
      </c>
      <c r="AD274" t="n">
        <v>11</v>
      </c>
      <c r="AE274" t="n">
        <v>11</v>
      </c>
      <c r="AF274" t="n">
        <v>5</v>
      </c>
      <c r="AG274" t="n">
        <v>5</v>
      </c>
      <c r="AH274" t="n">
        <v>1</v>
      </c>
      <c r="AI274" t="n">
        <v>1</v>
      </c>
      <c r="AJ274" t="n">
        <v>7</v>
      </c>
      <c r="AK274" t="n">
        <v>7</v>
      </c>
      <c r="AL274" t="n">
        <v>1</v>
      </c>
      <c r="AM274" t="n">
        <v>1</v>
      </c>
      <c r="AN274" t="n">
        <v>0</v>
      </c>
      <c r="AO274" t="n">
        <v>0</v>
      </c>
      <c r="AP274" t="inlineStr">
        <is>
          <t>No</t>
        </is>
      </c>
      <c r="AQ274" t="inlineStr">
        <is>
          <t>Yes</t>
        </is>
      </c>
      <c r="AR274">
        <f>HYPERLINK("http://catalog.hathitrust.org/Record/001990950","HathiTrust Record")</f>
        <v/>
      </c>
      <c r="AS274">
        <f>HYPERLINK("https://creighton-primo.hosted.exlibrisgroup.com/primo-explore/search?tab=default_tab&amp;search_scope=EVERYTHING&amp;vid=01CRU&amp;lang=en_US&amp;offset=0&amp;query=any,contains,991002930279702656","Catalog Record")</f>
        <v/>
      </c>
      <c r="AT274">
        <f>HYPERLINK("http://www.worldcat.org/oclc/530626","WorldCat Record")</f>
        <v/>
      </c>
      <c r="AU274" t="inlineStr">
        <is>
          <t>1543647:eng</t>
        </is>
      </c>
      <c r="AV274" t="inlineStr">
        <is>
          <t>530626</t>
        </is>
      </c>
      <c r="AW274" t="inlineStr">
        <is>
          <t>991002930279702656</t>
        </is>
      </c>
      <c r="AX274" t="inlineStr">
        <is>
          <t>991002930279702656</t>
        </is>
      </c>
      <c r="AY274" t="inlineStr">
        <is>
          <t>2266592760002656</t>
        </is>
      </c>
      <c r="AZ274" t="inlineStr">
        <is>
          <t>BOOK</t>
        </is>
      </c>
      <c r="BC274" t="inlineStr">
        <is>
          <t>32285000760107</t>
        </is>
      </c>
      <c r="BD274" t="inlineStr">
        <is>
          <t>893440701</t>
        </is>
      </c>
    </row>
    <row r="275">
      <c r="A275" t="inlineStr">
        <is>
          <t>No</t>
        </is>
      </c>
      <c r="B275" t="inlineStr">
        <is>
          <t>QB529 .S627 1987</t>
        </is>
      </c>
      <c r="C275" t="inlineStr">
        <is>
          <t>0                      QB 0529000S  627         1987</t>
        </is>
      </c>
      <c r="D275" t="inlineStr">
        <is>
          <t>The Solar wind and the earth / edited by S.-I. Akasofu and Y. Kamide.</t>
        </is>
      </c>
      <c r="F275" t="inlineStr">
        <is>
          <t>No</t>
        </is>
      </c>
      <c r="G275" t="inlineStr">
        <is>
          <t>1</t>
        </is>
      </c>
      <c r="H275" t="inlineStr">
        <is>
          <t>No</t>
        </is>
      </c>
      <c r="I275" t="inlineStr">
        <is>
          <t>No</t>
        </is>
      </c>
      <c r="J275" t="inlineStr">
        <is>
          <t>0</t>
        </is>
      </c>
      <c r="L275" t="inlineStr">
        <is>
          <t>Tokyo, Japan : Terra Scientific Pub. Co. ; Dordrecht ; Boston : D. Reidel Pub. Co. ; Norwell, MA, U.S.A. : Sold and distributed in the U.S.A. and Canada by Kluwer Boston Inc., c1987.</t>
        </is>
      </c>
      <c r="M275" t="inlineStr">
        <is>
          <t>1987</t>
        </is>
      </c>
      <c r="O275" t="inlineStr">
        <is>
          <t>eng</t>
        </is>
      </c>
      <c r="P275" t="inlineStr">
        <is>
          <t xml:space="preserve">ja </t>
        </is>
      </c>
      <c r="Q275" t="inlineStr">
        <is>
          <t>Geophysics and astrophysics monographs</t>
        </is>
      </c>
      <c r="R275" t="inlineStr">
        <is>
          <t xml:space="preserve">QB </t>
        </is>
      </c>
      <c r="S275" t="n">
        <v>5</v>
      </c>
      <c r="T275" t="n">
        <v>5</v>
      </c>
      <c r="U275" t="inlineStr">
        <is>
          <t>1995-11-27</t>
        </is>
      </c>
      <c r="V275" t="inlineStr">
        <is>
          <t>1995-11-27</t>
        </is>
      </c>
      <c r="W275" t="inlineStr">
        <is>
          <t>1992-03-31</t>
        </is>
      </c>
      <c r="X275" t="inlineStr">
        <is>
          <t>1992-03-31</t>
        </is>
      </c>
      <c r="Y275" t="n">
        <v>154</v>
      </c>
      <c r="Z275" t="n">
        <v>110</v>
      </c>
      <c r="AA275" t="n">
        <v>114</v>
      </c>
      <c r="AB275" t="n">
        <v>2</v>
      </c>
      <c r="AC275" t="n">
        <v>2</v>
      </c>
      <c r="AD275" t="n">
        <v>4</v>
      </c>
      <c r="AE275" t="n">
        <v>4</v>
      </c>
      <c r="AF275" t="n">
        <v>0</v>
      </c>
      <c r="AG275" t="n">
        <v>0</v>
      </c>
      <c r="AH275" t="n">
        <v>2</v>
      </c>
      <c r="AI275" t="n">
        <v>2</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HYPERLINK("https://creighton-primo.hosted.exlibrisgroup.com/primo-explore/search?tab=default_tab&amp;search_scope=EVERYTHING&amp;vid=01CRU&amp;lang=en_US&amp;offset=0&amp;query=any,contains,991001011489702656","Catalog Record")</f>
        <v/>
      </c>
      <c r="AT275">
        <f>HYPERLINK("http://www.worldcat.org/oclc/15284057","WorldCat Record")</f>
        <v/>
      </c>
      <c r="AU275" t="inlineStr">
        <is>
          <t>350230341:eng</t>
        </is>
      </c>
      <c r="AV275" t="inlineStr">
        <is>
          <t>15284057</t>
        </is>
      </c>
      <c r="AW275" t="inlineStr">
        <is>
          <t>991001011489702656</t>
        </is>
      </c>
      <c r="AX275" t="inlineStr">
        <is>
          <t>991001011489702656</t>
        </is>
      </c>
      <c r="AY275" t="inlineStr">
        <is>
          <t>2265118300002656</t>
        </is>
      </c>
      <c r="AZ275" t="inlineStr">
        <is>
          <t>BOOK</t>
        </is>
      </c>
      <c r="BB275" t="inlineStr">
        <is>
          <t>9789027724724</t>
        </is>
      </c>
      <c r="BC275" t="inlineStr">
        <is>
          <t>32285001031755</t>
        </is>
      </c>
      <c r="BD275" t="inlineStr">
        <is>
          <t>893696387</t>
        </is>
      </c>
    </row>
    <row r="276">
      <c r="A276" t="inlineStr">
        <is>
          <t>No</t>
        </is>
      </c>
      <c r="B276" t="inlineStr">
        <is>
          <t>QB531 .S58</t>
        </is>
      </c>
      <c r="C276" t="inlineStr">
        <is>
          <t>0                      QB 0531000S  58</t>
        </is>
      </c>
      <c r="D276" t="inlineStr">
        <is>
          <t>The Solar output and its variation / edited by Oran R. White.</t>
        </is>
      </c>
      <c r="F276" t="inlineStr">
        <is>
          <t>No</t>
        </is>
      </c>
      <c r="G276" t="inlineStr">
        <is>
          <t>1</t>
        </is>
      </c>
      <c r="H276" t="inlineStr">
        <is>
          <t>No</t>
        </is>
      </c>
      <c r="I276" t="inlineStr">
        <is>
          <t>No</t>
        </is>
      </c>
      <c r="J276" t="inlineStr">
        <is>
          <t>0</t>
        </is>
      </c>
      <c r="L276" t="inlineStr">
        <is>
          <t>Boulder : Colorado Associated University Press, c1977.</t>
        </is>
      </c>
      <c r="M276" t="inlineStr">
        <is>
          <t>1977</t>
        </is>
      </c>
      <c r="O276" t="inlineStr">
        <is>
          <t>eng</t>
        </is>
      </c>
      <c r="P276" t="inlineStr">
        <is>
          <t>cou</t>
        </is>
      </c>
      <c r="R276" t="inlineStr">
        <is>
          <t xml:space="preserve">QB </t>
        </is>
      </c>
      <c r="S276" t="n">
        <v>5</v>
      </c>
      <c r="T276" t="n">
        <v>5</v>
      </c>
      <c r="U276" t="inlineStr">
        <is>
          <t>1995-11-27</t>
        </is>
      </c>
      <c r="V276" t="inlineStr">
        <is>
          <t>1995-11-27</t>
        </is>
      </c>
      <c r="W276" t="inlineStr">
        <is>
          <t>1992-11-23</t>
        </is>
      </c>
      <c r="X276" t="inlineStr">
        <is>
          <t>1992-11-23</t>
        </is>
      </c>
      <c r="Y276" t="n">
        <v>390</v>
      </c>
      <c r="Z276" t="n">
        <v>307</v>
      </c>
      <c r="AA276" t="n">
        <v>316</v>
      </c>
      <c r="AB276" t="n">
        <v>3</v>
      </c>
      <c r="AC276" t="n">
        <v>3</v>
      </c>
      <c r="AD276" t="n">
        <v>5</v>
      </c>
      <c r="AE276" t="n">
        <v>5</v>
      </c>
      <c r="AF276" t="n">
        <v>1</v>
      </c>
      <c r="AG276" t="n">
        <v>1</v>
      </c>
      <c r="AH276" t="n">
        <v>1</v>
      </c>
      <c r="AI276" t="n">
        <v>1</v>
      </c>
      <c r="AJ276" t="n">
        <v>1</v>
      </c>
      <c r="AK276" t="n">
        <v>1</v>
      </c>
      <c r="AL276" t="n">
        <v>2</v>
      </c>
      <c r="AM276" t="n">
        <v>2</v>
      </c>
      <c r="AN276" t="n">
        <v>0</v>
      </c>
      <c r="AO276" t="n">
        <v>0</v>
      </c>
      <c r="AP276" t="inlineStr">
        <is>
          <t>No</t>
        </is>
      </c>
      <c r="AQ276" t="inlineStr">
        <is>
          <t>Yes</t>
        </is>
      </c>
      <c r="AR276">
        <f>HYPERLINK("http://catalog.hathitrust.org/Record/000092523","HathiTrust Record")</f>
        <v/>
      </c>
      <c r="AS276">
        <f>HYPERLINK("https://creighton-primo.hosted.exlibrisgroup.com/primo-explore/search?tab=default_tab&amp;search_scope=EVERYTHING&amp;vid=01CRU&amp;lang=en_US&amp;offset=0&amp;query=any,contains,991004484229702656","Catalog Record")</f>
        <v/>
      </c>
      <c r="AT276">
        <f>HYPERLINK("http://www.worldcat.org/oclc/3631958","WorldCat Record")</f>
        <v/>
      </c>
      <c r="AU276" t="inlineStr">
        <is>
          <t>11787048:eng</t>
        </is>
      </c>
      <c r="AV276" t="inlineStr">
        <is>
          <t>3631958</t>
        </is>
      </c>
      <c r="AW276" t="inlineStr">
        <is>
          <t>991004484229702656</t>
        </is>
      </c>
      <c r="AX276" t="inlineStr">
        <is>
          <t>991004484229702656</t>
        </is>
      </c>
      <c r="AY276" t="inlineStr">
        <is>
          <t>2259321410002656</t>
        </is>
      </c>
      <c r="AZ276" t="inlineStr">
        <is>
          <t>BOOK</t>
        </is>
      </c>
      <c r="BB276" t="inlineStr">
        <is>
          <t>9780871800718</t>
        </is>
      </c>
      <c r="BC276" t="inlineStr">
        <is>
          <t>32285001433399</t>
        </is>
      </c>
      <c r="BD276" t="inlineStr">
        <is>
          <t>893612404</t>
        </is>
      </c>
    </row>
    <row r="277">
      <c r="A277" t="inlineStr">
        <is>
          <t>No</t>
        </is>
      </c>
      <c r="B277" t="inlineStr">
        <is>
          <t>QB539.E8 C66 1979</t>
        </is>
      </c>
      <c r="C277" t="inlineStr">
        <is>
          <t>0                      QB 0539000E  8                  C  66          1979</t>
        </is>
      </c>
      <c r="D277" t="inlineStr">
        <is>
          <t>The ancient sun : fossil record in the earth, moon, and meteorites : proceedings of the Conference on the Ancient Sun : Fossil Record in the Earth, Moon, and Meteorites, Boulder, Colorado, October 16-19, 1979 / edited by R.O. Pepin, J.A. Eddy, R.B. Merrill ; compiled by the Lunar and Planetary Institute, Houston, Texas.</t>
        </is>
      </c>
      <c r="F277" t="inlineStr">
        <is>
          <t>No</t>
        </is>
      </c>
      <c r="G277" t="inlineStr">
        <is>
          <t>1</t>
        </is>
      </c>
      <c r="H277" t="inlineStr">
        <is>
          <t>No</t>
        </is>
      </c>
      <c r="I277" t="inlineStr">
        <is>
          <t>No</t>
        </is>
      </c>
      <c r="J277" t="inlineStr">
        <is>
          <t>0</t>
        </is>
      </c>
      <c r="K277" t="inlineStr">
        <is>
          <t>Conference on the Ancient Sun: Fossil Record in the Earth, Moon, and Meteorites (1979 : National Center for Atmospheric Research)</t>
        </is>
      </c>
      <c r="L277" t="inlineStr">
        <is>
          <t>New York : Pergamon Press, 1980.</t>
        </is>
      </c>
      <c r="M277" t="inlineStr">
        <is>
          <t>1980</t>
        </is>
      </c>
      <c r="N277" t="inlineStr">
        <is>
          <t>1st. ed.</t>
        </is>
      </c>
      <c r="O277" t="inlineStr">
        <is>
          <t>eng</t>
        </is>
      </c>
      <c r="P277" t="inlineStr">
        <is>
          <t>nyu</t>
        </is>
      </c>
      <c r="Q277" t="inlineStr">
        <is>
          <t>Geochimica et cosmochimica acta. Supplement ; 13</t>
        </is>
      </c>
      <c r="R277" t="inlineStr">
        <is>
          <t xml:space="preserve">QB </t>
        </is>
      </c>
      <c r="S277" t="n">
        <v>6</v>
      </c>
      <c r="T277" t="n">
        <v>6</v>
      </c>
      <c r="U277" t="inlineStr">
        <is>
          <t>1995-09-11</t>
        </is>
      </c>
      <c r="V277" t="inlineStr">
        <is>
          <t>1995-09-11</t>
        </is>
      </c>
      <c r="W277" t="inlineStr">
        <is>
          <t>1990-02-05</t>
        </is>
      </c>
      <c r="X277" t="inlineStr">
        <is>
          <t>1990-02-05</t>
        </is>
      </c>
      <c r="Y277" t="n">
        <v>186</v>
      </c>
      <c r="Z277" t="n">
        <v>138</v>
      </c>
      <c r="AA277" t="n">
        <v>139</v>
      </c>
      <c r="AB277" t="n">
        <v>2</v>
      </c>
      <c r="AC277" t="n">
        <v>2</v>
      </c>
      <c r="AD277" t="n">
        <v>4</v>
      </c>
      <c r="AE277" t="n">
        <v>4</v>
      </c>
      <c r="AF277" t="n">
        <v>1</v>
      </c>
      <c r="AG277" t="n">
        <v>1</v>
      </c>
      <c r="AH277" t="n">
        <v>1</v>
      </c>
      <c r="AI277" t="n">
        <v>1</v>
      </c>
      <c r="AJ277" t="n">
        <v>2</v>
      </c>
      <c r="AK277" t="n">
        <v>2</v>
      </c>
      <c r="AL277" t="n">
        <v>1</v>
      </c>
      <c r="AM277" t="n">
        <v>1</v>
      </c>
      <c r="AN277" t="n">
        <v>0</v>
      </c>
      <c r="AO277" t="n">
        <v>0</v>
      </c>
      <c r="AP277" t="inlineStr">
        <is>
          <t>No</t>
        </is>
      </c>
      <c r="AQ277" t="inlineStr">
        <is>
          <t>Yes</t>
        </is>
      </c>
      <c r="AR277">
        <f>HYPERLINK("http://catalog.hathitrust.org/Record/000266282","HathiTrust Record")</f>
        <v/>
      </c>
      <c r="AS277">
        <f>HYPERLINK("https://creighton-primo.hosted.exlibrisgroup.com/primo-explore/search?tab=default_tab&amp;search_scope=EVERYTHING&amp;vid=01CRU&amp;lang=en_US&amp;offset=0&amp;query=any,contains,991005012489702656","Catalog Record")</f>
        <v/>
      </c>
      <c r="AT277">
        <f>HYPERLINK("http://www.worldcat.org/oclc/6603832","WorldCat Record")</f>
        <v/>
      </c>
      <c r="AU277" t="inlineStr">
        <is>
          <t>111513977:eng</t>
        </is>
      </c>
      <c r="AV277" t="inlineStr">
        <is>
          <t>6603832</t>
        </is>
      </c>
      <c r="AW277" t="inlineStr">
        <is>
          <t>991005012489702656</t>
        </is>
      </c>
      <c r="AX277" t="inlineStr">
        <is>
          <t>991005012489702656</t>
        </is>
      </c>
      <c r="AY277" t="inlineStr">
        <is>
          <t>2254842680002656</t>
        </is>
      </c>
      <c r="AZ277" t="inlineStr">
        <is>
          <t>BOOK</t>
        </is>
      </c>
      <c r="BB277" t="inlineStr">
        <is>
          <t>9780080263243</t>
        </is>
      </c>
      <c r="BC277" t="inlineStr">
        <is>
          <t>32285000032770</t>
        </is>
      </c>
      <c r="BD277" t="inlineStr">
        <is>
          <t>893248214</t>
        </is>
      </c>
    </row>
    <row r="278">
      <c r="A278" t="inlineStr">
        <is>
          <t>No</t>
        </is>
      </c>
      <c r="B278" t="inlineStr">
        <is>
          <t>QB539.I5 Z57 2003</t>
        </is>
      </c>
      <c r="C278" t="inlineStr">
        <is>
          <t>0                      QB 0539000I  5                  Z  57          2003</t>
        </is>
      </c>
      <c r="D278" t="inlineStr">
        <is>
          <t>Sunquakes : probing the interior of the sun / J.B. Zirker.</t>
        </is>
      </c>
      <c r="F278" t="inlineStr">
        <is>
          <t>No</t>
        </is>
      </c>
      <c r="G278" t="inlineStr">
        <is>
          <t>1</t>
        </is>
      </c>
      <c r="H278" t="inlineStr">
        <is>
          <t>No</t>
        </is>
      </c>
      <c r="I278" t="inlineStr">
        <is>
          <t>No</t>
        </is>
      </c>
      <c r="J278" t="inlineStr">
        <is>
          <t>0</t>
        </is>
      </c>
      <c r="K278" t="inlineStr">
        <is>
          <t>Zirker, Jack B.</t>
        </is>
      </c>
      <c r="L278" t="inlineStr">
        <is>
          <t>Baltimore : Johns Hopkins University Press, 2003.</t>
        </is>
      </c>
      <c r="M278" t="inlineStr">
        <is>
          <t>2003</t>
        </is>
      </c>
      <c r="O278" t="inlineStr">
        <is>
          <t>eng</t>
        </is>
      </c>
      <c r="P278" t="inlineStr">
        <is>
          <t>mdu</t>
        </is>
      </c>
      <c r="R278" t="inlineStr">
        <is>
          <t xml:space="preserve">QB </t>
        </is>
      </c>
      <c r="S278" t="n">
        <v>1</v>
      </c>
      <c r="T278" t="n">
        <v>1</v>
      </c>
      <c r="U278" t="inlineStr">
        <is>
          <t>2004-04-07</t>
        </is>
      </c>
      <c r="V278" t="inlineStr">
        <is>
          <t>2004-04-07</t>
        </is>
      </c>
      <c r="W278" t="inlineStr">
        <is>
          <t>2004-04-07</t>
        </is>
      </c>
      <c r="X278" t="inlineStr">
        <is>
          <t>2004-04-07</t>
        </is>
      </c>
      <c r="Y278" t="n">
        <v>486</v>
      </c>
      <c r="Z278" t="n">
        <v>434</v>
      </c>
      <c r="AA278" t="n">
        <v>462</v>
      </c>
      <c r="AB278" t="n">
        <v>4</v>
      </c>
      <c r="AC278" t="n">
        <v>4</v>
      </c>
      <c r="AD278" t="n">
        <v>15</v>
      </c>
      <c r="AE278" t="n">
        <v>16</v>
      </c>
      <c r="AF278" t="n">
        <v>4</v>
      </c>
      <c r="AG278" t="n">
        <v>5</v>
      </c>
      <c r="AH278" t="n">
        <v>4</v>
      </c>
      <c r="AI278" t="n">
        <v>4</v>
      </c>
      <c r="AJ278" t="n">
        <v>8</v>
      </c>
      <c r="AK278" t="n">
        <v>8</v>
      </c>
      <c r="AL278" t="n">
        <v>3</v>
      </c>
      <c r="AM278" t="n">
        <v>3</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HYPERLINK("https://creighton-primo.hosted.exlibrisgroup.com/primo-explore/search?tab=default_tab&amp;search_scope=EVERYTHING&amp;vid=01CRU&amp;lang=en_US&amp;offset=0&amp;query=any,contains,991004261759702656","Catalog Record")</f>
        <v/>
      </c>
      <c r="AT278">
        <f>HYPERLINK("http://www.worldcat.org/oclc/52030324","WorldCat Record")</f>
        <v/>
      </c>
      <c r="AU278" t="inlineStr">
        <is>
          <t>800879581:eng</t>
        </is>
      </c>
      <c r="AV278" t="inlineStr">
        <is>
          <t>52030324</t>
        </is>
      </c>
      <c r="AW278" t="inlineStr">
        <is>
          <t>991004261759702656</t>
        </is>
      </c>
      <c r="AX278" t="inlineStr">
        <is>
          <t>991004261759702656</t>
        </is>
      </c>
      <c r="AY278" t="inlineStr">
        <is>
          <t>2256445140002656</t>
        </is>
      </c>
      <c r="AZ278" t="inlineStr">
        <is>
          <t>BOOK</t>
        </is>
      </c>
      <c r="BB278" t="inlineStr">
        <is>
          <t>9780801874192</t>
        </is>
      </c>
      <c r="BC278" t="inlineStr">
        <is>
          <t>32285004898689</t>
        </is>
      </c>
      <c r="BD278" t="inlineStr">
        <is>
          <t>893775827</t>
        </is>
      </c>
    </row>
    <row r="279">
      <c r="A279" t="inlineStr">
        <is>
          <t>No</t>
        </is>
      </c>
      <c r="B279" t="inlineStr">
        <is>
          <t>QB54 .A84 1979</t>
        </is>
      </c>
      <c r="C279" t="inlineStr">
        <is>
          <t>0                      QB 0054000A  84          1979</t>
        </is>
      </c>
      <c r="D279" t="inlineStr">
        <is>
          <t>Extraterrestrial civilizations / Isaac Asimov.</t>
        </is>
      </c>
      <c r="F279" t="inlineStr">
        <is>
          <t>No</t>
        </is>
      </c>
      <c r="G279" t="inlineStr">
        <is>
          <t>1</t>
        </is>
      </c>
      <c r="H279" t="inlineStr">
        <is>
          <t>No</t>
        </is>
      </c>
      <c r="I279" t="inlineStr">
        <is>
          <t>No</t>
        </is>
      </c>
      <c r="J279" t="inlineStr">
        <is>
          <t>0</t>
        </is>
      </c>
      <c r="K279" t="inlineStr">
        <is>
          <t>Asimov, Isaac, 1920-1992.</t>
        </is>
      </c>
      <c r="L279" t="inlineStr">
        <is>
          <t>New York : Crown Publishers, c1979.</t>
        </is>
      </c>
      <c r="M279" t="inlineStr">
        <is>
          <t>1979</t>
        </is>
      </c>
      <c r="O279" t="inlineStr">
        <is>
          <t>eng</t>
        </is>
      </c>
      <c r="P279" t="inlineStr">
        <is>
          <t>nyu</t>
        </is>
      </c>
      <c r="R279" t="inlineStr">
        <is>
          <t xml:space="preserve">QB </t>
        </is>
      </c>
      <c r="S279" t="n">
        <v>5</v>
      </c>
      <c r="T279" t="n">
        <v>5</v>
      </c>
      <c r="U279" t="inlineStr">
        <is>
          <t>1998-04-17</t>
        </is>
      </c>
      <c r="V279" t="inlineStr">
        <is>
          <t>1998-04-17</t>
        </is>
      </c>
      <c r="W279" t="inlineStr">
        <is>
          <t>1990-04-04</t>
        </is>
      </c>
      <c r="X279" t="inlineStr">
        <is>
          <t>1990-04-04</t>
        </is>
      </c>
      <c r="Y279" t="n">
        <v>1414</v>
      </c>
      <c r="Z279" t="n">
        <v>1334</v>
      </c>
      <c r="AA279" t="n">
        <v>1446</v>
      </c>
      <c r="AB279" t="n">
        <v>13</v>
      </c>
      <c r="AC279" t="n">
        <v>13</v>
      </c>
      <c r="AD279" t="n">
        <v>27</v>
      </c>
      <c r="AE279" t="n">
        <v>27</v>
      </c>
      <c r="AF279" t="n">
        <v>11</v>
      </c>
      <c r="AG279" t="n">
        <v>11</v>
      </c>
      <c r="AH279" t="n">
        <v>5</v>
      </c>
      <c r="AI279" t="n">
        <v>5</v>
      </c>
      <c r="AJ279" t="n">
        <v>9</v>
      </c>
      <c r="AK279" t="n">
        <v>9</v>
      </c>
      <c r="AL279" t="n">
        <v>7</v>
      </c>
      <c r="AM279" t="n">
        <v>7</v>
      </c>
      <c r="AN279" t="n">
        <v>0</v>
      </c>
      <c r="AO279" t="n">
        <v>0</v>
      </c>
      <c r="AP279" t="inlineStr">
        <is>
          <t>No</t>
        </is>
      </c>
      <c r="AQ279" t="inlineStr">
        <is>
          <t>Yes</t>
        </is>
      </c>
      <c r="AR279">
        <f>HYPERLINK("http://catalog.hathitrust.org/Record/000259866","HathiTrust Record")</f>
        <v/>
      </c>
      <c r="AS279">
        <f>HYPERLINK("https://creighton-primo.hosted.exlibrisgroup.com/primo-explore/search?tab=default_tab&amp;search_scope=EVERYTHING&amp;vid=01CRU&amp;lang=en_US&amp;offset=0&amp;query=any,contains,991004693839702656","Catalog Record")</f>
        <v/>
      </c>
      <c r="AT279">
        <f>HYPERLINK("http://www.worldcat.org/oclc/4638134","WorldCat Record")</f>
        <v/>
      </c>
      <c r="AU279" t="inlineStr">
        <is>
          <t>46520966:eng</t>
        </is>
      </c>
      <c r="AV279" t="inlineStr">
        <is>
          <t>4638134</t>
        </is>
      </c>
      <c r="AW279" t="inlineStr">
        <is>
          <t>991004693839702656</t>
        </is>
      </c>
      <c r="AX279" t="inlineStr">
        <is>
          <t>991004693839702656</t>
        </is>
      </c>
      <c r="AY279" t="inlineStr">
        <is>
          <t>2256127830002656</t>
        </is>
      </c>
      <c r="AZ279" t="inlineStr">
        <is>
          <t>BOOK</t>
        </is>
      </c>
      <c r="BB279" t="inlineStr">
        <is>
          <t>9780517530757</t>
        </is>
      </c>
      <c r="BC279" t="inlineStr">
        <is>
          <t>32285000109933</t>
        </is>
      </c>
      <c r="BD279" t="inlineStr">
        <is>
          <t>893612656</t>
        </is>
      </c>
    </row>
    <row r="280">
      <c r="A280" t="inlineStr">
        <is>
          <t>No</t>
        </is>
      </c>
      <c r="B280" t="inlineStr">
        <is>
          <t>QB54 .B64 1990</t>
        </is>
      </c>
      <c r="C280" t="inlineStr">
        <is>
          <t>0                      QB 0054000B  64          1990</t>
        </is>
      </c>
      <c r="D280" t="inlineStr">
        <is>
          <t>Out there : the government's secret quest for extraterrestrials / Howard Blum.</t>
        </is>
      </c>
      <c r="F280" t="inlineStr">
        <is>
          <t>No</t>
        </is>
      </c>
      <c r="G280" t="inlineStr">
        <is>
          <t>1</t>
        </is>
      </c>
      <c r="H280" t="inlineStr">
        <is>
          <t>No</t>
        </is>
      </c>
      <c r="I280" t="inlineStr">
        <is>
          <t>No</t>
        </is>
      </c>
      <c r="J280" t="inlineStr">
        <is>
          <t>0</t>
        </is>
      </c>
      <c r="K280" t="inlineStr">
        <is>
          <t>Blum, Howard.</t>
        </is>
      </c>
      <c r="L280" t="inlineStr">
        <is>
          <t>New York : Simon and Schuster, c1990.</t>
        </is>
      </c>
      <c r="M280" t="inlineStr">
        <is>
          <t>1990</t>
        </is>
      </c>
      <c r="O280" t="inlineStr">
        <is>
          <t>eng</t>
        </is>
      </c>
      <c r="P280" t="inlineStr">
        <is>
          <t>nyu</t>
        </is>
      </c>
      <c r="R280" t="inlineStr">
        <is>
          <t xml:space="preserve">QB </t>
        </is>
      </c>
      <c r="S280" t="n">
        <v>6</v>
      </c>
      <c r="T280" t="n">
        <v>6</v>
      </c>
      <c r="U280" t="inlineStr">
        <is>
          <t>2003-02-02</t>
        </is>
      </c>
      <c r="V280" t="inlineStr">
        <is>
          <t>2003-02-02</t>
        </is>
      </c>
      <c r="W280" t="inlineStr">
        <is>
          <t>1990-10-17</t>
        </is>
      </c>
      <c r="X280" t="inlineStr">
        <is>
          <t>1990-10-17</t>
        </is>
      </c>
      <c r="Y280" t="n">
        <v>786</v>
      </c>
      <c r="Z280" t="n">
        <v>755</v>
      </c>
      <c r="AA280" t="n">
        <v>800</v>
      </c>
      <c r="AB280" t="n">
        <v>5</v>
      </c>
      <c r="AC280" t="n">
        <v>6</v>
      </c>
      <c r="AD280" t="n">
        <v>11</v>
      </c>
      <c r="AE280" t="n">
        <v>11</v>
      </c>
      <c r="AF280" t="n">
        <v>6</v>
      </c>
      <c r="AG280" t="n">
        <v>6</v>
      </c>
      <c r="AH280" t="n">
        <v>3</v>
      </c>
      <c r="AI280" t="n">
        <v>3</v>
      </c>
      <c r="AJ280" t="n">
        <v>4</v>
      </c>
      <c r="AK280" t="n">
        <v>4</v>
      </c>
      <c r="AL280" t="n">
        <v>0</v>
      </c>
      <c r="AM280" t="n">
        <v>0</v>
      </c>
      <c r="AN280" t="n">
        <v>0</v>
      </c>
      <c r="AO280" t="n">
        <v>0</v>
      </c>
      <c r="AP280" t="inlineStr">
        <is>
          <t>No</t>
        </is>
      </c>
      <c r="AQ280" t="inlineStr">
        <is>
          <t>Yes</t>
        </is>
      </c>
      <c r="AR280">
        <f>HYPERLINK("http://catalog.hathitrust.org/Record/002229577","HathiTrust Record")</f>
        <v/>
      </c>
      <c r="AS280">
        <f>HYPERLINK("https://creighton-primo.hosted.exlibrisgroup.com/primo-explore/search?tab=default_tab&amp;search_scope=EVERYTHING&amp;vid=01CRU&amp;lang=en_US&amp;offset=0&amp;query=any,contains,991001709399702656","Catalog Record")</f>
        <v/>
      </c>
      <c r="AT280">
        <f>HYPERLINK("http://www.worldcat.org/oclc/21593790","WorldCat Record")</f>
        <v/>
      </c>
      <c r="AU280" t="inlineStr">
        <is>
          <t>23786008:eng</t>
        </is>
      </c>
      <c r="AV280" t="inlineStr">
        <is>
          <t>21593790</t>
        </is>
      </c>
      <c r="AW280" t="inlineStr">
        <is>
          <t>991001709399702656</t>
        </is>
      </c>
      <c r="AX280" t="inlineStr">
        <is>
          <t>991001709399702656</t>
        </is>
      </c>
      <c r="AY280" t="inlineStr">
        <is>
          <t>2256215740002656</t>
        </is>
      </c>
      <c r="AZ280" t="inlineStr">
        <is>
          <t>BOOK</t>
        </is>
      </c>
      <c r="BB280" t="inlineStr">
        <is>
          <t>9780671662608</t>
        </is>
      </c>
      <c r="BC280" t="inlineStr">
        <is>
          <t>32285000311323</t>
        </is>
      </c>
      <c r="BD280" t="inlineStr">
        <is>
          <t>893516421</t>
        </is>
      </c>
    </row>
    <row r="281">
      <c r="A281" t="inlineStr">
        <is>
          <t>No</t>
        </is>
      </c>
      <c r="B281" t="inlineStr">
        <is>
          <t>QB54 .B69 1975</t>
        </is>
      </c>
      <c r="C281" t="inlineStr">
        <is>
          <t>0                      QB 0054000B  69          1975</t>
        </is>
      </c>
      <c r="D281" t="inlineStr">
        <is>
          <t>The Galactic Club : intelligent life in outer space / Ronald N. Bracewell.</t>
        </is>
      </c>
      <c r="F281" t="inlineStr">
        <is>
          <t>No</t>
        </is>
      </c>
      <c r="G281" t="inlineStr">
        <is>
          <t>1</t>
        </is>
      </c>
      <c r="H281" t="inlineStr">
        <is>
          <t>No</t>
        </is>
      </c>
      <c r="I281" t="inlineStr">
        <is>
          <t>No</t>
        </is>
      </c>
      <c r="J281" t="inlineStr">
        <is>
          <t>0</t>
        </is>
      </c>
      <c r="K281" t="inlineStr">
        <is>
          <t>Bracewell, Ronald N. (Ronald Newbold), 1921-2007.</t>
        </is>
      </c>
      <c r="L281" t="inlineStr">
        <is>
          <t>San Francisco : W. H. Freeman : distributed by Scribner, New York, [1975]</t>
        </is>
      </c>
      <c r="M281" t="inlineStr">
        <is>
          <t>1975</t>
        </is>
      </c>
      <c r="O281" t="inlineStr">
        <is>
          <t>eng</t>
        </is>
      </c>
      <c r="P281" t="inlineStr">
        <is>
          <t>cau</t>
        </is>
      </c>
      <c r="R281" t="inlineStr">
        <is>
          <t xml:space="preserve">QB </t>
        </is>
      </c>
      <c r="S281" t="n">
        <v>3</v>
      </c>
      <c r="T281" t="n">
        <v>3</v>
      </c>
      <c r="U281" t="inlineStr">
        <is>
          <t>1995-04-21</t>
        </is>
      </c>
      <c r="V281" t="inlineStr">
        <is>
          <t>1995-04-21</t>
        </is>
      </c>
      <c r="W281" t="inlineStr">
        <is>
          <t>1993-07-21</t>
        </is>
      </c>
      <c r="X281" t="inlineStr">
        <is>
          <t>1993-07-21</t>
        </is>
      </c>
      <c r="Y281" t="n">
        <v>746</v>
      </c>
      <c r="Z281" t="n">
        <v>669</v>
      </c>
      <c r="AA281" t="n">
        <v>845</v>
      </c>
      <c r="AB281" t="n">
        <v>8</v>
      </c>
      <c r="AC281" t="n">
        <v>8</v>
      </c>
      <c r="AD281" t="n">
        <v>23</v>
      </c>
      <c r="AE281" t="n">
        <v>25</v>
      </c>
      <c r="AF281" t="n">
        <v>5</v>
      </c>
      <c r="AG281" t="n">
        <v>6</v>
      </c>
      <c r="AH281" t="n">
        <v>6</v>
      </c>
      <c r="AI281" t="n">
        <v>7</v>
      </c>
      <c r="AJ281" t="n">
        <v>11</v>
      </c>
      <c r="AK281" t="n">
        <v>13</v>
      </c>
      <c r="AL281" t="n">
        <v>6</v>
      </c>
      <c r="AM281" t="n">
        <v>6</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HYPERLINK("https://creighton-primo.hosted.exlibrisgroup.com/primo-explore/search?tab=default_tab&amp;search_scope=EVERYTHING&amp;vid=01CRU&amp;lang=en_US&amp;offset=0&amp;query=any,contains,991003530489702656","Catalog Record")</f>
        <v/>
      </c>
      <c r="AT281">
        <f>HYPERLINK("http://www.worldcat.org/oclc/1093435","WorldCat Record")</f>
        <v/>
      </c>
      <c r="AU281" t="inlineStr">
        <is>
          <t>907586448:eng</t>
        </is>
      </c>
      <c r="AV281" t="inlineStr">
        <is>
          <t>1093435</t>
        </is>
      </c>
      <c r="AW281" t="inlineStr">
        <is>
          <t>991003530489702656</t>
        </is>
      </c>
      <c r="AX281" t="inlineStr">
        <is>
          <t>991003530489702656</t>
        </is>
      </c>
      <c r="AY281" t="inlineStr">
        <is>
          <t>2264774610002656</t>
        </is>
      </c>
      <c r="AZ281" t="inlineStr">
        <is>
          <t>BOOK</t>
        </is>
      </c>
      <c r="BB281" t="inlineStr">
        <is>
          <t>9780716703532</t>
        </is>
      </c>
      <c r="BC281" t="inlineStr">
        <is>
          <t>32285001723963</t>
        </is>
      </c>
      <c r="BD281" t="inlineStr">
        <is>
          <t>893874855</t>
        </is>
      </c>
    </row>
    <row r="282">
      <c r="A282" t="inlineStr">
        <is>
          <t>No</t>
        </is>
      </c>
      <c r="B282" t="inlineStr">
        <is>
          <t>QB54 .B69813 1982</t>
        </is>
      </c>
      <c r="C282" t="inlineStr">
        <is>
          <t>0                      QB 0054000B  69813       1982</t>
        </is>
      </c>
      <c r="D282" t="inlineStr">
        <is>
          <t>Contact with the stars : the search for extraterrestrial life / Reinhard Breuer ; translated from the German by Cecilia Payne-Gapochkin and Mark Lowery.</t>
        </is>
      </c>
      <c r="F282" t="inlineStr">
        <is>
          <t>No</t>
        </is>
      </c>
      <c r="G282" t="inlineStr">
        <is>
          <t>1</t>
        </is>
      </c>
      <c r="H282" t="inlineStr">
        <is>
          <t>No</t>
        </is>
      </c>
      <c r="I282" t="inlineStr">
        <is>
          <t>No</t>
        </is>
      </c>
      <c r="J282" t="inlineStr">
        <is>
          <t>0</t>
        </is>
      </c>
      <c r="K282" t="inlineStr">
        <is>
          <t>Breuer, Reinhard, 1946-</t>
        </is>
      </c>
      <c r="L282" t="inlineStr">
        <is>
          <t>Oxford [Oxfordshire] ; San Francisco : W.H. Freeman, c1982.</t>
        </is>
      </c>
      <c r="M282" t="inlineStr">
        <is>
          <t>1982</t>
        </is>
      </c>
      <c r="O282" t="inlineStr">
        <is>
          <t>eng</t>
        </is>
      </c>
      <c r="P282" t="inlineStr">
        <is>
          <t>enk</t>
        </is>
      </c>
      <c r="R282" t="inlineStr">
        <is>
          <t xml:space="preserve">QB </t>
        </is>
      </c>
      <c r="S282" t="n">
        <v>9</v>
      </c>
      <c r="T282" t="n">
        <v>9</v>
      </c>
      <c r="U282" t="inlineStr">
        <is>
          <t>1998-05-01</t>
        </is>
      </c>
      <c r="V282" t="inlineStr">
        <is>
          <t>1998-05-01</t>
        </is>
      </c>
      <c r="W282" t="inlineStr">
        <is>
          <t>1992-11-17</t>
        </is>
      </c>
      <c r="X282" t="inlineStr">
        <is>
          <t>1992-11-17</t>
        </is>
      </c>
      <c r="Y282" t="n">
        <v>563</v>
      </c>
      <c r="Z282" t="n">
        <v>495</v>
      </c>
      <c r="AA282" t="n">
        <v>501</v>
      </c>
      <c r="AB282" t="n">
        <v>2</v>
      </c>
      <c r="AC282" t="n">
        <v>2</v>
      </c>
      <c r="AD282" t="n">
        <v>9</v>
      </c>
      <c r="AE282" t="n">
        <v>9</v>
      </c>
      <c r="AF282" t="n">
        <v>3</v>
      </c>
      <c r="AG282" t="n">
        <v>3</v>
      </c>
      <c r="AH282" t="n">
        <v>3</v>
      </c>
      <c r="AI282" t="n">
        <v>3</v>
      </c>
      <c r="AJ282" t="n">
        <v>4</v>
      </c>
      <c r="AK282" t="n">
        <v>4</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HYPERLINK("https://creighton-primo.hosted.exlibrisgroup.com/primo-explore/search?tab=default_tab&amp;search_scope=EVERYTHING&amp;vid=01CRU&amp;lang=en_US&amp;offset=0&amp;query=any,contains,991005147699702656","Catalog Record")</f>
        <v/>
      </c>
      <c r="AT282">
        <f>HYPERLINK("http://www.worldcat.org/oclc/7672494","WorldCat Record")</f>
        <v/>
      </c>
      <c r="AU282" t="inlineStr">
        <is>
          <t>18524670:eng</t>
        </is>
      </c>
      <c r="AV282" t="inlineStr">
        <is>
          <t>7672494</t>
        </is>
      </c>
      <c r="AW282" t="inlineStr">
        <is>
          <t>991005147699702656</t>
        </is>
      </c>
      <c r="AX282" t="inlineStr">
        <is>
          <t>991005147699702656</t>
        </is>
      </c>
      <c r="AY282" t="inlineStr">
        <is>
          <t>2271466140002656</t>
        </is>
      </c>
      <c r="AZ282" t="inlineStr">
        <is>
          <t>BOOK</t>
        </is>
      </c>
      <c r="BB282" t="inlineStr">
        <is>
          <t>9780716713555</t>
        </is>
      </c>
      <c r="BC282" t="inlineStr">
        <is>
          <t>32285001431724</t>
        </is>
      </c>
      <c r="BD282" t="inlineStr">
        <is>
          <t>893236364</t>
        </is>
      </c>
    </row>
    <row r="283">
      <c r="A283" t="inlineStr">
        <is>
          <t>No</t>
        </is>
      </c>
      <c r="B283" t="inlineStr">
        <is>
          <t>QB54 .C33</t>
        </is>
      </c>
      <c r="C283" t="inlineStr">
        <is>
          <t>0                      QB 0054000C  33</t>
        </is>
      </c>
      <c r="D283" t="inlineStr">
        <is>
          <t>Interstellar communication : a collection of reprints and original contributions.</t>
        </is>
      </c>
      <c r="F283" t="inlineStr">
        <is>
          <t>No</t>
        </is>
      </c>
      <c r="G283" t="inlineStr">
        <is>
          <t>1</t>
        </is>
      </c>
      <c r="H283" t="inlineStr">
        <is>
          <t>No</t>
        </is>
      </c>
      <c r="I283" t="inlineStr">
        <is>
          <t>No</t>
        </is>
      </c>
      <c r="J283" t="inlineStr">
        <is>
          <t>0</t>
        </is>
      </c>
      <c r="K283" t="inlineStr">
        <is>
          <t>Cameron, A. G. W. (Alastair Graham Walter), 1925-, editor.</t>
        </is>
      </c>
      <c r="L283" t="inlineStr">
        <is>
          <t>New York : W.A. Benjamin, 1963.</t>
        </is>
      </c>
      <c r="M283" t="inlineStr">
        <is>
          <t>1963</t>
        </is>
      </c>
      <c r="O283" t="inlineStr">
        <is>
          <t>eng</t>
        </is>
      </c>
      <c r="P283" t="inlineStr">
        <is>
          <t>nyu</t>
        </is>
      </c>
      <c r="Q283" t="inlineStr">
        <is>
          <t>Physical investigations of the universe</t>
        </is>
      </c>
      <c r="R283" t="inlineStr">
        <is>
          <t xml:space="preserve">QB </t>
        </is>
      </c>
      <c r="S283" t="n">
        <v>2</v>
      </c>
      <c r="T283" t="n">
        <v>2</v>
      </c>
      <c r="U283" t="inlineStr">
        <is>
          <t>1995-04-21</t>
        </is>
      </c>
      <c r="V283" t="inlineStr">
        <is>
          <t>1995-04-21</t>
        </is>
      </c>
      <c r="W283" t="inlineStr">
        <is>
          <t>1992-11-02</t>
        </is>
      </c>
      <c r="X283" t="inlineStr">
        <is>
          <t>1992-11-02</t>
        </is>
      </c>
      <c r="Y283" t="n">
        <v>487</v>
      </c>
      <c r="Z283" t="n">
        <v>382</v>
      </c>
      <c r="AA283" t="n">
        <v>383</v>
      </c>
      <c r="AB283" t="n">
        <v>1</v>
      </c>
      <c r="AC283" t="n">
        <v>1</v>
      </c>
      <c r="AD283" t="n">
        <v>11</v>
      </c>
      <c r="AE283" t="n">
        <v>11</v>
      </c>
      <c r="AF283" t="n">
        <v>1</v>
      </c>
      <c r="AG283" t="n">
        <v>1</v>
      </c>
      <c r="AH283" t="n">
        <v>3</v>
      </c>
      <c r="AI283" t="n">
        <v>3</v>
      </c>
      <c r="AJ283" t="n">
        <v>8</v>
      </c>
      <c r="AK283" t="n">
        <v>8</v>
      </c>
      <c r="AL283" t="n">
        <v>0</v>
      </c>
      <c r="AM283" t="n">
        <v>0</v>
      </c>
      <c r="AN283" t="n">
        <v>0</v>
      </c>
      <c r="AO283" t="n">
        <v>0</v>
      </c>
      <c r="AP283" t="inlineStr">
        <is>
          <t>No</t>
        </is>
      </c>
      <c r="AQ283" t="inlineStr">
        <is>
          <t>Yes</t>
        </is>
      </c>
      <c r="AR283">
        <f>HYPERLINK("http://catalog.hathitrust.org/Record/001476027","HathiTrust Record")</f>
        <v/>
      </c>
      <c r="AS283">
        <f>HYPERLINK("https://creighton-primo.hosted.exlibrisgroup.com/primo-explore/search?tab=default_tab&amp;search_scope=EVERYTHING&amp;vid=01CRU&amp;lang=en_US&amp;offset=0&amp;query=any,contains,991002948899702656","Catalog Record")</f>
        <v/>
      </c>
      <c r="AT283">
        <f>HYPERLINK("http://www.worldcat.org/oclc/537705","WorldCat Record")</f>
        <v/>
      </c>
      <c r="AU283" t="inlineStr">
        <is>
          <t>364641530:eng</t>
        </is>
      </c>
      <c r="AV283" t="inlineStr">
        <is>
          <t>537705</t>
        </is>
      </c>
      <c r="AW283" t="inlineStr">
        <is>
          <t>991002948899702656</t>
        </is>
      </c>
      <c r="AX283" t="inlineStr">
        <is>
          <t>991002948899702656</t>
        </is>
      </c>
      <c r="AY283" t="inlineStr">
        <is>
          <t>2261921750002656</t>
        </is>
      </c>
      <c r="AZ283" t="inlineStr">
        <is>
          <t>BOOK</t>
        </is>
      </c>
      <c r="BC283" t="inlineStr">
        <is>
          <t>32285001379485</t>
        </is>
      </c>
      <c r="BD283" t="inlineStr">
        <is>
          <t>893805253</t>
        </is>
      </c>
    </row>
    <row r="284">
      <c r="A284" t="inlineStr">
        <is>
          <t>No</t>
        </is>
      </c>
      <c r="B284" t="inlineStr">
        <is>
          <t>QB54 .C37 1997</t>
        </is>
      </c>
      <c r="C284" t="inlineStr">
        <is>
          <t>0                      QB 0054000C  37          1997</t>
        </is>
      </c>
      <c r="D284" t="inlineStr">
        <is>
          <t>Carl Sagan's universe / edited by Yervant Terzian, Elizabeth Bilson.</t>
        </is>
      </c>
      <c r="F284" t="inlineStr">
        <is>
          <t>No</t>
        </is>
      </c>
      <c r="G284" t="inlineStr">
        <is>
          <t>1</t>
        </is>
      </c>
      <c r="H284" t="inlineStr">
        <is>
          <t>No</t>
        </is>
      </c>
      <c r="I284" t="inlineStr">
        <is>
          <t>No</t>
        </is>
      </c>
      <c r="J284" t="inlineStr">
        <is>
          <t>0</t>
        </is>
      </c>
      <c r="L284" t="inlineStr">
        <is>
          <t>Cambridge, U.K. ; New York, NY, USA : Cambridge University Press, 1997.</t>
        </is>
      </c>
      <c r="M284" t="inlineStr">
        <is>
          <t>1997</t>
        </is>
      </c>
      <c r="O284" t="inlineStr">
        <is>
          <t>eng</t>
        </is>
      </c>
      <c r="P284" t="inlineStr">
        <is>
          <t>enk</t>
        </is>
      </c>
      <c r="R284" t="inlineStr">
        <is>
          <t xml:space="preserve">QB </t>
        </is>
      </c>
      <c r="S284" t="n">
        <v>3</v>
      </c>
      <c r="T284" t="n">
        <v>3</v>
      </c>
      <c r="U284" t="inlineStr">
        <is>
          <t>1999-01-25</t>
        </is>
      </c>
      <c r="V284" t="inlineStr">
        <is>
          <t>1999-01-25</t>
        </is>
      </c>
      <c r="W284" t="inlineStr">
        <is>
          <t>1998-05-05</t>
        </is>
      </c>
      <c r="X284" t="inlineStr">
        <is>
          <t>1998-05-05</t>
        </is>
      </c>
      <c r="Y284" t="n">
        <v>1012</v>
      </c>
      <c r="Z284" t="n">
        <v>891</v>
      </c>
      <c r="AA284" t="n">
        <v>903</v>
      </c>
      <c r="AB284" t="n">
        <v>4</v>
      </c>
      <c r="AC284" t="n">
        <v>4</v>
      </c>
      <c r="AD284" t="n">
        <v>30</v>
      </c>
      <c r="AE284" t="n">
        <v>30</v>
      </c>
      <c r="AF284" t="n">
        <v>13</v>
      </c>
      <c r="AG284" t="n">
        <v>13</v>
      </c>
      <c r="AH284" t="n">
        <v>8</v>
      </c>
      <c r="AI284" t="n">
        <v>8</v>
      </c>
      <c r="AJ284" t="n">
        <v>17</v>
      </c>
      <c r="AK284" t="n">
        <v>17</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HYPERLINK("https://creighton-primo.hosted.exlibrisgroup.com/primo-explore/search?tab=default_tab&amp;search_scope=EVERYTHING&amp;vid=01CRU&amp;lang=en_US&amp;offset=0&amp;query=any,contains,991002753779702656","Catalog Record")</f>
        <v/>
      </c>
      <c r="AT284">
        <f>HYPERLINK("http://www.worldcat.org/oclc/36130681","WorldCat Record")</f>
        <v/>
      </c>
      <c r="AU284" t="inlineStr">
        <is>
          <t>352300948:eng</t>
        </is>
      </c>
      <c r="AV284" t="inlineStr">
        <is>
          <t>36130681</t>
        </is>
      </c>
      <c r="AW284" t="inlineStr">
        <is>
          <t>991002753779702656</t>
        </is>
      </c>
      <c r="AX284" t="inlineStr">
        <is>
          <t>991002753779702656</t>
        </is>
      </c>
      <c r="AY284" t="inlineStr">
        <is>
          <t>2254826210002656</t>
        </is>
      </c>
      <c r="AZ284" t="inlineStr">
        <is>
          <t>BOOK</t>
        </is>
      </c>
      <c r="BB284" t="inlineStr">
        <is>
          <t>9780521572866</t>
        </is>
      </c>
      <c r="BC284" t="inlineStr">
        <is>
          <t>32285003405882</t>
        </is>
      </c>
      <c r="BD284" t="inlineStr">
        <is>
          <t>893886654</t>
        </is>
      </c>
    </row>
    <row r="285">
      <c r="A285" t="inlineStr">
        <is>
          <t>No</t>
        </is>
      </c>
      <c r="B285" t="inlineStr">
        <is>
          <t>QB54 .C564 1999</t>
        </is>
      </c>
      <c r="C285" t="inlineStr">
        <is>
          <t>0                      QB 0054000C  564         1999</t>
        </is>
      </c>
      <c r="D285" t="inlineStr">
        <is>
          <t>Aliens : can we make contact with extraterrestrial intelligence? / Andrew J.H. Clark &amp; David H. Clark.</t>
        </is>
      </c>
      <c r="F285" t="inlineStr">
        <is>
          <t>No</t>
        </is>
      </c>
      <c r="G285" t="inlineStr">
        <is>
          <t>1</t>
        </is>
      </c>
      <c r="H285" t="inlineStr">
        <is>
          <t>No</t>
        </is>
      </c>
      <c r="I285" t="inlineStr">
        <is>
          <t>No</t>
        </is>
      </c>
      <c r="J285" t="inlineStr">
        <is>
          <t>0</t>
        </is>
      </c>
      <c r="K285" t="inlineStr">
        <is>
          <t>Clark, Andrew J. H.</t>
        </is>
      </c>
      <c r="L285" t="inlineStr">
        <is>
          <t>New York : Fromm International, 1999.</t>
        </is>
      </c>
      <c r="M285" t="inlineStr">
        <is>
          <t>1999</t>
        </is>
      </c>
      <c r="N285" t="inlineStr">
        <is>
          <t>1st Fromm International ed.</t>
        </is>
      </c>
      <c r="O285" t="inlineStr">
        <is>
          <t>eng</t>
        </is>
      </c>
      <c r="P285" t="inlineStr">
        <is>
          <t>nyu</t>
        </is>
      </c>
      <c r="R285" t="inlineStr">
        <is>
          <t xml:space="preserve">QB </t>
        </is>
      </c>
      <c r="S285" t="n">
        <v>3</v>
      </c>
      <c r="T285" t="n">
        <v>3</v>
      </c>
      <c r="U285" t="inlineStr">
        <is>
          <t>2008-11-18</t>
        </is>
      </c>
      <c r="V285" t="inlineStr">
        <is>
          <t>2008-11-18</t>
        </is>
      </c>
      <c r="W285" t="inlineStr">
        <is>
          <t>2000-03-15</t>
        </is>
      </c>
      <c r="X285" t="inlineStr">
        <is>
          <t>2000-03-15</t>
        </is>
      </c>
      <c r="Y285" t="n">
        <v>606</v>
      </c>
      <c r="Z285" t="n">
        <v>573</v>
      </c>
      <c r="AA285" t="n">
        <v>586</v>
      </c>
      <c r="AB285" t="n">
        <v>2</v>
      </c>
      <c r="AC285" t="n">
        <v>3</v>
      </c>
      <c r="AD285" t="n">
        <v>9</v>
      </c>
      <c r="AE285" t="n">
        <v>9</v>
      </c>
      <c r="AF285" t="n">
        <v>3</v>
      </c>
      <c r="AG285" t="n">
        <v>3</v>
      </c>
      <c r="AH285" t="n">
        <v>1</v>
      </c>
      <c r="AI285" t="n">
        <v>1</v>
      </c>
      <c r="AJ285" t="n">
        <v>6</v>
      </c>
      <c r="AK285" t="n">
        <v>6</v>
      </c>
      <c r="AL285" t="n">
        <v>1</v>
      </c>
      <c r="AM285" t="n">
        <v>1</v>
      </c>
      <c r="AN285" t="n">
        <v>0</v>
      </c>
      <c r="AO285" t="n">
        <v>0</v>
      </c>
      <c r="AP285" t="inlineStr">
        <is>
          <t>No</t>
        </is>
      </c>
      <c r="AQ285" t="inlineStr">
        <is>
          <t>Yes</t>
        </is>
      </c>
      <c r="AR285">
        <f>HYPERLINK("http://catalog.hathitrust.org/Record/004044299","HathiTrust Record")</f>
        <v/>
      </c>
      <c r="AS285">
        <f>HYPERLINK("https://creighton-primo.hosted.exlibrisgroup.com/primo-explore/search?tab=default_tab&amp;search_scope=EVERYTHING&amp;vid=01CRU&amp;lang=en_US&amp;offset=0&amp;query=any,contains,991003018209702656","Catalog Record")</f>
        <v/>
      </c>
      <c r="AT285">
        <f>HYPERLINK("http://www.worldcat.org/oclc/41086702","WorldCat Record")</f>
        <v/>
      </c>
      <c r="AU285" t="inlineStr">
        <is>
          <t>53355:eng</t>
        </is>
      </c>
      <c r="AV285" t="inlineStr">
        <is>
          <t>41086702</t>
        </is>
      </c>
      <c r="AW285" t="inlineStr">
        <is>
          <t>991003018209702656</t>
        </is>
      </c>
      <c r="AX285" t="inlineStr">
        <is>
          <t>991003018209702656</t>
        </is>
      </c>
      <c r="AY285" t="inlineStr">
        <is>
          <t>2261600160002656</t>
        </is>
      </c>
      <c r="AZ285" t="inlineStr">
        <is>
          <t>BOOK</t>
        </is>
      </c>
      <c r="BB285" t="inlineStr">
        <is>
          <t>9780880642330</t>
        </is>
      </c>
      <c r="BC285" t="inlineStr">
        <is>
          <t>32285003670006</t>
        </is>
      </c>
      <c r="BD285" t="inlineStr">
        <is>
          <t>893323662</t>
        </is>
      </c>
    </row>
    <row r="286">
      <c r="A286" t="inlineStr">
        <is>
          <t>No</t>
        </is>
      </c>
      <c r="B286" t="inlineStr">
        <is>
          <t>QB54 .C64 2002</t>
        </is>
      </c>
      <c r="C286" t="inlineStr">
        <is>
          <t>0                      QB 0054000C  64          2002</t>
        </is>
      </c>
      <c r="D286" t="inlineStr">
        <is>
          <t>What does a martian look like? : the science of extraterrestrial life / Jack Cohen and Ian Stewart.</t>
        </is>
      </c>
      <c r="F286" t="inlineStr">
        <is>
          <t>No</t>
        </is>
      </c>
      <c r="G286" t="inlineStr">
        <is>
          <t>1</t>
        </is>
      </c>
      <c r="H286" t="inlineStr">
        <is>
          <t>No</t>
        </is>
      </c>
      <c r="I286" t="inlineStr">
        <is>
          <t>No</t>
        </is>
      </c>
      <c r="J286" t="inlineStr">
        <is>
          <t>0</t>
        </is>
      </c>
      <c r="K286" t="inlineStr">
        <is>
          <t>Cohen, Jack.</t>
        </is>
      </c>
      <c r="L286" t="inlineStr">
        <is>
          <t>Hoboken, N.J. : J. Wiley, c2002.</t>
        </is>
      </c>
      <c r="M286" t="inlineStr">
        <is>
          <t>2002</t>
        </is>
      </c>
      <c r="O286" t="inlineStr">
        <is>
          <t>eng</t>
        </is>
      </c>
      <c r="P286" t="inlineStr">
        <is>
          <t>nju</t>
        </is>
      </c>
      <c r="R286" t="inlineStr">
        <is>
          <t xml:space="preserve">QB </t>
        </is>
      </c>
      <c r="S286" t="n">
        <v>3</v>
      </c>
      <c r="T286" t="n">
        <v>3</v>
      </c>
      <c r="U286" t="inlineStr">
        <is>
          <t>2005-11-28</t>
        </is>
      </c>
      <c r="V286" t="inlineStr">
        <is>
          <t>2005-11-28</t>
        </is>
      </c>
      <c r="W286" t="inlineStr">
        <is>
          <t>2003-01-21</t>
        </is>
      </c>
      <c r="X286" t="inlineStr">
        <is>
          <t>2003-01-21</t>
        </is>
      </c>
      <c r="Y286" t="n">
        <v>287</v>
      </c>
      <c r="Z286" t="n">
        <v>261</v>
      </c>
      <c r="AA286" t="n">
        <v>678</v>
      </c>
      <c r="AB286" t="n">
        <v>4</v>
      </c>
      <c r="AC286" t="n">
        <v>29</v>
      </c>
      <c r="AD286" t="n">
        <v>6</v>
      </c>
      <c r="AE286" t="n">
        <v>25</v>
      </c>
      <c r="AF286" t="n">
        <v>1</v>
      </c>
      <c r="AG286" t="n">
        <v>4</v>
      </c>
      <c r="AH286" t="n">
        <v>1</v>
      </c>
      <c r="AI286" t="n">
        <v>3</v>
      </c>
      <c r="AJ286" t="n">
        <v>3</v>
      </c>
      <c r="AK286" t="n">
        <v>8</v>
      </c>
      <c r="AL286" t="n">
        <v>3</v>
      </c>
      <c r="AM286" t="n">
        <v>14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HYPERLINK("https://creighton-primo.hosted.exlibrisgroup.com/primo-explore/search?tab=default_tab&amp;search_scope=EVERYTHING&amp;vid=01CRU&amp;lang=en_US&amp;offset=0&amp;query=any,contains,991003962849702656","Catalog Record")</f>
        <v/>
      </c>
      <c r="AT286">
        <f>HYPERLINK("http://www.worldcat.org/oclc/50124331","WorldCat Record")</f>
        <v/>
      </c>
      <c r="AU286" t="inlineStr">
        <is>
          <t>786819558:eng</t>
        </is>
      </c>
      <c r="AV286" t="inlineStr">
        <is>
          <t>50124331</t>
        </is>
      </c>
      <c r="AW286" t="inlineStr">
        <is>
          <t>991003962849702656</t>
        </is>
      </c>
      <c r="AX286" t="inlineStr">
        <is>
          <t>991003962849702656</t>
        </is>
      </c>
      <c r="AY286" t="inlineStr">
        <is>
          <t>2267375920002656</t>
        </is>
      </c>
      <c r="AZ286" t="inlineStr">
        <is>
          <t>BOOK</t>
        </is>
      </c>
      <c r="BB286" t="inlineStr">
        <is>
          <t>9780471268895</t>
        </is>
      </c>
      <c r="BC286" t="inlineStr">
        <is>
          <t>32285004694856</t>
        </is>
      </c>
      <c r="BD286" t="inlineStr">
        <is>
          <t>893593111</t>
        </is>
      </c>
    </row>
    <row r="287">
      <c r="A287" t="inlineStr">
        <is>
          <t>No</t>
        </is>
      </c>
      <c r="B287" t="inlineStr">
        <is>
          <t>QB54 .C66</t>
        </is>
      </c>
      <c r="C287" t="inlineStr">
        <is>
          <t>0                      QB 0054000C  66</t>
        </is>
      </c>
      <c r="D287" t="inlineStr">
        <is>
          <t>Communication with extraterrestrial intelligence (CETI) / edited by Carl Sagan.</t>
        </is>
      </c>
      <c r="F287" t="inlineStr">
        <is>
          <t>No</t>
        </is>
      </c>
      <c r="G287" t="inlineStr">
        <is>
          <t>1</t>
        </is>
      </c>
      <c r="H287" t="inlineStr">
        <is>
          <t>No</t>
        </is>
      </c>
      <c r="I287" t="inlineStr">
        <is>
          <t>No</t>
        </is>
      </c>
      <c r="J287" t="inlineStr">
        <is>
          <t>0</t>
        </is>
      </c>
      <c r="L287" t="inlineStr">
        <is>
          <t>Cambridge, Mass. ; London : M.I.T. Press, 1973.</t>
        </is>
      </c>
      <c r="M287" t="inlineStr">
        <is>
          <t>1973</t>
        </is>
      </c>
      <c r="O287" t="inlineStr">
        <is>
          <t>eng</t>
        </is>
      </c>
      <c r="P287" t="inlineStr">
        <is>
          <t>enk</t>
        </is>
      </c>
      <c r="R287" t="inlineStr">
        <is>
          <t xml:space="preserve">QB </t>
        </is>
      </c>
      <c r="S287" t="n">
        <v>11</v>
      </c>
      <c r="T287" t="n">
        <v>11</v>
      </c>
      <c r="U287" t="inlineStr">
        <is>
          <t>2003-02-02</t>
        </is>
      </c>
      <c r="V287" t="inlineStr">
        <is>
          <t>2003-02-02</t>
        </is>
      </c>
      <c r="W287" t="inlineStr">
        <is>
          <t>1991-12-04</t>
        </is>
      </c>
      <c r="X287" t="inlineStr">
        <is>
          <t>1991-12-04</t>
        </is>
      </c>
      <c r="Y287" t="n">
        <v>792</v>
      </c>
      <c r="Z287" t="n">
        <v>677</v>
      </c>
      <c r="AA287" t="n">
        <v>679</v>
      </c>
      <c r="AB287" t="n">
        <v>3</v>
      </c>
      <c r="AC287" t="n">
        <v>3</v>
      </c>
      <c r="AD287" t="n">
        <v>21</v>
      </c>
      <c r="AE287" t="n">
        <v>21</v>
      </c>
      <c r="AF287" t="n">
        <v>9</v>
      </c>
      <c r="AG287" t="n">
        <v>9</v>
      </c>
      <c r="AH287" t="n">
        <v>4</v>
      </c>
      <c r="AI287" t="n">
        <v>4</v>
      </c>
      <c r="AJ287" t="n">
        <v>11</v>
      </c>
      <c r="AK287" t="n">
        <v>11</v>
      </c>
      <c r="AL287" t="n">
        <v>2</v>
      </c>
      <c r="AM287" t="n">
        <v>2</v>
      </c>
      <c r="AN287" t="n">
        <v>0</v>
      </c>
      <c r="AO287" t="n">
        <v>0</v>
      </c>
      <c r="AP287" t="inlineStr">
        <is>
          <t>No</t>
        </is>
      </c>
      <c r="AQ287" t="inlineStr">
        <is>
          <t>Yes</t>
        </is>
      </c>
      <c r="AR287">
        <f>HYPERLINK("http://catalog.hathitrust.org/Record/001483857","HathiTrust Record")</f>
        <v/>
      </c>
      <c r="AS287">
        <f>HYPERLINK("https://creighton-primo.hosted.exlibrisgroup.com/primo-explore/search?tab=default_tab&amp;search_scope=EVERYTHING&amp;vid=01CRU&amp;lang=en_US&amp;offset=0&amp;query=any,contains,991001094959702656","Catalog Record")</f>
        <v/>
      </c>
      <c r="AT287">
        <f>HYPERLINK("http://www.worldcat.org/oclc/700752","WorldCat Record")</f>
        <v/>
      </c>
      <c r="AU287" t="inlineStr">
        <is>
          <t>10927962:eng</t>
        </is>
      </c>
      <c r="AV287" t="inlineStr">
        <is>
          <t>700752</t>
        </is>
      </c>
      <c r="AW287" t="inlineStr">
        <is>
          <t>991001094959702656</t>
        </is>
      </c>
      <c r="AX287" t="inlineStr">
        <is>
          <t>991001094959702656</t>
        </is>
      </c>
      <c r="AY287" t="inlineStr">
        <is>
          <t>2265675110002656</t>
        </is>
      </c>
      <c r="AZ287" t="inlineStr">
        <is>
          <t>BOOK</t>
        </is>
      </c>
      <c r="BB287" t="inlineStr">
        <is>
          <t>9780262191067</t>
        </is>
      </c>
      <c r="BC287" t="inlineStr">
        <is>
          <t>32285000844497</t>
        </is>
      </c>
      <c r="BD287" t="inlineStr">
        <is>
          <t>893614775</t>
        </is>
      </c>
    </row>
    <row r="288">
      <c r="A288" t="inlineStr">
        <is>
          <t>No</t>
        </is>
      </c>
      <c r="B288" t="inlineStr">
        <is>
          <t>QB54 .C67 1981</t>
        </is>
      </c>
      <c r="C288" t="inlineStr">
        <is>
          <t>0                      QB 0054000C  67          1981</t>
        </is>
      </c>
      <c r="D288" t="inlineStr">
        <is>
          <t>The search for life on Mars : evolution of an idea / Henry S.F. Cooper, Jr.</t>
        </is>
      </c>
      <c r="F288" t="inlineStr">
        <is>
          <t>No</t>
        </is>
      </c>
      <c r="G288" t="inlineStr">
        <is>
          <t>1</t>
        </is>
      </c>
      <c r="H288" t="inlineStr">
        <is>
          <t>No</t>
        </is>
      </c>
      <c r="I288" t="inlineStr">
        <is>
          <t>No</t>
        </is>
      </c>
      <c r="J288" t="inlineStr">
        <is>
          <t>0</t>
        </is>
      </c>
      <c r="K288" t="inlineStr">
        <is>
          <t>Cooper, Henry S. F., Jr. (Henry Spotswood Fenimore), 1933-2016.</t>
        </is>
      </c>
      <c r="L288" t="inlineStr">
        <is>
          <t>New York : Holt, Rinehart, and Winston, 1981, c1980.</t>
        </is>
      </c>
      <c r="M288" t="inlineStr">
        <is>
          <t>1981</t>
        </is>
      </c>
      <c r="N288" t="inlineStr">
        <is>
          <t>1st Owl Book ed.</t>
        </is>
      </c>
      <c r="O288" t="inlineStr">
        <is>
          <t>eng</t>
        </is>
      </c>
      <c r="P288" t="inlineStr">
        <is>
          <t>nyu</t>
        </is>
      </c>
      <c r="R288" t="inlineStr">
        <is>
          <t xml:space="preserve">QB </t>
        </is>
      </c>
      <c r="S288" t="n">
        <v>1</v>
      </c>
      <c r="T288" t="n">
        <v>1</v>
      </c>
      <c r="U288" t="inlineStr">
        <is>
          <t>1995-11-01</t>
        </is>
      </c>
      <c r="V288" t="inlineStr">
        <is>
          <t>1995-11-01</t>
        </is>
      </c>
      <c r="W288" t="inlineStr">
        <is>
          <t>1992-11-17</t>
        </is>
      </c>
      <c r="X288" t="inlineStr">
        <is>
          <t>1992-11-17</t>
        </is>
      </c>
      <c r="Y288" t="n">
        <v>45</v>
      </c>
      <c r="Z288" t="n">
        <v>41</v>
      </c>
      <c r="AA288" t="n">
        <v>497</v>
      </c>
      <c r="AB288" t="n">
        <v>1</v>
      </c>
      <c r="AC288" t="n">
        <v>3</v>
      </c>
      <c r="AD288" t="n">
        <v>1</v>
      </c>
      <c r="AE288" t="n">
        <v>9</v>
      </c>
      <c r="AF288" t="n">
        <v>0</v>
      </c>
      <c r="AG288" t="n">
        <v>4</v>
      </c>
      <c r="AH288" t="n">
        <v>0</v>
      </c>
      <c r="AI288" t="n">
        <v>1</v>
      </c>
      <c r="AJ288" t="n">
        <v>1</v>
      </c>
      <c r="AK288" t="n">
        <v>4</v>
      </c>
      <c r="AL288" t="n">
        <v>0</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HYPERLINK("https://creighton-primo.hosted.exlibrisgroup.com/primo-explore/search?tab=default_tab&amp;search_scope=EVERYTHING&amp;vid=01CRU&amp;lang=en_US&amp;offset=0&amp;query=any,contains,991005098519702656","Catalog Record")</f>
        <v/>
      </c>
      <c r="AT288">
        <f>HYPERLINK("http://www.worldcat.org/oclc/7277891","WorldCat Record")</f>
        <v/>
      </c>
      <c r="AU288" t="inlineStr">
        <is>
          <t>401320:eng</t>
        </is>
      </c>
      <c r="AV288" t="inlineStr">
        <is>
          <t>7277891</t>
        </is>
      </c>
      <c r="AW288" t="inlineStr">
        <is>
          <t>991005098519702656</t>
        </is>
      </c>
      <c r="AX288" t="inlineStr">
        <is>
          <t>991005098519702656</t>
        </is>
      </c>
      <c r="AY288" t="inlineStr">
        <is>
          <t>2263845210002656</t>
        </is>
      </c>
      <c r="AZ288" t="inlineStr">
        <is>
          <t>BOOK</t>
        </is>
      </c>
      <c r="BB288" t="inlineStr">
        <is>
          <t>9780030461668</t>
        </is>
      </c>
      <c r="BC288" t="inlineStr">
        <is>
          <t>32285001431732</t>
        </is>
      </c>
      <c r="BD288" t="inlineStr">
        <is>
          <t>893320015</t>
        </is>
      </c>
    </row>
    <row r="289">
      <c r="A289" t="inlineStr">
        <is>
          <t>No</t>
        </is>
      </c>
      <c r="B289" t="inlineStr">
        <is>
          <t>QB54 .C76 1986</t>
        </is>
      </c>
      <c r="C289" t="inlineStr">
        <is>
          <t>0                      QB 0054000C  76          1986</t>
        </is>
      </c>
      <c r="D289" t="inlineStr">
        <is>
          <t>The extraterrestrial life debate, 1750-1900 : the idea of a plurality of worlds from Kant to Lowell / Michael J. Crowe.</t>
        </is>
      </c>
      <c r="F289" t="inlineStr">
        <is>
          <t>No</t>
        </is>
      </c>
      <c r="G289" t="inlineStr">
        <is>
          <t>1</t>
        </is>
      </c>
      <c r="H289" t="inlineStr">
        <is>
          <t>No</t>
        </is>
      </c>
      <c r="I289" t="inlineStr">
        <is>
          <t>No</t>
        </is>
      </c>
      <c r="J289" t="inlineStr">
        <is>
          <t>0</t>
        </is>
      </c>
      <c r="K289" t="inlineStr">
        <is>
          <t>Crowe, Michael J.</t>
        </is>
      </c>
      <c r="L289" t="inlineStr">
        <is>
          <t>Cambridge [Cambridgeshire] ; New York : Cambridge University Press, 1986.</t>
        </is>
      </c>
      <c r="M289" t="inlineStr">
        <is>
          <t>1986</t>
        </is>
      </c>
      <c r="O289" t="inlineStr">
        <is>
          <t>eng</t>
        </is>
      </c>
      <c r="P289" t="inlineStr">
        <is>
          <t>enk</t>
        </is>
      </c>
      <c r="R289" t="inlineStr">
        <is>
          <t xml:space="preserve">QB </t>
        </is>
      </c>
      <c r="S289" t="n">
        <v>3</v>
      </c>
      <c r="T289" t="n">
        <v>3</v>
      </c>
      <c r="U289" t="inlineStr">
        <is>
          <t>1998-04-11</t>
        </is>
      </c>
      <c r="V289" t="inlineStr">
        <is>
          <t>1998-04-11</t>
        </is>
      </c>
      <c r="W289" t="inlineStr">
        <is>
          <t>1991-11-25</t>
        </is>
      </c>
      <c r="X289" t="inlineStr">
        <is>
          <t>1991-11-25</t>
        </is>
      </c>
      <c r="Y289" t="n">
        <v>536</v>
      </c>
      <c r="Z289" t="n">
        <v>413</v>
      </c>
      <c r="AA289" t="n">
        <v>499</v>
      </c>
      <c r="AB289" t="n">
        <v>3</v>
      </c>
      <c r="AC289" t="n">
        <v>4</v>
      </c>
      <c r="AD289" t="n">
        <v>16</v>
      </c>
      <c r="AE289" t="n">
        <v>20</v>
      </c>
      <c r="AF289" t="n">
        <v>5</v>
      </c>
      <c r="AG289" t="n">
        <v>6</v>
      </c>
      <c r="AH289" t="n">
        <v>4</v>
      </c>
      <c r="AI289" t="n">
        <v>6</v>
      </c>
      <c r="AJ289" t="n">
        <v>8</v>
      </c>
      <c r="AK289" t="n">
        <v>9</v>
      </c>
      <c r="AL289" t="n">
        <v>2</v>
      </c>
      <c r="AM289" t="n">
        <v>3</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HYPERLINK("https://creighton-primo.hosted.exlibrisgroup.com/primo-explore/search?tab=default_tab&amp;search_scope=EVERYTHING&amp;vid=01CRU&amp;lang=en_US&amp;offset=0&amp;query=any,contains,991000618199702656","Catalog Record")</f>
        <v/>
      </c>
      <c r="AT289">
        <f>HYPERLINK("http://www.worldcat.org/oclc/11969914","WorldCat Record")</f>
        <v/>
      </c>
      <c r="AU289" t="inlineStr">
        <is>
          <t>9380935993:eng</t>
        </is>
      </c>
      <c r="AV289" t="inlineStr">
        <is>
          <t>11969914</t>
        </is>
      </c>
      <c r="AW289" t="inlineStr">
        <is>
          <t>991000618199702656</t>
        </is>
      </c>
      <c r="AX289" t="inlineStr">
        <is>
          <t>991000618199702656</t>
        </is>
      </c>
      <c r="AY289" t="inlineStr">
        <is>
          <t>2260784890002656</t>
        </is>
      </c>
      <c r="AZ289" t="inlineStr">
        <is>
          <t>BOOK</t>
        </is>
      </c>
      <c r="BB289" t="inlineStr">
        <is>
          <t>9780521263054</t>
        </is>
      </c>
      <c r="BC289" t="inlineStr">
        <is>
          <t>32285000844901</t>
        </is>
      </c>
      <c r="BD289" t="inlineStr">
        <is>
          <t>893708537</t>
        </is>
      </c>
    </row>
    <row r="290">
      <c r="A290" t="inlineStr">
        <is>
          <t>No</t>
        </is>
      </c>
      <c r="B290" t="inlineStr">
        <is>
          <t>QB54 .D38 1995</t>
        </is>
      </c>
      <c r="C290" t="inlineStr">
        <is>
          <t>0                      QB 0054000D  38          1995</t>
        </is>
      </c>
      <c r="D290" t="inlineStr">
        <is>
          <t>Are we alone? : philosophical implications of the discovery of extraterrestrial life / Paul Davies.</t>
        </is>
      </c>
      <c r="F290" t="inlineStr">
        <is>
          <t>No</t>
        </is>
      </c>
      <c r="G290" t="inlineStr">
        <is>
          <t>1</t>
        </is>
      </c>
      <c r="H290" t="inlineStr">
        <is>
          <t>No</t>
        </is>
      </c>
      <c r="I290" t="inlineStr">
        <is>
          <t>No</t>
        </is>
      </c>
      <c r="J290" t="inlineStr">
        <is>
          <t>0</t>
        </is>
      </c>
      <c r="K290" t="inlineStr">
        <is>
          <t>Davies, P. C. W.</t>
        </is>
      </c>
      <c r="L290" t="inlineStr">
        <is>
          <t>New York : BasicBooks, 1995.</t>
        </is>
      </c>
      <c r="M290" t="inlineStr">
        <is>
          <t>1995</t>
        </is>
      </c>
      <c r="O290" t="inlineStr">
        <is>
          <t>eng</t>
        </is>
      </c>
      <c r="P290" t="inlineStr">
        <is>
          <t>nyu</t>
        </is>
      </c>
      <c r="R290" t="inlineStr">
        <is>
          <t xml:space="preserve">QB </t>
        </is>
      </c>
      <c r="S290" t="n">
        <v>14</v>
      </c>
      <c r="T290" t="n">
        <v>14</v>
      </c>
      <c r="U290" t="inlineStr">
        <is>
          <t>2006-12-08</t>
        </is>
      </c>
      <c r="V290" t="inlineStr">
        <is>
          <t>2006-12-08</t>
        </is>
      </c>
      <c r="W290" t="inlineStr">
        <is>
          <t>1995-10-23</t>
        </is>
      </c>
      <c r="X290" t="inlineStr">
        <is>
          <t>1995-10-23</t>
        </is>
      </c>
      <c r="Y290" t="n">
        <v>1040</v>
      </c>
      <c r="Z290" t="n">
        <v>995</v>
      </c>
      <c r="AA290" t="n">
        <v>1016</v>
      </c>
      <c r="AB290" t="n">
        <v>4</v>
      </c>
      <c r="AC290" t="n">
        <v>4</v>
      </c>
      <c r="AD290" t="n">
        <v>31</v>
      </c>
      <c r="AE290" t="n">
        <v>31</v>
      </c>
      <c r="AF290" t="n">
        <v>13</v>
      </c>
      <c r="AG290" t="n">
        <v>13</v>
      </c>
      <c r="AH290" t="n">
        <v>6</v>
      </c>
      <c r="AI290" t="n">
        <v>6</v>
      </c>
      <c r="AJ290" t="n">
        <v>18</v>
      </c>
      <c r="AK290" t="n">
        <v>18</v>
      </c>
      <c r="AL290" t="n">
        <v>2</v>
      </c>
      <c r="AM290" t="n">
        <v>2</v>
      </c>
      <c r="AN290" t="n">
        <v>0</v>
      </c>
      <c r="AO290" t="n">
        <v>0</v>
      </c>
      <c r="AP290" t="inlineStr">
        <is>
          <t>No</t>
        </is>
      </c>
      <c r="AQ290" t="inlineStr">
        <is>
          <t>Yes</t>
        </is>
      </c>
      <c r="AR290">
        <f>HYPERLINK("http://catalog.hathitrust.org/Record/002994390","HathiTrust Record")</f>
        <v/>
      </c>
      <c r="AS290">
        <f>HYPERLINK("https://creighton-primo.hosted.exlibrisgroup.com/primo-explore/search?tab=default_tab&amp;search_scope=EVERYTHING&amp;vid=01CRU&amp;lang=en_US&amp;offset=0&amp;query=any,contains,991002461619702656","Catalog Record")</f>
        <v/>
      </c>
      <c r="AT290">
        <f>HYPERLINK("http://www.worldcat.org/oclc/32085300","WorldCat Record")</f>
        <v/>
      </c>
      <c r="AU290" t="inlineStr">
        <is>
          <t>836890066:eng</t>
        </is>
      </c>
      <c r="AV290" t="inlineStr">
        <is>
          <t>32085300</t>
        </is>
      </c>
      <c r="AW290" t="inlineStr">
        <is>
          <t>991002461619702656</t>
        </is>
      </c>
      <c r="AX290" t="inlineStr">
        <is>
          <t>991002461619702656</t>
        </is>
      </c>
      <c r="AY290" t="inlineStr">
        <is>
          <t>2272281050002656</t>
        </is>
      </c>
      <c r="AZ290" t="inlineStr">
        <is>
          <t>BOOK</t>
        </is>
      </c>
      <c r="BB290" t="inlineStr">
        <is>
          <t>9780465004188</t>
        </is>
      </c>
      <c r="BC290" t="inlineStr">
        <is>
          <t>32285002097045</t>
        </is>
      </c>
      <c r="BD290" t="inlineStr">
        <is>
          <t>893335350</t>
        </is>
      </c>
    </row>
    <row r="291">
      <c r="A291" t="inlineStr">
        <is>
          <t>No</t>
        </is>
      </c>
      <c r="B291" t="inlineStr">
        <is>
          <t>QB54 .D3913 1991</t>
        </is>
      </c>
      <c r="C291" t="inlineStr">
        <is>
          <t>0                      QB 0054000D  3913        1991</t>
        </is>
      </c>
      <c r="D291" t="inlineStr">
        <is>
          <t>The cosmic water hole / Emmanuel Davoust ; translated by Barbara Jachowicz.</t>
        </is>
      </c>
      <c r="F291" t="inlineStr">
        <is>
          <t>No</t>
        </is>
      </c>
      <c r="G291" t="inlineStr">
        <is>
          <t>1</t>
        </is>
      </c>
      <c r="H291" t="inlineStr">
        <is>
          <t>No</t>
        </is>
      </c>
      <c r="I291" t="inlineStr">
        <is>
          <t>No</t>
        </is>
      </c>
      <c r="J291" t="inlineStr">
        <is>
          <t>0</t>
        </is>
      </c>
      <c r="K291" t="inlineStr">
        <is>
          <t>Davoust, Emmanuel.</t>
        </is>
      </c>
      <c r="L291" t="inlineStr">
        <is>
          <t>Cambridge, Mass. : MIT Press, 1991.</t>
        </is>
      </c>
      <c r="M291" t="inlineStr">
        <is>
          <t>1991</t>
        </is>
      </c>
      <c r="N291" t="inlineStr">
        <is>
          <t>1st MIT Press ed.</t>
        </is>
      </c>
      <c r="O291" t="inlineStr">
        <is>
          <t>eng</t>
        </is>
      </c>
      <c r="P291" t="inlineStr">
        <is>
          <t>mau</t>
        </is>
      </c>
      <c r="R291" t="inlineStr">
        <is>
          <t xml:space="preserve">QB </t>
        </is>
      </c>
      <c r="S291" t="n">
        <v>6</v>
      </c>
      <c r="T291" t="n">
        <v>6</v>
      </c>
      <c r="U291" t="inlineStr">
        <is>
          <t>1998-04-17</t>
        </is>
      </c>
      <c r="V291" t="inlineStr">
        <is>
          <t>1998-04-17</t>
        </is>
      </c>
      <c r="W291" t="inlineStr">
        <is>
          <t>1992-04-23</t>
        </is>
      </c>
      <c r="X291" t="inlineStr">
        <is>
          <t>1992-04-23</t>
        </is>
      </c>
      <c r="Y291" t="n">
        <v>444</v>
      </c>
      <c r="Z291" t="n">
        <v>394</v>
      </c>
      <c r="AA291" t="n">
        <v>399</v>
      </c>
      <c r="AB291" t="n">
        <v>4</v>
      </c>
      <c r="AC291" t="n">
        <v>4</v>
      </c>
      <c r="AD291" t="n">
        <v>21</v>
      </c>
      <c r="AE291" t="n">
        <v>21</v>
      </c>
      <c r="AF291" t="n">
        <v>7</v>
      </c>
      <c r="AG291" t="n">
        <v>7</v>
      </c>
      <c r="AH291" t="n">
        <v>6</v>
      </c>
      <c r="AI291" t="n">
        <v>6</v>
      </c>
      <c r="AJ291" t="n">
        <v>9</v>
      </c>
      <c r="AK291" t="n">
        <v>9</v>
      </c>
      <c r="AL291" t="n">
        <v>3</v>
      </c>
      <c r="AM291" t="n">
        <v>3</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HYPERLINK("https://creighton-primo.hosted.exlibrisgroup.com/primo-explore/search?tab=default_tab&amp;search_scope=EVERYTHING&amp;vid=01CRU&amp;lang=en_US&amp;offset=0&amp;query=any,contains,991001744889702656","Catalog Record")</f>
        <v/>
      </c>
      <c r="AT291">
        <f>HYPERLINK("http://www.worldcat.org/oclc/22111249","WorldCat Record")</f>
        <v/>
      </c>
      <c r="AU291" t="inlineStr">
        <is>
          <t>20700598:eng</t>
        </is>
      </c>
      <c r="AV291" t="inlineStr">
        <is>
          <t>22111249</t>
        </is>
      </c>
      <c r="AW291" t="inlineStr">
        <is>
          <t>991001744889702656</t>
        </is>
      </c>
      <c r="AX291" t="inlineStr">
        <is>
          <t>991001744889702656</t>
        </is>
      </c>
      <c r="AY291" t="inlineStr">
        <is>
          <t>2265933060002656</t>
        </is>
      </c>
      <c r="AZ291" t="inlineStr">
        <is>
          <t>BOOK</t>
        </is>
      </c>
      <c r="BB291" t="inlineStr">
        <is>
          <t>9780262041140</t>
        </is>
      </c>
      <c r="BC291" t="inlineStr">
        <is>
          <t>32285001037109</t>
        </is>
      </c>
      <c r="BD291" t="inlineStr">
        <is>
          <t>893497319</t>
        </is>
      </c>
    </row>
    <row r="292">
      <c r="A292" t="inlineStr">
        <is>
          <t>No</t>
        </is>
      </c>
      <c r="B292" t="inlineStr">
        <is>
          <t>QB54 .D47 1996</t>
        </is>
      </c>
      <c r="C292" t="inlineStr">
        <is>
          <t>0                      QB 0054000D  47          1996</t>
        </is>
      </c>
      <c r="D292" t="inlineStr">
        <is>
          <t>The biological universe : the twentieth-century extraterrestrial life debate and the limits of science / Steven J. Dick.</t>
        </is>
      </c>
      <c r="F292" t="inlineStr">
        <is>
          <t>No</t>
        </is>
      </c>
      <c r="G292" t="inlineStr">
        <is>
          <t>1</t>
        </is>
      </c>
      <c r="H292" t="inlineStr">
        <is>
          <t>No</t>
        </is>
      </c>
      <c r="I292" t="inlineStr">
        <is>
          <t>No</t>
        </is>
      </c>
      <c r="J292" t="inlineStr">
        <is>
          <t>0</t>
        </is>
      </c>
      <c r="K292" t="inlineStr">
        <is>
          <t>Dick, Steven J.</t>
        </is>
      </c>
      <c r="L292" t="inlineStr">
        <is>
          <t>Cambridge ; New York : Cambridge University Press, 1996.</t>
        </is>
      </c>
      <c r="M292" t="inlineStr">
        <is>
          <t>1996</t>
        </is>
      </c>
      <c r="O292" t="inlineStr">
        <is>
          <t>eng</t>
        </is>
      </c>
      <c r="P292" t="inlineStr">
        <is>
          <t>enk</t>
        </is>
      </c>
      <c r="R292" t="inlineStr">
        <is>
          <t xml:space="preserve">QB </t>
        </is>
      </c>
      <c r="S292" t="n">
        <v>11</v>
      </c>
      <c r="T292" t="n">
        <v>11</v>
      </c>
      <c r="U292" t="inlineStr">
        <is>
          <t>1998-05-01</t>
        </is>
      </c>
      <c r="V292" t="inlineStr">
        <is>
          <t>1998-05-01</t>
        </is>
      </c>
      <c r="W292" t="inlineStr">
        <is>
          <t>1996-08-14</t>
        </is>
      </c>
      <c r="X292" t="inlineStr">
        <is>
          <t>1996-08-14</t>
        </is>
      </c>
      <c r="Y292" t="n">
        <v>402</v>
      </c>
      <c r="Z292" t="n">
        <v>298</v>
      </c>
      <c r="AA292" t="n">
        <v>333</v>
      </c>
      <c r="AB292" t="n">
        <v>3</v>
      </c>
      <c r="AC292" t="n">
        <v>3</v>
      </c>
      <c r="AD292" t="n">
        <v>11</v>
      </c>
      <c r="AE292" t="n">
        <v>11</v>
      </c>
      <c r="AF292" t="n">
        <v>5</v>
      </c>
      <c r="AG292" t="n">
        <v>5</v>
      </c>
      <c r="AH292" t="n">
        <v>2</v>
      </c>
      <c r="AI292" t="n">
        <v>2</v>
      </c>
      <c r="AJ292" t="n">
        <v>5</v>
      </c>
      <c r="AK292" t="n">
        <v>5</v>
      </c>
      <c r="AL292" t="n">
        <v>2</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HYPERLINK("https://creighton-primo.hosted.exlibrisgroup.com/primo-explore/search?tab=default_tab&amp;search_scope=EVERYTHING&amp;vid=01CRU&amp;lang=en_US&amp;offset=0&amp;query=any,contains,991002547789702656","Catalog Record")</f>
        <v/>
      </c>
      <c r="AT292">
        <f>HYPERLINK("http://www.worldcat.org/oclc/33102034","WorldCat Record")</f>
        <v/>
      </c>
      <c r="AU292" t="inlineStr">
        <is>
          <t>20648878:eng</t>
        </is>
      </c>
      <c r="AV292" t="inlineStr">
        <is>
          <t>33102034</t>
        </is>
      </c>
      <c r="AW292" t="inlineStr">
        <is>
          <t>991002547789702656</t>
        </is>
      </c>
      <c r="AX292" t="inlineStr">
        <is>
          <t>991002547789702656</t>
        </is>
      </c>
      <c r="AY292" t="inlineStr">
        <is>
          <t>2272086140002656</t>
        </is>
      </c>
      <c r="AZ292" t="inlineStr">
        <is>
          <t>BOOK</t>
        </is>
      </c>
      <c r="BB292" t="inlineStr">
        <is>
          <t>9780521343268</t>
        </is>
      </c>
      <c r="BC292" t="inlineStr">
        <is>
          <t>32285002290103</t>
        </is>
      </c>
      <c r="BD292" t="inlineStr">
        <is>
          <t>893892699</t>
        </is>
      </c>
    </row>
    <row r="293">
      <c r="A293" t="inlineStr">
        <is>
          <t>No</t>
        </is>
      </c>
      <c r="B293" t="inlineStr">
        <is>
          <t>QB54 .D475 1998</t>
        </is>
      </c>
      <c r="C293" t="inlineStr">
        <is>
          <t>0                      QB 0054000D  475         1998</t>
        </is>
      </c>
      <c r="D293" t="inlineStr">
        <is>
          <t>Life on other worlds : the 20th-century extraterrestrial life debate / Steven J. Dick.</t>
        </is>
      </c>
      <c r="F293" t="inlineStr">
        <is>
          <t>No</t>
        </is>
      </c>
      <c r="G293" t="inlineStr">
        <is>
          <t>1</t>
        </is>
      </c>
      <c r="H293" t="inlineStr">
        <is>
          <t>No</t>
        </is>
      </c>
      <c r="I293" t="inlineStr">
        <is>
          <t>No</t>
        </is>
      </c>
      <c r="J293" t="inlineStr">
        <is>
          <t>0</t>
        </is>
      </c>
      <c r="K293" t="inlineStr">
        <is>
          <t>Dick, Steven J.</t>
        </is>
      </c>
      <c r="L293" t="inlineStr">
        <is>
          <t>Cambridge ; New York : Cambridge University Press, 1998.</t>
        </is>
      </c>
      <c r="M293" t="inlineStr">
        <is>
          <t>1998</t>
        </is>
      </c>
      <c r="O293" t="inlineStr">
        <is>
          <t>eng</t>
        </is>
      </c>
      <c r="P293" t="inlineStr">
        <is>
          <t>enk</t>
        </is>
      </c>
      <c r="R293" t="inlineStr">
        <is>
          <t xml:space="preserve">QB </t>
        </is>
      </c>
      <c r="S293" t="n">
        <v>2</v>
      </c>
      <c r="T293" t="n">
        <v>2</v>
      </c>
      <c r="U293" t="inlineStr">
        <is>
          <t>2006-05-15</t>
        </is>
      </c>
      <c r="V293" t="inlineStr">
        <is>
          <t>2006-05-15</t>
        </is>
      </c>
      <c r="W293" t="inlineStr">
        <is>
          <t>1998-11-16</t>
        </is>
      </c>
      <c r="X293" t="inlineStr">
        <is>
          <t>1998-11-16</t>
        </is>
      </c>
      <c r="Y293" t="n">
        <v>840</v>
      </c>
      <c r="Z293" t="n">
        <v>719</v>
      </c>
      <c r="AA293" t="n">
        <v>763</v>
      </c>
      <c r="AB293" t="n">
        <v>2</v>
      </c>
      <c r="AC293" t="n">
        <v>2</v>
      </c>
      <c r="AD293" t="n">
        <v>24</v>
      </c>
      <c r="AE293" t="n">
        <v>24</v>
      </c>
      <c r="AF293" t="n">
        <v>11</v>
      </c>
      <c r="AG293" t="n">
        <v>11</v>
      </c>
      <c r="AH293" t="n">
        <v>5</v>
      </c>
      <c r="AI293" t="n">
        <v>5</v>
      </c>
      <c r="AJ293" t="n">
        <v>13</v>
      </c>
      <c r="AK293" t="n">
        <v>13</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HYPERLINK("https://creighton-primo.hosted.exlibrisgroup.com/primo-explore/search?tab=default_tab&amp;search_scope=EVERYTHING&amp;vid=01CRU&amp;lang=en_US&amp;offset=0&amp;query=any,contains,991002938759702656","Catalog Record")</f>
        <v/>
      </c>
      <c r="AT293">
        <f>HYPERLINK("http://www.worldcat.org/oclc/39093581","WorldCat Record")</f>
        <v/>
      </c>
      <c r="AU293" t="inlineStr">
        <is>
          <t>34960604:eng</t>
        </is>
      </c>
      <c r="AV293" t="inlineStr">
        <is>
          <t>39093581</t>
        </is>
      </c>
      <c r="AW293" t="inlineStr">
        <is>
          <t>991002938759702656</t>
        </is>
      </c>
      <c r="AX293" t="inlineStr">
        <is>
          <t>991002938759702656</t>
        </is>
      </c>
      <c r="AY293" t="inlineStr">
        <is>
          <t>2272807740002656</t>
        </is>
      </c>
      <c r="AZ293" t="inlineStr">
        <is>
          <t>BOOK</t>
        </is>
      </c>
      <c r="BB293" t="inlineStr">
        <is>
          <t>9780521620123</t>
        </is>
      </c>
      <c r="BC293" t="inlineStr">
        <is>
          <t>32285003489183</t>
        </is>
      </c>
      <c r="BD293" t="inlineStr">
        <is>
          <t>893434481</t>
        </is>
      </c>
    </row>
    <row r="294">
      <c r="A294" t="inlineStr">
        <is>
          <t>No</t>
        </is>
      </c>
      <c r="B294" t="inlineStr">
        <is>
          <t>QB54 .D63 1970</t>
        </is>
      </c>
      <c r="C294" t="inlineStr">
        <is>
          <t>0                      QB 0054000D  63          1970</t>
        </is>
      </c>
      <c r="D294" t="inlineStr">
        <is>
          <t>Habitable planets for man / [by] Stephen H. Dole.</t>
        </is>
      </c>
      <c r="F294" t="inlineStr">
        <is>
          <t>No</t>
        </is>
      </c>
      <c r="G294" t="inlineStr">
        <is>
          <t>1</t>
        </is>
      </c>
      <c r="H294" t="inlineStr">
        <is>
          <t>No</t>
        </is>
      </c>
      <c r="I294" t="inlineStr">
        <is>
          <t>No</t>
        </is>
      </c>
      <c r="J294" t="inlineStr">
        <is>
          <t>0</t>
        </is>
      </c>
      <c r="K294" t="inlineStr">
        <is>
          <t>Dole, Stephen H.</t>
        </is>
      </c>
      <c r="L294" t="inlineStr">
        <is>
          <t>New York : American Elsevier Pub. Co., 1970.</t>
        </is>
      </c>
      <c r="M294" t="inlineStr">
        <is>
          <t>1970</t>
        </is>
      </c>
      <c r="N294" t="inlineStr">
        <is>
          <t>2d ed.</t>
        </is>
      </c>
      <c r="O294" t="inlineStr">
        <is>
          <t>eng</t>
        </is>
      </c>
      <c r="P294" t="inlineStr">
        <is>
          <t>nyu</t>
        </is>
      </c>
      <c r="R294" t="inlineStr">
        <is>
          <t xml:space="preserve">QB </t>
        </is>
      </c>
      <c r="S294" t="n">
        <v>3</v>
      </c>
      <c r="T294" t="n">
        <v>3</v>
      </c>
      <c r="U294" t="inlineStr">
        <is>
          <t>1996-02-29</t>
        </is>
      </c>
      <c r="V294" t="inlineStr">
        <is>
          <t>1996-02-29</t>
        </is>
      </c>
      <c r="W294" t="inlineStr">
        <is>
          <t>1990-04-18</t>
        </is>
      </c>
      <c r="X294" t="inlineStr">
        <is>
          <t>1990-04-18</t>
        </is>
      </c>
      <c r="Y294" t="n">
        <v>344</v>
      </c>
      <c r="Z294" t="n">
        <v>290</v>
      </c>
      <c r="AA294" t="n">
        <v>470</v>
      </c>
      <c r="AB294" t="n">
        <v>3</v>
      </c>
      <c r="AC294" t="n">
        <v>6</v>
      </c>
      <c r="AD294" t="n">
        <v>10</v>
      </c>
      <c r="AE294" t="n">
        <v>19</v>
      </c>
      <c r="AF294" t="n">
        <v>4</v>
      </c>
      <c r="AG294" t="n">
        <v>8</v>
      </c>
      <c r="AH294" t="n">
        <v>0</v>
      </c>
      <c r="AI294" t="n">
        <v>2</v>
      </c>
      <c r="AJ294" t="n">
        <v>5</v>
      </c>
      <c r="AK294" t="n">
        <v>8</v>
      </c>
      <c r="AL294" t="n">
        <v>2</v>
      </c>
      <c r="AM294" t="n">
        <v>5</v>
      </c>
      <c r="AN294" t="n">
        <v>0</v>
      </c>
      <c r="AO294" t="n">
        <v>0</v>
      </c>
      <c r="AP294" t="inlineStr">
        <is>
          <t>No</t>
        </is>
      </c>
      <c r="AQ294" t="inlineStr">
        <is>
          <t>Yes</t>
        </is>
      </c>
      <c r="AR294">
        <f>HYPERLINK("http://catalog.hathitrust.org/Record/007475151","HathiTrust Record")</f>
        <v/>
      </c>
      <c r="AS294">
        <f>HYPERLINK("https://creighton-primo.hosted.exlibrisgroup.com/primo-explore/search?tab=default_tab&amp;search_scope=EVERYTHING&amp;vid=01CRU&amp;lang=en_US&amp;offset=0&amp;query=any,contains,991000614309702656","Catalog Record")</f>
        <v/>
      </c>
      <c r="AT294">
        <f>HYPERLINK("http://www.worldcat.org/oclc/101260","WorldCat Record")</f>
        <v/>
      </c>
      <c r="AU294" t="inlineStr">
        <is>
          <t>1170849:eng</t>
        </is>
      </c>
      <c r="AV294" t="inlineStr">
        <is>
          <t>101260</t>
        </is>
      </c>
      <c r="AW294" t="inlineStr">
        <is>
          <t>991000614309702656</t>
        </is>
      </c>
      <c r="AX294" t="inlineStr">
        <is>
          <t>991000614309702656</t>
        </is>
      </c>
      <c r="AY294" t="inlineStr">
        <is>
          <t>2261279140002656</t>
        </is>
      </c>
      <c r="AZ294" t="inlineStr">
        <is>
          <t>BOOK</t>
        </is>
      </c>
      <c r="BB294" t="inlineStr">
        <is>
          <t>9780444000927</t>
        </is>
      </c>
      <c r="BC294" t="inlineStr">
        <is>
          <t>32285000116649</t>
        </is>
      </c>
      <c r="BD294" t="inlineStr">
        <is>
          <t>893589601</t>
        </is>
      </c>
    </row>
    <row r="295">
      <c r="A295" t="inlineStr">
        <is>
          <t>No</t>
        </is>
      </c>
      <c r="B295" t="inlineStr">
        <is>
          <t>QB54 .D72 1992</t>
        </is>
      </c>
      <c r="C295" t="inlineStr">
        <is>
          <t>0                      QB 0054000D  72          1992</t>
        </is>
      </c>
      <c r="D295" t="inlineStr">
        <is>
          <t>Is anyone out there? : the scientific search for extraterrestrial intelligence / Frank Drake and Dava Sobel.</t>
        </is>
      </c>
      <c r="F295" t="inlineStr">
        <is>
          <t>No</t>
        </is>
      </c>
      <c r="G295" t="inlineStr">
        <is>
          <t>1</t>
        </is>
      </c>
      <c r="H295" t="inlineStr">
        <is>
          <t>No</t>
        </is>
      </c>
      <c r="I295" t="inlineStr">
        <is>
          <t>No</t>
        </is>
      </c>
      <c r="J295" t="inlineStr">
        <is>
          <t>0</t>
        </is>
      </c>
      <c r="K295" t="inlineStr">
        <is>
          <t>Drake, Frank D.</t>
        </is>
      </c>
      <c r="L295" t="inlineStr">
        <is>
          <t>New York, N.Y. : Delacorte Press, 1992.</t>
        </is>
      </c>
      <c r="M295" t="inlineStr">
        <is>
          <t>1992</t>
        </is>
      </c>
      <c r="O295" t="inlineStr">
        <is>
          <t>eng</t>
        </is>
      </c>
      <c r="P295" t="inlineStr">
        <is>
          <t>nyu</t>
        </is>
      </c>
      <c r="R295" t="inlineStr">
        <is>
          <t xml:space="preserve">QB </t>
        </is>
      </c>
      <c r="S295" t="n">
        <v>10</v>
      </c>
      <c r="T295" t="n">
        <v>10</v>
      </c>
      <c r="U295" t="inlineStr">
        <is>
          <t>2006-12-08</t>
        </is>
      </c>
      <c r="V295" t="inlineStr">
        <is>
          <t>2006-12-08</t>
        </is>
      </c>
      <c r="W295" t="inlineStr">
        <is>
          <t>1993-01-14</t>
        </is>
      </c>
      <c r="X295" t="inlineStr">
        <is>
          <t>1993-01-14</t>
        </is>
      </c>
      <c r="Y295" t="n">
        <v>919</v>
      </c>
      <c r="Z295" t="n">
        <v>847</v>
      </c>
      <c r="AA295" t="n">
        <v>885</v>
      </c>
      <c r="AB295" t="n">
        <v>9</v>
      </c>
      <c r="AC295" t="n">
        <v>9</v>
      </c>
      <c r="AD295" t="n">
        <v>22</v>
      </c>
      <c r="AE295" t="n">
        <v>22</v>
      </c>
      <c r="AF295" t="n">
        <v>10</v>
      </c>
      <c r="AG295" t="n">
        <v>10</v>
      </c>
      <c r="AH295" t="n">
        <v>4</v>
      </c>
      <c r="AI295" t="n">
        <v>4</v>
      </c>
      <c r="AJ295" t="n">
        <v>12</v>
      </c>
      <c r="AK295" t="n">
        <v>12</v>
      </c>
      <c r="AL295" t="n">
        <v>3</v>
      </c>
      <c r="AM295" t="n">
        <v>3</v>
      </c>
      <c r="AN295" t="n">
        <v>0</v>
      </c>
      <c r="AO295" t="n">
        <v>0</v>
      </c>
      <c r="AP295" t="inlineStr">
        <is>
          <t>No</t>
        </is>
      </c>
      <c r="AQ295" t="inlineStr">
        <is>
          <t>Yes</t>
        </is>
      </c>
      <c r="AR295">
        <f>HYPERLINK("http://catalog.hathitrust.org/Record/002591538","HathiTrust Record")</f>
        <v/>
      </c>
      <c r="AS295">
        <f>HYPERLINK("https://creighton-primo.hosted.exlibrisgroup.com/primo-explore/search?tab=default_tab&amp;search_scope=EVERYTHING&amp;vid=01CRU&amp;lang=en_US&amp;offset=0&amp;query=any,contains,991001990559702656","Catalog Record")</f>
        <v/>
      </c>
      <c r="AT295">
        <f>HYPERLINK("http://www.worldcat.org/oclc/25282445","WorldCat Record")</f>
        <v/>
      </c>
      <c r="AU295" t="inlineStr">
        <is>
          <t>793345922:eng</t>
        </is>
      </c>
      <c r="AV295" t="inlineStr">
        <is>
          <t>25282445</t>
        </is>
      </c>
      <c r="AW295" t="inlineStr">
        <is>
          <t>991001990559702656</t>
        </is>
      </c>
      <c r="AX295" t="inlineStr">
        <is>
          <t>991001990559702656</t>
        </is>
      </c>
      <c r="AY295" t="inlineStr">
        <is>
          <t>2271281930002656</t>
        </is>
      </c>
      <c r="AZ295" t="inlineStr">
        <is>
          <t>BOOK</t>
        </is>
      </c>
      <c r="BB295" t="inlineStr">
        <is>
          <t>9780385305327</t>
        </is>
      </c>
      <c r="BC295" t="inlineStr">
        <is>
          <t>32285001445641</t>
        </is>
      </c>
      <c r="BD295" t="inlineStr">
        <is>
          <t>893621787</t>
        </is>
      </c>
    </row>
    <row r="296">
      <c r="A296" t="inlineStr">
        <is>
          <t>No</t>
        </is>
      </c>
      <c r="B296" t="inlineStr">
        <is>
          <t>QB54 .E95 1982</t>
        </is>
      </c>
      <c r="C296" t="inlineStr">
        <is>
          <t>0                      QB 0054000E  95          1982</t>
        </is>
      </c>
      <c r="D296" t="inlineStr">
        <is>
          <t>Extraterrestrials, where are they? / edited by Michael H. Hart and Ben Zuckerman.</t>
        </is>
      </c>
      <c r="F296" t="inlineStr">
        <is>
          <t>No</t>
        </is>
      </c>
      <c r="G296" t="inlineStr">
        <is>
          <t>1</t>
        </is>
      </c>
      <c r="H296" t="inlineStr">
        <is>
          <t>No</t>
        </is>
      </c>
      <c r="I296" t="inlineStr">
        <is>
          <t>No</t>
        </is>
      </c>
      <c r="J296" t="inlineStr">
        <is>
          <t>0</t>
        </is>
      </c>
      <c r="L296" t="inlineStr">
        <is>
          <t>New York : Pergamon Press, c1982.</t>
        </is>
      </c>
      <c r="M296" t="inlineStr">
        <is>
          <t>1982</t>
        </is>
      </c>
      <c r="O296" t="inlineStr">
        <is>
          <t>eng</t>
        </is>
      </c>
      <c r="P296" t="inlineStr">
        <is>
          <t>nyu</t>
        </is>
      </c>
      <c r="R296" t="inlineStr">
        <is>
          <t xml:space="preserve">QB </t>
        </is>
      </c>
      <c r="S296" t="n">
        <v>2</v>
      </c>
      <c r="T296" t="n">
        <v>2</v>
      </c>
      <c r="U296" t="inlineStr">
        <is>
          <t>1994-12-11</t>
        </is>
      </c>
      <c r="V296" t="inlineStr">
        <is>
          <t>1994-12-11</t>
        </is>
      </c>
      <c r="W296" t="inlineStr">
        <is>
          <t>1992-11-13</t>
        </is>
      </c>
      <c r="X296" t="inlineStr">
        <is>
          <t>1992-11-13</t>
        </is>
      </c>
      <c r="Y296" t="n">
        <v>324</v>
      </c>
      <c r="Z296" t="n">
        <v>275</v>
      </c>
      <c r="AA296" t="n">
        <v>528</v>
      </c>
      <c r="AB296" t="n">
        <v>2</v>
      </c>
      <c r="AC296" t="n">
        <v>4</v>
      </c>
      <c r="AD296" t="n">
        <v>7</v>
      </c>
      <c r="AE296" t="n">
        <v>17</v>
      </c>
      <c r="AF296" t="n">
        <v>3</v>
      </c>
      <c r="AG296" t="n">
        <v>6</v>
      </c>
      <c r="AH296" t="n">
        <v>2</v>
      </c>
      <c r="AI296" t="n">
        <v>3</v>
      </c>
      <c r="AJ296" t="n">
        <v>4</v>
      </c>
      <c r="AK296" t="n">
        <v>9</v>
      </c>
      <c r="AL296" t="n">
        <v>1</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HYPERLINK("https://creighton-primo.hosted.exlibrisgroup.com/primo-explore/search?tab=default_tab&amp;search_scope=EVERYTHING&amp;vid=01CRU&amp;lang=en_US&amp;offset=0&amp;query=any,contains,991005097119702656","Catalog Record")</f>
        <v/>
      </c>
      <c r="AT296">
        <f>HYPERLINK("http://www.worldcat.org/oclc/7275109","WorldCat Record")</f>
        <v/>
      </c>
      <c r="AU296" t="inlineStr">
        <is>
          <t>896872680:eng</t>
        </is>
      </c>
      <c r="AV296" t="inlineStr">
        <is>
          <t>7275109</t>
        </is>
      </c>
      <c r="AW296" t="inlineStr">
        <is>
          <t>991005097119702656</t>
        </is>
      </c>
      <c r="AX296" t="inlineStr">
        <is>
          <t>991005097119702656</t>
        </is>
      </c>
      <c r="AY296" t="inlineStr">
        <is>
          <t>2260640180002656</t>
        </is>
      </c>
      <c r="AZ296" t="inlineStr">
        <is>
          <t>BOOK</t>
        </is>
      </c>
      <c r="BB296" t="inlineStr">
        <is>
          <t>9780080263410</t>
        </is>
      </c>
      <c r="BC296" t="inlineStr">
        <is>
          <t>32285001384832</t>
        </is>
      </c>
      <c r="BD296" t="inlineStr">
        <is>
          <t>893412311</t>
        </is>
      </c>
    </row>
    <row r="297">
      <c r="A297" t="inlineStr">
        <is>
          <t>No</t>
        </is>
      </c>
      <c r="B297" t="inlineStr">
        <is>
          <t>QB54 .E97 1989</t>
        </is>
      </c>
      <c r="C297" t="inlineStr">
        <is>
          <t>0                      QB 0054000E  97          1989</t>
        </is>
      </c>
      <c r="D297" t="inlineStr">
        <is>
          <t>Extraterrestrial civilization / edited by Thomas B.H. Kuiper and Glen David Brin.</t>
        </is>
      </c>
      <c r="F297" t="inlineStr">
        <is>
          <t>No</t>
        </is>
      </c>
      <c r="G297" t="inlineStr">
        <is>
          <t>1</t>
        </is>
      </c>
      <c r="H297" t="inlineStr">
        <is>
          <t>No</t>
        </is>
      </c>
      <c r="I297" t="inlineStr">
        <is>
          <t>No</t>
        </is>
      </c>
      <c r="J297" t="inlineStr">
        <is>
          <t>0</t>
        </is>
      </c>
      <c r="L297" t="inlineStr">
        <is>
          <t>College Park, MD : American Association of Physics Teachers, 1989.</t>
        </is>
      </c>
      <c r="M297" t="inlineStr">
        <is>
          <t>1989</t>
        </is>
      </c>
      <c r="O297" t="inlineStr">
        <is>
          <t>eng</t>
        </is>
      </c>
      <c r="P297" t="inlineStr">
        <is>
          <t>mdu</t>
        </is>
      </c>
      <c r="R297" t="inlineStr">
        <is>
          <t xml:space="preserve">QB </t>
        </is>
      </c>
      <c r="S297" t="n">
        <v>7</v>
      </c>
      <c r="T297" t="n">
        <v>7</v>
      </c>
      <c r="U297" t="inlineStr">
        <is>
          <t>1995-04-21</t>
        </is>
      </c>
      <c r="V297" t="inlineStr">
        <is>
          <t>1995-04-21</t>
        </is>
      </c>
      <c r="W297" t="inlineStr">
        <is>
          <t>1990-06-21</t>
        </is>
      </c>
      <c r="X297" t="inlineStr">
        <is>
          <t>1990-06-21</t>
        </is>
      </c>
      <c r="Y297" t="n">
        <v>61</v>
      </c>
      <c r="Z297" t="n">
        <v>56</v>
      </c>
      <c r="AA297" t="n">
        <v>59</v>
      </c>
      <c r="AB297" t="n">
        <v>1</v>
      </c>
      <c r="AC297" t="n">
        <v>1</v>
      </c>
      <c r="AD297" t="n">
        <v>4</v>
      </c>
      <c r="AE297" t="n">
        <v>5</v>
      </c>
      <c r="AF297" t="n">
        <v>3</v>
      </c>
      <c r="AG297" t="n">
        <v>3</v>
      </c>
      <c r="AH297" t="n">
        <v>0</v>
      </c>
      <c r="AI297" t="n">
        <v>1</v>
      </c>
      <c r="AJ297" t="n">
        <v>2</v>
      </c>
      <c r="AK297" t="n">
        <v>3</v>
      </c>
      <c r="AL297" t="n">
        <v>0</v>
      </c>
      <c r="AM297" t="n">
        <v>0</v>
      </c>
      <c r="AN297" t="n">
        <v>0</v>
      </c>
      <c r="AO297" t="n">
        <v>0</v>
      </c>
      <c r="AP297" t="inlineStr">
        <is>
          <t>No</t>
        </is>
      </c>
      <c r="AQ297" t="inlineStr">
        <is>
          <t>Yes</t>
        </is>
      </c>
      <c r="AR297">
        <f>HYPERLINK("http://catalog.hathitrust.org/Record/007068924","HathiTrust Record")</f>
        <v/>
      </c>
      <c r="AS297">
        <f>HYPERLINK("https://creighton-primo.hosted.exlibrisgroup.com/primo-explore/search?tab=default_tab&amp;search_scope=EVERYTHING&amp;vid=01CRU&amp;lang=en_US&amp;offset=0&amp;query=any,contains,991001696739702656","Catalog Record")</f>
        <v/>
      </c>
      <c r="AT297">
        <f>HYPERLINK("http://www.worldcat.org/oclc/21487310","WorldCat Record")</f>
        <v/>
      </c>
      <c r="AU297" t="inlineStr">
        <is>
          <t>23523554:eng</t>
        </is>
      </c>
      <c r="AV297" t="inlineStr">
        <is>
          <t>21487310</t>
        </is>
      </c>
      <c r="AW297" t="inlineStr">
        <is>
          <t>991001696739702656</t>
        </is>
      </c>
      <c r="AX297" t="inlineStr">
        <is>
          <t>991001696739702656</t>
        </is>
      </c>
      <c r="AY297" t="inlineStr">
        <is>
          <t>2263535850002656</t>
        </is>
      </c>
      <c r="AZ297" t="inlineStr">
        <is>
          <t>BOOK</t>
        </is>
      </c>
      <c r="BB297" t="inlineStr">
        <is>
          <t>9780917853388</t>
        </is>
      </c>
      <c r="BC297" t="inlineStr">
        <is>
          <t>32285000179118</t>
        </is>
      </c>
      <c r="BD297" t="inlineStr">
        <is>
          <t>893408290</t>
        </is>
      </c>
    </row>
    <row r="298">
      <c r="A298" t="inlineStr">
        <is>
          <t>No</t>
        </is>
      </c>
      <c r="B298" t="inlineStr">
        <is>
          <t>QB54 .H29 1997</t>
        </is>
      </c>
      <c r="C298" t="inlineStr">
        <is>
          <t>0                      QB 0054000H  29          1997</t>
        </is>
      </c>
      <c r="D298" t="inlineStr">
        <is>
          <t>After contact : the human response to extraterrestrial life / Albert A. Harrison.</t>
        </is>
      </c>
      <c r="F298" t="inlineStr">
        <is>
          <t>No</t>
        </is>
      </c>
      <c r="G298" t="inlineStr">
        <is>
          <t>1</t>
        </is>
      </c>
      <c r="H298" t="inlineStr">
        <is>
          <t>No</t>
        </is>
      </c>
      <c r="I298" t="inlineStr">
        <is>
          <t>No</t>
        </is>
      </c>
      <c r="J298" t="inlineStr">
        <is>
          <t>0</t>
        </is>
      </c>
      <c r="K298" t="inlineStr">
        <is>
          <t>Harrison, Albert A.</t>
        </is>
      </c>
      <c r="L298" t="inlineStr">
        <is>
          <t>New York : Plenum Trade, 1997.</t>
        </is>
      </c>
      <c r="M298" t="inlineStr">
        <is>
          <t>1997</t>
        </is>
      </c>
      <c r="O298" t="inlineStr">
        <is>
          <t>eng</t>
        </is>
      </c>
      <c r="P298" t="inlineStr">
        <is>
          <t>nyu</t>
        </is>
      </c>
      <c r="R298" t="inlineStr">
        <is>
          <t xml:space="preserve">QB </t>
        </is>
      </c>
      <c r="S298" t="n">
        <v>6</v>
      </c>
      <c r="T298" t="n">
        <v>6</v>
      </c>
      <c r="U298" t="inlineStr">
        <is>
          <t>1999-03-28</t>
        </is>
      </c>
      <c r="V298" t="inlineStr">
        <is>
          <t>1999-03-28</t>
        </is>
      </c>
      <c r="W298" t="inlineStr">
        <is>
          <t>1997-11-06</t>
        </is>
      </c>
      <c r="X298" t="inlineStr">
        <is>
          <t>1997-11-06</t>
        </is>
      </c>
      <c r="Y298" t="n">
        <v>371</v>
      </c>
      <c r="Z298" t="n">
        <v>332</v>
      </c>
      <c r="AA298" t="n">
        <v>344</v>
      </c>
      <c r="AB298" t="n">
        <v>2</v>
      </c>
      <c r="AC298" t="n">
        <v>2</v>
      </c>
      <c r="AD298" t="n">
        <v>7</v>
      </c>
      <c r="AE298" t="n">
        <v>8</v>
      </c>
      <c r="AF298" t="n">
        <v>1</v>
      </c>
      <c r="AG298" t="n">
        <v>2</v>
      </c>
      <c r="AH298" t="n">
        <v>1</v>
      </c>
      <c r="AI298" t="n">
        <v>1</v>
      </c>
      <c r="AJ298" t="n">
        <v>5</v>
      </c>
      <c r="AK298" t="n">
        <v>5</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HYPERLINK("https://creighton-primo.hosted.exlibrisgroup.com/primo-explore/search?tab=default_tab&amp;search_scope=EVERYTHING&amp;vid=01CRU&amp;lang=en_US&amp;offset=0&amp;query=any,contains,991002842189702656","Catalog Record")</f>
        <v/>
      </c>
      <c r="AT298">
        <f>HYPERLINK("http://www.worldcat.org/oclc/37443315","WorldCat Record")</f>
        <v/>
      </c>
      <c r="AU298" t="inlineStr">
        <is>
          <t>809111262:eng</t>
        </is>
      </c>
      <c r="AV298" t="inlineStr">
        <is>
          <t>37443315</t>
        </is>
      </c>
      <c r="AW298" t="inlineStr">
        <is>
          <t>991002842189702656</t>
        </is>
      </c>
      <c r="AX298" t="inlineStr">
        <is>
          <t>991002842189702656</t>
        </is>
      </c>
      <c r="AY298" t="inlineStr">
        <is>
          <t>2262298610002656</t>
        </is>
      </c>
      <c r="AZ298" t="inlineStr">
        <is>
          <t>BOOK</t>
        </is>
      </c>
      <c r="BB298" t="inlineStr">
        <is>
          <t>9780306456213</t>
        </is>
      </c>
      <c r="BC298" t="inlineStr">
        <is>
          <t>32285003277166</t>
        </is>
      </c>
      <c r="BD298" t="inlineStr">
        <is>
          <t>893710743</t>
        </is>
      </c>
    </row>
    <row r="299">
      <c r="A299" t="inlineStr">
        <is>
          <t>No</t>
        </is>
      </c>
      <c r="B299" t="inlineStr">
        <is>
          <t>QB54 .H39613 1997</t>
        </is>
      </c>
      <c r="C299" t="inlineStr">
        <is>
          <t>0                      QB 0054000H  39613       1997</t>
        </is>
      </c>
      <c r="D299" t="inlineStr">
        <is>
          <t>Extraterrestrial intelligence / Jean Heidmann ; translated by Storm Dunlop.</t>
        </is>
      </c>
      <c r="F299" t="inlineStr">
        <is>
          <t>No</t>
        </is>
      </c>
      <c r="G299" t="inlineStr">
        <is>
          <t>1</t>
        </is>
      </c>
      <c r="H299" t="inlineStr">
        <is>
          <t>No</t>
        </is>
      </c>
      <c r="I299" t="inlineStr">
        <is>
          <t>No</t>
        </is>
      </c>
      <c r="J299" t="inlineStr">
        <is>
          <t>0</t>
        </is>
      </c>
      <c r="K299" t="inlineStr">
        <is>
          <t>Heidmann, Jean.</t>
        </is>
      </c>
      <c r="L299" t="inlineStr">
        <is>
          <t>Cambridge : Cambridge University Press, 1997.</t>
        </is>
      </c>
      <c r="M299" t="inlineStr">
        <is>
          <t>1997</t>
        </is>
      </c>
      <c r="N299" t="inlineStr">
        <is>
          <t>2nd ed.</t>
        </is>
      </c>
      <c r="O299" t="inlineStr">
        <is>
          <t>eng</t>
        </is>
      </c>
      <c r="P299" t="inlineStr">
        <is>
          <t>enk</t>
        </is>
      </c>
      <c r="R299" t="inlineStr">
        <is>
          <t xml:space="preserve">QB </t>
        </is>
      </c>
      <c r="S299" t="n">
        <v>9</v>
      </c>
      <c r="T299" t="n">
        <v>9</v>
      </c>
      <c r="U299" t="inlineStr">
        <is>
          <t>2000-11-13</t>
        </is>
      </c>
      <c r="V299" t="inlineStr">
        <is>
          <t>2000-11-13</t>
        </is>
      </c>
      <c r="W299" t="inlineStr">
        <is>
          <t>1997-10-01</t>
        </is>
      </c>
      <c r="X299" t="inlineStr">
        <is>
          <t>1997-10-01</t>
        </is>
      </c>
      <c r="Y299" t="n">
        <v>145</v>
      </c>
      <c r="Z299" t="n">
        <v>103</v>
      </c>
      <c r="AA299" t="n">
        <v>396</v>
      </c>
      <c r="AB299" t="n">
        <v>1</v>
      </c>
      <c r="AC299" t="n">
        <v>3</v>
      </c>
      <c r="AD299" t="n">
        <v>1</v>
      </c>
      <c r="AE299" t="n">
        <v>13</v>
      </c>
      <c r="AF299" t="n">
        <v>1</v>
      </c>
      <c r="AG299" t="n">
        <v>3</v>
      </c>
      <c r="AH299" t="n">
        <v>0</v>
      </c>
      <c r="AI299" t="n">
        <v>2</v>
      </c>
      <c r="AJ299" t="n">
        <v>0</v>
      </c>
      <c r="AK299" t="n">
        <v>9</v>
      </c>
      <c r="AL299" t="n">
        <v>0</v>
      </c>
      <c r="AM299" t="n">
        <v>2</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HYPERLINK("https://creighton-primo.hosted.exlibrisgroup.com/primo-explore/search?tab=default_tab&amp;search_scope=EVERYTHING&amp;vid=01CRU&amp;lang=en_US&amp;offset=0&amp;query=any,contains,991002809889702656","Catalog Record")</f>
        <v/>
      </c>
      <c r="AT299">
        <f>HYPERLINK("http://www.worldcat.org/oclc/39485390","WorldCat Record")</f>
        <v/>
      </c>
      <c r="AU299" t="inlineStr">
        <is>
          <t>1151740332:eng</t>
        </is>
      </c>
      <c r="AV299" t="inlineStr">
        <is>
          <t>39485390</t>
        </is>
      </c>
      <c r="AW299" t="inlineStr">
        <is>
          <t>991002809889702656</t>
        </is>
      </c>
      <c r="AX299" t="inlineStr">
        <is>
          <t>991002809889702656</t>
        </is>
      </c>
      <c r="AY299" t="inlineStr">
        <is>
          <t>2258715860002656</t>
        </is>
      </c>
      <c r="AZ299" t="inlineStr">
        <is>
          <t>BOOK</t>
        </is>
      </c>
      <c r="BB299" t="inlineStr">
        <is>
          <t>9780521453400</t>
        </is>
      </c>
      <c r="BC299" t="inlineStr">
        <is>
          <t>32285003251823</t>
        </is>
      </c>
      <c r="BD299" t="inlineStr">
        <is>
          <t>893251639</t>
        </is>
      </c>
    </row>
    <row r="300">
      <c r="A300" t="inlineStr">
        <is>
          <t>No</t>
        </is>
      </c>
      <c r="B300" t="inlineStr">
        <is>
          <t>QB54 .J25 1998</t>
        </is>
      </c>
      <c r="C300" t="inlineStr">
        <is>
          <t>0                      QB 0054000J  25          1998</t>
        </is>
      </c>
      <c r="D300" t="inlineStr">
        <is>
          <t>The search for life on other planets / by Bruce Jakosky.</t>
        </is>
      </c>
      <c r="F300" t="inlineStr">
        <is>
          <t>No</t>
        </is>
      </c>
      <c r="G300" t="inlineStr">
        <is>
          <t>1</t>
        </is>
      </c>
      <c r="H300" t="inlineStr">
        <is>
          <t>No</t>
        </is>
      </c>
      <c r="I300" t="inlineStr">
        <is>
          <t>No</t>
        </is>
      </c>
      <c r="J300" t="inlineStr">
        <is>
          <t>0</t>
        </is>
      </c>
      <c r="K300" t="inlineStr">
        <is>
          <t>Jakosky, Bruce M.</t>
        </is>
      </c>
      <c r="L300" t="inlineStr">
        <is>
          <t>Cambridge ; New York : Cambridge University Press, c1998.</t>
        </is>
      </c>
      <c r="M300" t="inlineStr">
        <is>
          <t>1998</t>
        </is>
      </c>
      <c r="O300" t="inlineStr">
        <is>
          <t>eng</t>
        </is>
      </c>
      <c r="P300" t="inlineStr">
        <is>
          <t>enk</t>
        </is>
      </c>
      <c r="R300" t="inlineStr">
        <is>
          <t xml:space="preserve">QB </t>
        </is>
      </c>
      <c r="S300" t="n">
        <v>1</v>
      </c>
      <c r="T300" t="n">
        <v>1</v>
      </c>
      <c r="U300" t="inlineStr">
        <is>
          <t>2000-11-13</t>
        </is>
      </c>
      <c r="V300" t="inlineStr">
        <is>
          <t>2000-11-13</t>
        </is>
      </c>
      <c r="W300" t="inlineStr">
        <is>
          <t>1999-12-07</t>
        </is>
      </c>
      <c r="X300" t="inlineStr">
        <is>
          <t>1999-12-07</t>
        </is>
      </c>
      <c r="Y300" t="n">
        <v>761</v>
      </c>
      <c r="Z300" t="n">
        <v>642</v>
      </c>
      <c r="AA300" t="n">
        <v>642</v>
      </c>
      <c r="AB300" t="n">
        <v>4</v>
      </c>
      <c r="AC300" t="n">
        <v>4</v>
      </c>
      <c r="AD300" t="n">
        <v>24</v>
      </c>
      <c r="AE300" t="n">
        <v>24</v>
      </c>
      <c r="AF300" t="n">
        <v>9</v>
      </c>
      <c r="AG300" t="n">
        <v>9</v>
      </c>
      <c r="AH300" t="n">
        <v>6</v>
      </c>
      <c r="AI300" t="n">
        <v>6</v>
      </c>
      <c r="AJ300" t="n">
        <v>9</v>
      </c>
      <c r="AK300" t="n">
        <v>9</v>
      </c>
      <c r="AL300" t="n">
        <v>3</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HYPERLINK("https://creighton-primo.hosted.exlibrisgroup.com/primo-explore/search?tab=default_tab&amp;search_scope=EVERYTHING&amp;vid=01CRU&amp;lang=en_US&amp;offset=0&amp;query=any,contains,991002891099702656","Catalog Record")</f>
        <v/>
      </c>
      <c r="AT300">
        <f>HYPERLINK("http://www.worldcat.org/oclc/38090975","WorldCat Record")</f>
        <v/>
      </c>
      <c r="AU300" t="inlineStr">
        <is>
          <t>10677872219:eng</t>
        </is>
      </c>
      <c r="AV300" t="inlineStr">
        <is>
          <t>38090975</t>
        </is>
      </c>
      <c r="AW300" t="inlineStr">
        <is>
          <t>991002891099702656</t>
        </is>
      </c>
      <c r="AX300" t="inlineStr">
        <is>
          <t>991002891099702656</t>
        </is>
      </c>
      <c r="AY300" t="inlineStr">
        <is>
          <t>2272540750002656</t>
        </is>
      </c>
      <c r="AZ300" t="inlineStr">
        <is>
          <t>BOOK</t>
        </is>
      </c>
      <c r="BB300" t="inlineStr">
        <is>
          <t>9780521591652</t>
        </is>
      </c>
      <c r="BC300" t="inlineStr">
        <is>
          <t>32285003628970</t>
        </is>
      </c>
      <c r="BD300" t="inlineStr">
        <is>
          <t>893899374</t>
        </is>
      </c>
    </row>
    <row r="301">
      <c r="A301" t="inlineStr">
        <is>
          <t>No</t>
        </is>
      </c>
      <c r="B301" t="inlineStr">
        <is>
          <t>QB54 .L43 1998</t>
        </is>
      </c>
      <c r="C301" t="inlineStr">
        <is>
          <t>0                      QB 0054000L  43          1998</t>
        </is>
      </c>
      <c r="D301" t="inlineStr">
        <is>
          <t>Other worlds : the search for life in the universe / Michael D. Lemonick.</t>
        </is>
      </c>
      <c r="F301" t="inlineStr">
        <is>
          <t>No</t>
        </is>
      </c>
      <c r="G301" t="inlineStr">
        <is>
          <t>1</t>
        </is>
      </c>
      <c r="H301" t="inlineStr">
        <is>
          <t>No</t>
        </is>
      </c>
      <c r="I301" t="inlineStr">
        <is>
          <t>No</t>
        </is>
      </c>
      <c r="J301" t="inlineStr">
        <is>
          <t>0</t>
        </is>
      </c>
      <c r="K301" t="inlineStr">
        <is>
          <t>Lemonick, Michael D., 1953-</t>
        </is>
      </c>
      <c r="L301" t="inlineStr">
        <is>
          <t>New York : Simon &amp; Schuster, 1998.</t>
        </is>
      </c>
      <c r="M301" t="inlineStr">
        <is>
          <t>1998</t>
        </is>
      </c>
      <c r="O301" t="inlineStr">
        <is>
          <t>eng</t>
        </is>
      </c>
      <c r="P301" t="inlineStr">
        <is>
          <t>nyu</t>
        </is>
      </c>
      <c r="R301" t="inlineStr">
        <is>
          <t xml:space="preserve">QB </t>
        </is>
      </c>
      <c r="S301" t="n">
        <v>1</v>
      </c>
      <c r="T301" t="n">
        <v>1</v>
      </c>
      <c r="U301" t="inlineStr">
        <is>
          <t>1998-07-21</t>
        </is>
      </c>
      <c r="V301" t="inlineStr">
        <is>
          <t>1998-07-21</t>
        </is>
      </c>
      <c r="W301" t="inlineStr">
        <is>
          <t>1998-07-15</t>
        </is>
      </c>
      <c r="X301" t="inlineStr">
        <is>
          <t>1998-07-15</t>
        </is>
      </c>
      <c r="Y301" t="n">
        <v>831</v>
      </c>
      <c r="Z301" t="n">
        <v>794</v>
      </c>
      <c r="AA301" t="n">
        <v>822</v>
      </c>
      <c r="AB301" t="n">
        <v>8</v>
      </c>
      <c r="AC301" t="n">
        <v>8</v>
      </c>
      <c r="AD301" t="n">
        <v>20</v>
      </c>
      <c r="AE301" t="n">
        <v>20</v>
      </c>
      <c r="AF301" t="n">
        <v>6</v>
      </c>
      <c r="AG301" t="n">
        <v>6</v>
      </c>
      <c r="AH301" t="n">
        <v>4</v>
      </c>
      <c r="AI301" t="n">
        <v>4</v>
      </c>
      <c r="AJ301" t="n">
        <v>8</v>
      </c>
      <c r="AK301" t="n">
        <v>8</v>
      </c>
      <c r="AL301" t="n">
        <v>5</v>
      </c>
      <c r="AM301" t="n">
        <v>5</v>
      </c>
      <c r="AN301" t="n">
        <v>0</v>
      </c>
      <c r="AO301" t="n">
        <v>0</v>
      </c>
      <c r="AP301" t="inlineStr">
        <is>
          <t>No</t>
        </is>
      </c>
      <c r="AQ301" t="inlineStr">
        <is>
          <t>Yes</t>
        </is>
      </c>
      <c r="AR301">
        <f>HYPERLINK("http://catalog.hathitrust.org/Record/003977345","HathiTrust Record")</f>
        <v/>
      </c>
      <c r="AS301">
        <f>HYPERLINK("https://creighton-primo.hosted.exlibrisgroup.com/primo-explore/search?tab=default_tab&amp;search_scope=EVERYTHING&amp;vid=01CRU&amp;lang=en_US&amp;offset=0&amp;query=any,contains,991002891079702656","Catalog Record")</f>
        <v/>
      </c>
      <c r="AT301">
        <f>HYPERLINK("http://www.worldcat.org/oclc/38090913","WorldCat Record")</f>
        <v/>
      </c>
      <c r="AU301" t="inlineStr">
        <is>
          <t>572366:eng</t>
        </is>
      </c>
      <c r="AV301" t="inlineStr">
        <is>
          <t>38090913</t>
        </is>
      </c>
      <c r="AW301" t="inlineStr">
        <is>
          <t>991002891079702656</t>
        </is>
      </c>
      <c r="AX301" t="inlineStr">
        <is>
          <t>991002891079702656</t>
        </is>
      </c>
      <c r="AY301" t="inlineStr">
        <is>
          <t>2272574650002656</t>
        </is>
      </c>
      <c r="AZ301" t="inlineStr">
        <is>
          <t>BOOK</t>
        </is>
      </c>
      <c r="BB301" t="inlineStr">
        <is>
          <t>9780684832944</t>
        </is>
      </c>
      <c r="BC301" t="inlineStr">
        <is>
          <t>32285003432118</t>
        </is>
      </c>
      <c r="BD301" t="inlineStr">
        <is>
          <t>893317404</t>
        </is>
      </c>
    </row>
    <row r="302">
      <c r="A302" t="inlineStr">
        <is>
          <t>No</t>
        </is>
      </c>
      <c r="B302" t="inlineStr">
        <is>
          <t>QB54 .L483</t>
        </is>
      </c>
      <c r="C302" t="inlineStr">
        <is>
          <t>0                      QB 0054000L  483</t>
        </is>
      </c>
      <c r="D302" t="inlineStr">
        <is>
          <t>Life in the universe / John Billingham, editor.</t>
        </is>
      </c>
      <c r="F302" t="inlineStr">
        <is>
          <t>No</t>
        </is>
      </c>
      <c r="G302" t="inlineStr">
        <is>
          <t>1</t>
        </is>
      </c>
      <c r="H302" t="inlineStr">
        <is>
          <t>No</t>
        </is>
      </c>
      <c r="I302" t="inlineStr">
        <is>
          <t>No</t>
        </is>
      </c>
      <c r="J302" t="inlineStr">
        <is>
          <t>0</t>
        </is>
      </c>
      <c r="L302" t="inlineStr">
        <is>
          <t>Cambridge, Mass. : MIT Press, 1981.</t>
        </is>
      </c>
      <c r="M302" t="inlineStr">
        <is>
          <t>1981</t>
        </is>
      </c>
      <c r="N302" t="inlineStr">
        <is>
          <t>1st MIT Press ed.</t>
        </is>
      </c>
      <c r="O302" t="inlineStr">
        <is>
          <t>eng</t>
        </is>
      </c>
      <c r="P302" t="inlineStr">
        <is>
          <t>mau</t>
        </is>
      </c>
      <c r="R302" t="inlineStr">
        <is>
          <t xml:space="preserve">QB </t>
        </is>
      </c>
      <c r="S302" t="n">
        <v>3</v>
      </c>
      <c r="T302" t="n">
        <v>3</v>
      </c>
      <c r="U302" t="inlineStr">
        <is>
          <t>1998-02-01</t>
        </is>
      </c>
      <c r="V302" t="inlineStr">
        <is>
          <t>1998-02-01</t>
        </is>
      </c>
      <c r="W302" t="inlineStr">
        <is>
          <t>1990-04-04</t>
        </is>
      </c>
      <c r="X302" t="inlineStr">
        <is>
          <t>1990-04-04</t>
        </is>
      </c>
      <c r="Y302" t="n">
        <v>552</v>
      </c>
      <c r="Z302" t="n">
        <v>482</v>
      </c>
      <c r="AA302" t="n">
        <v>493</v>
      </c>
      <c r="AB302" t="n">
        <v>6</v>
      </c>
      <c r="AC302" t="n">
        <v>6</v>
      </c>
      <c r="AD302" t="n">
        <v>19</v>
      </c>
      <c r="AE302" t="n">
        <v>19</v>
      </c>
      <c r="AF302" t="n">
        <v>6</v>
      </c>
      <c r="AG302" t="n">
        <v>6</v>
      </c>
      <c r="AH302" t="n">
        <v>5</v>
      </c>
      <c r="AI302" t="n">
        <v>5</v>
      </c>
      <c r="AJ302" t="n">
        <v>7</v>
      </c>
      <c r="AK302" t="n">
        <v>7</v>
      </c>
      <c r="AL302" t="n">
        <v>5</v>
      </c>
      <c r="AM302" t="n">
        <v>5</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HYPERLINK("https://creighton-primo.hosted.exlibrisgroup.com/primo-explore/search?tab=default_tab&amp;search_scope=EVERYTHING&amp;vid=01CRU&amp;lang=en_US&amp;offset=0&amp;query=any,contains,991005169379702656","Catalog Record")</f>
        <v/>
      </c>
      <c r="AT302">
        <f>HYPERLINK("http://www.worldcat.org/oclc/7838133","WorldCat Record")</f>
        <v/>
      </c>
      <c r="AU302" t="inlineStr">
        <is>
          <t>3857006143:eng</t>
        </is>
      </c>
      <c r="AV302" t="inlineStr">
        <is>
          <t>7838133</t>
        </is>
      </c>
      <c r="AW302" t="inlineStr">
        <is>
          <t>991005169379702656</t>
        </is>
      </c>
      <c r="AX302" t="inlineStr">
        <is>
          <t>991005169379702656</t>
        </is>
      </c>
      <c r="AY302" t="inlineStr">
        <is>
          <t>2255798600002656</t>
        </is>
      </c>
      <c r="AZ302" t="inlineStr">
        <is>
          <t>BOOK</t>
        </is>
      </c>
      <c r="BB302" t="inlineStr">
        <is>
          <t>9780262520621</t>
        </is>
      </c>
      <c r="BC302" t="inlineStr">
        <is>
          <t>32285000109941</t>
        </is>
      </c>
      <c r="BD302" t="inlineStr">
        <is>
          <t>893883437</t>
        </is>
      </c>
    </row>
    <row r="303">
      <c r="A303" t="inlineStr">
        <is>
          <t>No</t>
        </is>
      </c>
      <c r="B303" t="inlineStr">
        <is>
          <t>QB54 .M28 1966</t>
        </is>
      </c>
      <c r="C303" t="inlineStr">
        <is>
          <t>0                      QB 0054000M  28          1966</t>
        </is>
      </c>
      <c r="D303" t="inlineStr">
        <is>
          <t>Intelligence in the universe / Roger A. MacGowan [and] Frederick I. Ordway, III. Illustrated by Harry H-K Lange.</t>
        </is>
      </c>
      <c r="F303" t="inlineStr">
        <is>
          <t>No</t>
        </is>
      </c>
      <c r="G303" t="inlineStr">
        <is>
          <t>1</t>
        </is>
      </c>
      <c r="H303" t="inlineStr">
        <is>
          <t>No</t>
        </is>
      </c>
      <c r="I303" t="inlineStr">
        <is>
          <t>No</t>
        </is>
      </c>
      <c r="J303" t="inlineStr">
        <is>
          <t>0</t>
        </is>
      </c>
      <c r="K303" t="inlineStr">
        <is>
          <t>MacGowan, Roger A.</t>
        </is>
      </c>
      <c r="L303" t="inlineStr">
        <is>
          <t>Englewood Cliffs, N.J. : Prentice-Hall, c1966.</t>
        </is>
      </c>
      <c r="M303" t="inlineStr">
        <is>
          <t>1966</t>
        </is>
      </c>
      <c r="O303" t="inlineStr">
        <is>
          <t>eng</t>
        </is>
      </c>
      <c r="P303" t="inlineStr">
        <is>
          <t>nju</t>
        </is>
      </c>
      <c r="R303" t="inlineStr">
        <is>
          <t xml:space="preserve">QB </t>
        </is>
      </c>
      <c r="S303" t="n">
        <v>4</v>
      </c>
      <c r="T303" t="n">
        <v>4</v>
      </c>
      <c r="U303" t="inlineStr">
        <is>
          <t>1998-04-17</t>
        </is>
      </c>
      <c r="V303" t="inlineStr">
        <is>
          <t>1998-04-17</t>
        </is>
      </c>
      <c r="W303" t="inlineStr">
        <is>
          <t>1990-04-04</t>
        </is>
      </c>
      <c r="X303" t="inlineStr">
        <is>
          <t>1990-04-04</t>
        </is>
      </c>
      <c r="Y303" t="n">
        <v>444</v>
      </c>
      <c r="Z303" t="n">
        <v>386</v>
      </c>
      <c r="AA303" t="n">
        <v>390</v>
      </c>
      <c r="AB303" t="n">
        <v>3</v>
      </c>
      <c r="AC303" t="n">
        <v>3</v>
      </c>
      <c r="AD303" t="n">
        <v>13</v>
      </c>
      <c r="AE303" t="n">
        <v>13</v>
      </c>
      <c r="AF303" t="n">
        <v>5</v>
      </c>
      <c r="AG303" t="n">
        <v>5</v>
      </c>
      <c r="AH303" t="n">
        <v>3</v>
      </c>
      <c r="AI303" t="n">
        <v>3</v>
      </c>
      <c r="AJ303" t="n">
        <v>7</v>
      </c>
      <c r="AK303" t="n">
        <v>7</v>
      </c>
      <c r="AL303" t="n">
        <v>2</v>
      </c>
      <c r="AM303" t="n">
        <v>2</v>
      </c>
      <c r="AN303" t="n">
        <v>0</v>
      </c>
      <c r="AO303" t="n">
        <v>0</v>
      </c>
      <c r="AP303" t="inlineStr">
        <is>
          <t>No</t>
        </is>
      </c>
      <c r="AQ303" t="inlineStr">
        <is>
          <t>Yes</t>
        </is>
      </c>
      <c r="AR303">
        <f>HYPERLINK("http://catalog.hathitrust.org/Record/001476039","HathiTrust Record")</f>
        <v/>
      </c>
      <c r="AS303">
        <f>HYPERLINK("https://creighton-primo.hosted.exlibrisgroup.com/primo-explore/search?tab=default_tab&amp;search_scope=EVERYTHING&amp;vid=01CRU&amp;lang=en_US&amp;offset=0&amp;query=any,contains,991002929369702656","Catalog Record")</f>
        <v/>
      </c>
      <c r="AT303">
        <f>HYPERLINK("http://www.worldcat.org/oclc/530398","WorldCat Record")</f>
        <v/>
      </c>
      <c r="AU303" t="inlineStr">
        <is>
          <t>1543029:eng</t>
        </is>
      </c>
      <c r="AV303" t="inlineStr">
        <is>
          <t>530398</t>
        </is>
      </c>
      <c r="AW303" t="inlineStr">
        <is>
          <t>991002929369702656</t>
        </is>
      </c>
      <c r="AX303" t="inlineStr">
        <is>
          <t>991002929369702656</t>
        </is>
      </c>
      <c r="AY303" t="inlineStr">
        <is>
          <t>2266623270002656</t>
        </is>
      </c>
      <c r="AZ303" t="inlineStr">
        <is>
          <t>BOOK</t>
        </is>
      </c>
      <c r="BC303" t="inlineStr">
        <is>
          <t>32285000109958</t>
        </is>
      </c>
      <c r="BD303" t="inlineStr">
        <is>
          <t>893239685</t>
        </is>
      </c>
    </row>
    <row r="304">
      <c r="A304" t="inlineStr">
        <is>
          <t>No</t>
        </is>
      </c>
      <c r="B304" t="inlineStr">
        <is>
          <t>QB54 .M527 1987</t>
        </is>
      </c>
      <c r="C304" t="inlineStr">
        <is>
          <t>0                      QB 0054000M  527         1987</t>
        </is>
      </c>
      <c r="D304" t="inlineStr">
        <is>
          <t>The search for extraterrestrial intelligence : listening for life in the cosmos / Thomas R. McDonough.</t>
        </is>
      </c>
      <c r="F304" t="inlineStr">
        <is>
          <t>No</t>
        </is>
      </c>
      <c r="G304" t="inlineStr">
        <is>
          <t>1</t>
        </is>
      </c>
      <c r="H304" t="inlineStr">
        <is>
          <t>No</t>
        </is>
      </c>
      <c r="I304" t="inlineStr">
        <is>
          <t>No</t>
        </is>
      </c>
      <c r="J304" t="inlineStr">
        <is>
          <t>0</t>
        </is>
      </c>
      <c r="K304" t="inlineStr">
        <is>
          <t>McDonough, Thomas R.</t>
        </is>
      </c>
      <c r="L304" t="inlineStr">
        <is>
          <t>New York : Wiley, c1987.</t>
        </is>
      </c>
      <c r="M304" t="inlineStr">
        <is>
          <t>1987</t>
        </is>
      </c>
      <c r="N304" t="inlineStr">
        <is>
          <t>Wiley Science ed.</t>
        </is>
      </c>
      <c r="O304" t="inlineStr">
        <is>
          <t>eng</t>
        </is>
      </c>
      <c r="P304" t="inlineStr">
        <is>
          <t>nyu</t>
        </is>
      </c>
      <c r="R304" t="inlineStr">
        <is>
          <t xml:space="preserve">QB </t>
        </is>
      </c>
      <c r="S304" t="n">
        <v>18</v>
      </c>
      <c r="T304" t="n">
        <v>18</v>
      </c>
      <c r="U304" t="inlineStr">
        <is>
          <t>1999-04-29</t>
        </is>
      </c>
      <c r="V304" t="inlineStr">
        <is>
          <t>1999-04-29</t>
        </is>
      </c>
      <c r="W304" t="inlineStr">
        <is>
          <t>1991-12-23</t>
        </is>
      </c>
      <c r="X304" t="inlineStr">
        <is>
          <t>1991-12-23</t>
        </is>
      </c>
      <c r="Y304" t="n">
        <v>1196</v>
      </c>
      <c r="Z304" t="n">
        <v>1113</v>
      </c>
      <c r="AA304" t="n">
        <v>1142</v>
      </c>
      <c r="AB304" t="n">
        <v>6</v>
      </c>
      <c r="AC304" t="n">
        <v>6</v>
      </c>
      <c r="AD304" t="n">
        <v>23</v>
      </c>
      <c r="AE304" t="n">
        <v>24</v>
      </c>
      <c r="AF304" t="n">
        <v>11</v>
      </c>
      <c r="AG304" t="n">
        <v>11</v>
      </c>
      <c r="AH304" t="n">
        <v>3</v>
      </c>
      <c r="AI304" t="n">
        <v>4</v>
      </c>
      <c r="AJ304" t="n">
        <v>8</v>
      </c>
      <c r="AK304" t="n">
        <v>9</v>
      </c>
      <c r="AL304" t="n">
        <v>4</v>
      </c>
      <c r="AM304" t="n">
        <v>4</v>
      </c>
      <c r="AN304" t="n">
        <v>0</v>
      </c>
      <c r="AO304" t="n">
        <v>0</v>
      </c>
      <c r="AP304" t="inlineStr">
        <is>
          <t>No</t>
        </is>
      </c>
      <c r="AQ304" t="inlineStr">
        <is>
          <t>Yes</t>
        </is>
      </c>
      <c r="AR304">
        <f>HYPERLINK("http://catalog.hathitrust.org/Record/000556023","HathiTrust Record")</f>
        <v/>
      </c>
      <c r="AS304">
        <f>HYPERLINK("https://creighton-primo.hosted.exlibrisgroup.com/primo-explore/search?tab=default_tab&amp;search_scope=EVERYTHING&amp;vid=01CRU&amp;lang=en_US&amp;offset=0&amp;query=any,contains,991000889839702656","Catalog Record")</f>
        <v/>
      </c>
      <c r="AT304">
        <f>HYPERLINK("http://www.worldcat.org/oclc/13903753","WorldCat Record")</f>
        <v/>
      </c>
      <c r="AU304" t="inlineStr">
        <is>
          <t>836660172:eng</t>
        </is>
      </c>
      <c r="AV304" t="inlineStr">
        <is>
          <t>13903753</t>
        </is>
      </c>
      <c r="AW304" t="inlineStr">
        <is>
          <t>991000889839702656</t>
        </is>
      </c>
      <c r="AX304" t="inlineStr">
        <is>
          <t>991000889839702656</t>
        </is>
      </c>
      <c r="AY304" t="inlineStr">
        <is>
          <t>2270130270002656</t>
        </is>
      </c>
      <c r="AZ304" t="inlineStr">
        <is>
          <t>BOOK</t>
        </is>
      </c>
      <c r="BB304" t="inlineStr">
        <is>
          <t>9780471846840</t>
        </is>
      </c>
      <c r="BC304" t="inlineStr">
        <is>
          <t>32285000880921</t>
        </is>
      </c>
      <c r="BD304" t="inlineStr">
        <is>
          <t>893714987</t>
        </is>
      </c>
    </row>
    <row r="305">
      <c r="A305" t="inlineStr">
        <is>
          <t>No</t>
        </is>
      </c>
      <c r="B305" t="inlineStr">
        <is>
          <t>QB54 .P33 1998</t>
        </is>
      </c>
      <c r="C305" t="inlineStr">
        <is>
          <t>0                      QB 0054000P  33          1998</t>
        </is>
      </c>
      <c r="D305" t="inlineStr">
        <is>
          <t>Alien life : the search for extraterrestrials and beyond / Barry Parker ; drawings by Lori Scoffield.</t>
        </is>
      </c>
      <c r="F305" t="inlineStr">
        <is>
          <t>No</t>
        </is>
      </c>
      <c r="G305" t="inlineStr">
        <is>
          <t>1</t>
        </is>
      </c>
      <c r="H305" t="inlineStr">
        <is>
          <t>No</t>
        </is>
      </c>
      <c r="I305" t="inlineStr">
        <is>
          <t>No</t>
        </is>
      </c>
      <c r="J305" t="inlineStr">
        <is>
          <t>0</t>
        </is>
      </c>
      <c r="K305" t="inlineStr">
        <is>
          <t>Parker, Barry R.</t>
        </is>
      </c>
      <c r="L305" t="inlineStr">
        <is>
          <t>New York : Plenum Trade, c1998.</t>
        </is>
      </c>
      <c r="M305" t="inlineStr">
        <is>
          <t>1998</t>
        </is>
      </c>
      <c r="O305" t="inlineStr">
        <is>
          <t>eng</t>
        </is>
      </c>
      <c r="P305" t="inlineStr">
        <is>
          <t>nyu</t>
        </is>
      </c>
      <c r="R305" t="inlineStr">
        <is>
          <t xml:space="preserve">QB </t>
        </is>
      </c>
      <c r="S305" t="n">
        <v>1</v>
      </c>
      <c r="T305" t="n">
        <v>1</v>
      </c>
      <c r="U305" t="inlineStr">
        <is>
          <t>2000-11-13</t>
        </is>
      </c>
      <c r="V305" t="inlineStr">
        <is>
          <t>2000-11-13</t>
        </is>
      </c>
      <c r="W305" t="inlineStr">
        <is>
          <t>1999-02-11</t>
        </is>
      </c>
      <c r="X305" t="inlineStr">
        <is>
          <t>1999-02-11</t>
        </is>
      </c>
      <c r="Y305" t="n">
        <v>594</v>
      </c>
      <c r="Z305" t="n">
        <v>532</v>
      </c>
      <c r="AA305" t="n">
        <v>544</v>
      </c>
      <c r="AB305" t="n">
        <v>6</v>
      </c>
      <c r="AC305" t="n">
        <v>6</v>
      </c>
      <c r="AD305" t="n">
        <v>13</v>
      </c>
      <c r="AE305" t="n">
        <v>13</v>
      </c>
      <c r="AF305" t="n">
        <v>4</v>
      </c>
      <c r="AG305" t="n">
        <v>4</v>
      </c>
      <c r="AH305" t="n">
        <v>3</v>
      </c>
      <c r="AI305" t="n">
        <v>3</v>
      </c>
      <c r="AJ305" t="n">
        <v>4</v>
      </c>
      <c r="AK305" t="n">
        <v>4</v>
      </c>
      <c r="AL305" t="n">
        <v>4</v>
      </c>
      <c r="AM305" t="n">
        <v>4</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HYPERLINK("https://creighton-primo.hosted.exlibrisgroup.com/primo-explore/search?tab=default_tab&amp;search_scope=EVERYTHING&amp;vid=01CRU&amp;lang=en_US&amp;offset=0&amp;query=any,contains,991002908899702656","Catalog Record")</f>
        <v/>
      </c>
      <c r="AT305">
        <f>HYPERLINK("http://www.worldcat.org/oclc/38438990","WorldCat Record")</f>
        <v/>
      </c>
      <c r="AU305" t="inlineStr">
        <is>
          <t>340350950:eng</t>
        </is>
      </c>
      <c r="AV305" t="inlineStr">
        <is>
          <t>38438990</t>
        </is>
      </c>
      <c r="AW305" t="inlineStr">
        <is>
          <t>991002908899702656</t>
        </is>
      </c>
      <c r="AX305" t="inlineStr">
        <is>
          <t>991002908899702656</t>
        </is>
      </c>
      <c r="AY305" t="inlineStr">
        <is>
          <t>2271456530002656</t>
        </is>
      </c>
      <c r="AZ305" t="inlineStr">
        <is>
          <t>BOOK</t>
        </is>
      </c>
      <c r="BB305" t="inlineStr">
        <is>
          <t>9780306457951</t>
        </is>
      </c>
      <c r="BC305" t="inlineStr">
        <is>
          <t>32285003519500</t>
        </is>
      </c>
      <c r="BD305" t="inlineStr">
        <is>
          <t>893616751</t>
        </is>
      </c>
    </row>
    <row r="306">
      <c r="A306" t="inlineStr">
        <is>
          <t>No</t>
        </is>
      </c>
      <c r="B306" t="inlineStr">
        <is>
          <t>QB54 .P53 1998</t>
        </is>
      </c>
      <c r="C306" t="inlineStr">
        <is>
          <t>0                      QB 0054000P  53          1998</t>
        </is>
      </c>
      <c r="D306" t="inlineStr">
        <is>
          <t>The science of aliens / Clifford Pickover.</t>
        </is>
      </c>
      <c r="F306" t="inlineStr">
        <is>
          <t>No</t>
        </is>
      </c>
      <c r="G306" t="inlineStr">
        <is>
          <t>1</t>
        </is>
      </c>
      <c r="H306" t="inlineStr">
        <is>
          <t>No</t>
        </is>
      </c>
      <c r="I306" t="inlineStr">
        <is>
          <t>No</t>
        </is>
      </c>
      <c r="J306" t="inlineStr">
        <is>
          <t>0</t>
        </is>
      </c>
      <c r="K306" t="inlineStr">
        <is>
          <t>Pickover, Clifford A.</t>
        </is>
      </c>
      <c r="L306" t="inlineStr">
        <is>
          <t>New York, NY : Basic Books, c1998.</t>
        </is>
      </c>
      <c r="M306" t="inlineStr">
        <is>
          <t>1998</t>
        </is>
      </c>
      <c r="N306" t="inlineStr">
        <is>
          <t>1st ed.</t>
        </is>
      </c>
      <c r="O306" t="inlineStr">
        <is>
          <t>eng</t>
        </is>
      </c>
      <c r="P306" t="inlineStr">
        <is>
          <t>nyu</t>
        </is>
      </c>
      <c r="R306" t="inlineStr">
        <is>
          <t xml:space="preserve">QB </t>
        </is>
      </c>
      <c r="S306" t="n">
        <v>5</v>
      </c>
      <c r="T306" t="n">
        <v>5</v>
      </c>
      <c r="U306" t="inlineStr">
        <is>
          <t>2007-12-21</t>
        </is>
      </c>
      <c r="V306" t="inlineStr">
        <is>
          <t>2007-12-21</t>
        </is>
      </c>
      <c r="W306" t="inlineStr">
        <is>
          <t>1999-01-07</t>
        </is>
      </c>
      <c r="X306" t="inlineStr">
        <is>
          <t>1999-01-07</t>
        </is>
      </c>
      <c r="Y306" t="n">
        <v>310</v>
      </c>
      <c r="Z306" t="n">
        <v>283</v>
      </c>
      <c r="AA306" t="n">
        <v>299</v>
      </c>
      <c r="AB306" t="n">
        <v>4</v>
      </c>
      <c r="AC306" t="n">
        <v>4</v>
      </c>
      <c r="AD306" t="n">
        <v>11</v>
      </c>
      <c r="AE306" t="n">
        <v>11</v>
      </c>
      <c r="AF306" t="n">
        <v>4</v>
      </c>
      <c r="AG306" t="n">
        <v>4</v>
      </c>
      <c r="AH306" t="n">
        <v>1</v>
      </c>
      <c r="AI306" t="n">
        <v>1</v>
      </c>
      <c r="AJ306" t="n">
        <v>6</v>
      </c>
      <c r="AK306" t="n">
        <v>6</v>
      </c>
      <c r="AL306" t="n">
        <v>3</v>
      </c>
      <c r="AM306" t="n">
        <v>3</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HYPERLINK("https://creighton-primo.hosted.exlibrisgroup.com/primo-explore/search?tab=default_tab&amp;search_scope=EVERYTHING&amp;vid=01CRU&amp;lang=en_US&amp;offset=0&amp;query=any,contains,991002990479702656","Catalog Record")</f>
        <v/>
      </c>
      <c r="AT306">
        <f>HYPERLINK("http://www.worldcat.org/oclc/40358277","WorldCat Record")</f>
        <v/>
      </c>
      <c r="AU306" t="inlineStr">
        <is>
          <t>20599150:eng</t>
        </is>
      </c>
      <c r="AV306" t="inlineStr">
        <is>
          <t>40358277</t>
        </is>
      </c>
      <c r="AW306" t="inlineStr">
        <is>
          <t>991002990479702656</t>
        </is>
      </c>
      <c r="AX306" t="inlineStr">
        <is>
          <t>991002990479702656</t>
        </is>
      </c>
      <c r="AY306" t="inlineStr">
        <is>
          <t>2256185970002656</t>
        </is>
      </c>
      <c r="AZ306" t="inlineStr">
        <is>
          <t>BOOK</t>
        </is>
      </c>
      <c r="BB306" t="inlineStr">
        <is>
          <t>9780465073146</t>
        </is>
      </c>
      <c r="BC306" t="inlineStr">
        <is>
          <t>32285003510418</t>
        </is>
      </c>
      <c r="BD306" t="inlineStr">
        <is>
          <t>893415895</t>
        </is>
      </c>
    </row>
    <row r="307">
      <c r="A307" t="inlineStr">
        <is>
          <t>No</t>
        </is>
      </c>
      <c r="B307" t="inlineStr">
        <is>
          <t>QB54 .Q43 1980</t>
        </is>
      </c>
      <c r="C307" t="inlineStr">
        <is>
          <t>0                      QB 0054000Q  43          1980</t>
        </is>
      </c>
      <c r="D307" t="inlineStr">
        <is>
          <t>The Quest for extraterrestrial life : a book of readings / [compiled by] Donald Goldsmith ; [foreword by Sir Fred Hoyle].</t>
        </is>
      </c>
      <c r="F307" t="inlineStr">
        <is>
          <t>No</t>
        </is>
      </c>
      <c r="G307" t="inlineStr">
        <is>
          <t>1</t>
        </is>
      </c>
      <c r="H307" t="inlineStr">
        <is>
          <t>No</t>
        </is>
      </c>
      <c r="I307" t="inlineStr">
        <is>
          <t>No</t>
        </is>
      </c>
      <c r="J307" t="inlineStr">
        <is>
          <t>0</t>
        </is>
      </c>
      <c r="L307" t="inlineStr">
        <is>
          <t>Mill Valley, Calif. (20 Edgehill Road, Mill Valley, CA 94941) : University Science Books, c1980.</t>
        </is>
      </c>
      <c r="M307" t="inlineStr">
        <is>
          <t>1980</t>
        </is>
      </c>
      <c r="O307" t="inlineStr">
        <is>
          <t>eng</t>
        </is>
      </c>
      <c r="P307" t="inlineStr">
        <is>
          <t>cau</t>
        </is>
      </c>
      <c r="R307" t="inlineStr">
        <is>
          <t xml:space="preserve">QB </t>
        </is>
      </c>
      <c r="S307" t="n">
        <v>8</v>
      </c>
      <c r="T307" t="n">
        <v>8</v>
      </c>
      <c r="U307" t="inlineStr">
        <is>
          <t>2001-03-15</t>
        </is>
      </c>
      <c r="V307" t="inlineStr">
        <is>
          <t>2001-03-15</t>
        </is>
      </c>
      <c r="W307" t="inlineStr">
        <is>
          <t>1991-08-21</t>
        </is>
      </c>
      <c r="X307" t="inlineStr">
        <is>
          <t>1991-08-21</t>
        </is>
      </c>
      <c r="Y307" t="n">
        <v>324</v>
      </c>
      <c r="Z307" t="n">
        <v>264</v>
      </c>
      <c r="AA307" t="n">
        <v>266</v>
      </c>
      <c r="AB307" t="n">
        <v>3</v>
      </c>
      <c r="AC307" t="n">
        <v>3</v>
      </c>
      <c r="AD307" t="n">
        <v>9</v>
      </c>
      <c r="AE307" t="n">
        <v>9</v>
      </c>
      <c r="AF307" t="n">
        <v>5</v>
      </c>
      <c r="AG307" t="n">
        <v>5</v>
      </c>
      <c r="AH307" t="n">
        <v>1</v>
      </c>
      <c r="AI307" t="n">
        <v>1</v>
      </c>
      <c r="AJ307" t="n">
        <v>2</v>
      </c>
      <c r="AK307" t="n">
        <v>2</v>
      </c>
      <c r="AL307" t="n">
        <v>2</v>
      </c>
      <c r="AM307" t="n">
        <v>2</v>
      </c>
      <c r="AN307" t="n">
        <v>0</v>
      </c>
      <c r="AO307" t="n">
        <v>0</v>
      </c>
      <c r="AP307" t="inlineStr">
        <is>
          <t>No</t>
        </is>
      </c>
      <c r="AQ307" t="inlineStr">
        <is>
          <t>Yes</t>
        </is>
      </c>
      <c r="AR307">
        <f>HYPERLINK("http://catalog.hathitrust.org/Record/002437179","HathiTrust Record")</f>
        <v/>
      </c>
      <c r="AS307">
        <f>HYPERLINK("https://creighton-primo.hosted.exlibrisgroup.com/primo-explore/search?tab=default_tab&amp;search_scope=EVERYTHING&amp;vid=01CRU&amp;lang=en_US&amp;offset=0&amp;query=any,contains,991005076589702656","Catalog Record")</f>
        <v/>
      </c>
      <c r="AT307">
        <f>HYPERLINK("http://www.worldcat.org/oclc/7121102","WorldCat Record")</f>
        <v/>
      </c>
      <c r="AU307" t="inlineStr">
        <is>
          <t>807308901:eng</t>
        </is>
      </c>
      <c r="AV307" t="inlineStr">
        <is>
          <t>7121102</t>
        </is>
      </c>
      <c r="AW307" t="inlineStr">
        <is>
          <t>991005076589702656</t>
        </is>
      </c>
      <c r="AX307" t="inlineStr">
        <is>
          <t>991005076589702656</t>
        </is>
      </c>
      <c r="AY307" t="inlineStr">
        <is>
          <t>2260757070002656</t>
        </is>
      </c>
      <c r="AZ307" t="inlineStr">
        <is>
          <t>BOOK</t>
        </is>
      </c>
      <c r="BB307" t="inlineStr">
        <is>
          <t>9780935702026</t>
        </is>
      </c>
      <c r="BC307" t="inlineStr">
        <is>
          <t>32285000669167</t>
        </is>
      </c>
      <c r="BD307" t="inlineStr">
        <is>
          <t>893789397</t>
        </is>
      </c>
    </row>
    <row r="308">
      <c r="A308" t="inlineStr">
        <is>
          <t>No</t>
        </is>
      </c>
      <c r="B308" t="inlineStr">
        <is>
          <t>QB54 .S242</t>
        </is>
      </c>
      <c r="C308" t="inlineStr">
        <is>
          <t>0                      QB 0054000S  242</t>
        </is>
      </c>
      <c r="D308" t="inlineStr">
        <is>
          <t>The cosmic connection : an extraterrestrial perspective / Produced by Jerome Agel.</t>
        </is>
      </c>
      <c r="F308" t="inlineStr">
        <is>
          <t>No</t>
        </is>
      </c>
      <c r="G308" t="inlineStr">
        <is>
          <t>1</t>
        </is>
      </c>
      <c r="H308" t="inlineStr">
        <is>
          <t>No</t>
        </is>
      </c>
      <c r="I308" t="inlineStr">
        <is>
          <t>No</t>
        </is>
      </c>
      <c r="J308" t="inlineStr">
        <is>
          <t>0</t>
        </is>
      </c>
      <c r="K308" t="inlineStr">
        <is>
          <t>Sagan, Carl, 1934-1996.</t>
        </is>
      </c>
      <c r="L308" t="inlineStr">
        <is>
          <t>Garden City, N.Y. : Anchor Press, 1973.</t>
        </is>
      </c>
      <c r="M308" t="inlineStr">
        <is>
          <t>1973</t>
        </is>
      </c>
      <c r="N308" t="inlineStr">
        <is>
          <t>[1st ed.]</t>
        </is>
      </c>
      <c r="O308" t="inlineStr">
        <is>
          <t>eng</t>
        </is>
      </c>
      <c r="P308" t="inlineStr">
        <is>
          <t>nyu</t>
        </is>
      </c>
      <c r="R308" t="inlineStr">
        <is>
          <t xml:space="preserve">QB </t>
        </is>
      </c>
      <c r="S308" t="n">
        <v>17</v>
      </c>
      <c r="T308" t="n">
        <v>17</v>
      </c>
      <c r="U308" t="inlineStr">
        <is>
          <t>2009-04-24</t>
        </is>
      </c>
      <c r="V308" t="inlineStr">
        <is>
          <t>2009-04-24</t>
        </is>
      </c>
      <c r="W308" t="inlineStr">
        <is>
          <t>1991-12-05</t>
        </is>
      </c>
      <c r="X308" t="inlineStr">
        <is>
          <t>1991-12-05</t>
        </is>
      </c>
      <c r="Y308" t="n">
        <v>1392</v>
      </c>
      <c r="Z308" t="n">
        <v>1306</v>
      </c>
      <c r="AA308" t="n">
        <v>1423</v>
      </c>
      <c r="AB308" t="n">
        <v>8</v>
      </c>
      <c r="AC308" t="n">
        <v>8</v>
      </c>
      <c r="AD308" t="n">
        <v>34</v>
      </c>
      <c r="AE308" t="n">
        <v>35</v>
      </c>
      <c r="AF308" t="n">
        <v>14</v>
      </c>
      <c r="AG308" t="n">
        <v>14</v>
      </c>
      <c r="AH308" t="n">
        <v>5</v>
      </c>
      <c r="AI308" t="n">
        <v>5</v>
      </c>
      <c r="AJ308" t="n">
        <v>17</v>
      </c>
      <c r="AK308" t="n">
        <v>18</v>
      </c>
      <c r="AL308" t="n">
        <v>6</v>
      </c>
      <c r="AM308" t="n">
        <v>6</v>
      </c>
      <c r="AN308" t="n">
        <v>0</v>
      </c>
      <c r="AO308" t="n">
        <v>0</v>
      </c>
      <c r="AP308" t="inlineStr">
        <is>
          <t>No</t>
        </is>
      </c>
      <c r="AQ308" t="inlineStr">
        <is>
          <t>No</t>
        </is>
      </c>
      <c r="AR308">
        <f>HYPERLINK("http://catalog.hathitrust.org/Record/001476043","HathiTrust Record")</f>
        <v/>
      </c>
      <c r="AS308">
        <f>HYPERLINK("https://creighton-primo.hosted.exlibrisgroup.com/primo-explore/search?tab=default_tab&amp;search_scope=EVERYTHING&amp;vid=01CRU&amp;lang=en_US&amp;offset=0&amp;query=any,contains,991003231429702656","Catalog Record")</f>
        <v/>
      </c>
      <c r="AT308">
        <f>HYPERLINK("http://www.worldcat.org/oclc/756158","WorldCat Record")</f>
        <v/>
      </c>
      <c r="AU308" t="inlineStr">
        <is>
          <t>48680648:eng</t>
        </is>
      </c>
      <c r="AV308" t="inlineStr">
        <is>
          <t>756158</t>
        </is>
      </c>
      <c r="AW308" t="inlineStr">
        <is>
          <t>991003231429702656</t>
        </is>
      </c>
      <c r="AX308" t="inlineStr">
        <is>
          <t>991003231429702656</t>
        </is>
      </c>
      <c r="AY308" t="inlineStr">
        <is>
          <t>2271199860002656</t>
        </is>
      </c>
      <c r="AZ308" t="inlineStr">
        <is>
          <t>BOOK</t>
        </is>
      </c>
      <c r="BB308" t="inlineStr">
        <is>
          <t>9780385004572</t>
        </is>
      </c>
      <c r="BC308" t="inlineStr">
        <is>
          <t>32285000844489</t>
        </is>
      </c>
      <c r="BD308" t="inlineStr">
        <is>
          <t>893441049</t>
        </is>
      </c>
    </row>
    <row r="309">
      <c r="A309" t="inlineStr">
        <is>
          <t>No</t>
        </is>
      </c>
      <c r="B309" t="inlineStr">
        <is>
          <t>QB54 .S263 2006</t>
        </is>
      </c>
      <c r="C309" t="inlineStr">
        <is>
          <t>0                      QB 0054000S  263         2006</t>
        </is>
      </c>
      <c r="D309" t="inlineStr">
        <is>
          <t>The rock from Mars : a detective story on two planets / Kathy Sawyer.</t>
        </is>
      </c>
      <c r="F309" t="inlineStr">
        <is>
          <t>No</t>
        </is>
      </c>
      <c r="G309" t="inlineStr">
        <is>
          <t>1</t>
        </is>
      </c>
      <c r="H309" t="inlineStr">
        <is>
          <t>No</t>
        </is>
      </c>
      <c r="I309" t="inlineStr">
        <is>
          <t>No</t>
        </is>
      </c>
      <c r="J309" t="inlineStr">
        <is>
          <t>0</t>
        </is>
      </c>
      <c r="K309" t="inlineStr">
        <is>
          <t>Sawyer, Kathy.</t>
        </is>
      </c>
      <c r="L309" t="inlineStr">
        <is>
          <t>New York : Random House, c2006.</t>
        </is>
      </c>
      <c r="M309" t="inlineStr">
        <is>
          <t>2006</t>
        </is>
      </c>
      <c r="N309" t="inlineStr">
        <is>
          <t>1st ed.</t>
        </is>
      </c>
      <c r="O309" t="inlineStr">
        <is>
          <t>eng</t>
        </is>
      </c>
      <c r="P309" t="inlineStr">
        <is>
          <t>nyu</t>
        </is>
      </c>
      <c r="R309" t="inlineStr">
        <is>
          <t xml:space="preserve">QB </t>
        </is>
      </c>
      <c r="S309" t="n">
        <v>1</v>
      </c>
      <c r="T309" t="n">
        <v>1</v>
      </c>
      <c r="U309" t="inlineStr">
        <is>
          <t>2006-02-23</t>
        </is>
      </c>
      <c r="V309" t="inlineStr">
        <is>
          <t>2006-02-23</t>
        </is>
      </c>
      <c r="W309" t="inlineStr">
        <is>
          <t>2006-02-23</t>
        </is>
      </c>
      <c r="X309" t="inlineStr">
        <is>
          <t>2006-02-23</t>
        </is>
      </c>
      <c r="Y309" t="n">
        <v>831</v>
      </c>
      <c r="Z309" t="n">
        <v>786</v>
      </c>
      <c r="AA309" t="n">
        <v>819</v>
      </c>
      <c r="AB309" t="n">
        <v>7</v>
      </c>
      <c r="AC309" t="n">
        <v>8</v>
      </c>
      <c r="AD309" t="n">
        <v>11</v>
      </c>
      <c r="AE309" t="n">
        <v>12</v>
      </c>
      <c r="AF309" t="n">
        <v>5</v>
      </c>
      <c r="AG309" t="n">
        <v>5</v>
      </c>
      <c r="AH309" t="n">
        <v>0</v>
      </c>
      <c r="AI309" t="n">
        <v>0</v>
      </c>
      <c r="AJ309" t="n">
        <v>4</v>
      </c>
      <c r="AK309" t="n">
        <v>4</v>
      </c>
      <c r="AL309" t="n">
        <v>4</v>
      </c>
      <c r="AM309" t="n">
        <v>5</v>
      </c>
      <c r="AN309" t="n">
        <v>0</v>
      </c>
      <c r="AO309" t="n">
        <v>0</v>
      </c>
      <c r="AP309" t="inlineStr">
        <is>
          <t>No</t>
        </is>
      </c>
      <c r="AQ309" t="inlineStr">
        <is>
          <t>Yes</t>
        </is>
      </c>
      <c r="AR309">
        <f>HYPERLINK("http://catalog.hathitrust.org/Record/005146772","HathiTrust Record")</f>
        <v/>
      </c>
      <c r="AS309">
        <f>HYPERLINK("https://creighton-primo.hosted.exlibrisgroup.com/primo-explore/search?tab=default_tab&amp;search_scope=EVERYTHING&amp;vid=01CRU&amp;lang=en_US&amp;offset=0&amp;query=any,contains,991004701199702656","Catalog Record")</f>
        <v/>
      </c>
      <c r="AT309">
        <f>HYPERLINK("http://www.worldcat.org/oclc/58789284","WorldCat Record")</f>
        <v/>
      </c>
      <c r="AU309" t="inlineStr">
        <is>
          <t>794224034:eng</t>
        </is>
      </c>
      <c r="AV309" t="inlineStr">
        <is>
          <t>58789284</t>
        </is>
      </c>
      <c r="AW309" t="inlineStr">
        <is>
          <t>991004701199702656</t>
        </is>
      </c>
      <c r="AX309" t="inlineStr">
        <is>
          <t>991004701199702656</t>
        </is>
      </c>
      <c r="AY309" t="inlineStr">
        <is>
          <t>2270113750002656</t>
        </is>
      </c>
      <c r="AZ309" t="inlineStr">
        <is>
          <t>BOOK</t>
        </is>
      </c>
      <c r="BB309" t="inlineStr">
        <is>
          <t>9781400060108</t>
        </is>
      </c>
      <c r="BC309" t="inlineStr">
        <is>
          <t>32285005160261</t>
        </is>
      </c>
      <c r="BD309" t="inlineStr">
        <is>
          <t>893719255</t>
        </is>
      </c>
    </row>
    <row r="310">
      <c r="A310" t="inlineStr">
        <is>
          <t>No</t>
        </is>
      </c>
      <c r="B310" t="inlineStr">
        <is>
          <t>QB54 .S523</t>
        </is>
      </c>
      <c r="C310" t="inlineStr">
        <is>
          <t>0                      QB 0054000S  523</t>
        </is>
      </c>
      <c r="D310" t="inlineStr">
        <is>
          <t>Intelligent life in the universe / by I. S. Shklovskii and Carl Sagan. Authorized translation by Paula Fern.</t>
        </is>
      </c>
      <c r="F310" t="inlineStr">
        <is>
          <t>No</t>
        </is>
      </c>
      <c r="G310" t="inlineStr">
        <is>
          <t>1</t>
        </is>
      </c>
      <c r="H310" t="inlineStr">
        <is>
          <t>No</t>
        </is>
      </c>
      <c r="I310" t="inlineStr">
        <is>
          <t>No</t>
        </is>
      </c>
      <c r="J310" t="inlineStr">
        <is>
          <t>0</t>
        </is>
      </c>
      <c r="K310" t="inlineStr">
        <is>
          <t>Shklovskiĭ, I. S.</t>
        </is>
      </c>
      <c r="L310" t="inlineStr">
        <is>
          <t>San Francisco : Holden-Day, 1966.</t>
        </is>
      </c>
      <c r="M310" t="inlineStr">
        <is>
          <t>1966</t>
        </is>
      </c>
      <c r="O310" t="inlineStr">
        <is>
          <t>eng</t>
        </is>
      </c>
      <c r="P310" t="inlineStr">
        <is>
          <t>cau</t>
        </is>
      </c>
      <c r="R310" t="inlineStr">
        <is>
          <t xml:space="preserve">QB </t>
        </is>
      </c>
      <c r="S310" t="n">
        <v>6</v>
      </c>
      <c r="T310" t="n">
        <v>6</v>
      </c>
      <c r="U310" t="inlineStr">
        <is>
          <t>1999-01-25</t>
        </is>
      </c>
      <c r="V310" t="inlineStr">
        <is>
          <t>1999-01-25</t>
        </is>
      </c>
      <c r="W310" t="inlineStr">
        <is>
          <t>1992-11-24</t>
        </is>
      </c>
      <c r="X310" t="inlineStr">
        <is>
          <t>1992-11-24</t>
        </is>
      </c>
      <c r="Y310" t="n">
        <v>1037</v>
      </c>
      <c r="Z310" t="n">
        <v>908</v>
      </c>
      <c r="AA310" t="n">
        <v>1033</v>
      </c>
      <c r="AB310" t="n">
        <v>9</v>
      </c>
      <c r="AC310" t="n">
        <v>10</v>
      </c>
      <c r="AD310" t="n">
        <v>39</v>
      </c>
      <c r="AE310" t="n">
        <v>44</v>
      </c>
      <c r="AF310" t="n">
        <v>17</v>
      </c>
      <c r="AG310" t="n">
        <v>18</v>
      </c>
      <c r="AH310" t="n">
        <v>5</v>
      </c>
      <c r="AI310" t="n">
        <v>6</v>
      </c>
      <c r="AJ310" t="n">
        <v>16</v>
      </c>
      <c r="AK310" t="n">
        <v>20</v>
      </c>
      <c r="AL310" t="n">
        <v>8</v>
      </c>
      <c r="AM310" t="n">
        <v>9</v>
      </c>
      <c r="AN310" t="n">
        <v>0</v>
      </c>
      <c r="AO310" t="n">
        <v>0</v>
      </c>
      <c r="AP310" t="inlineStr">
        <is>
          <t>No</t>
        </is>
      </c>
      <c r="AQ310" t="inlineStr">
        <is>
          <t>Yes</t>
        </is>
      </c>
      <c r="AR310">
        <f>HYPERLINK("http://catalog.hathitrust.org/Record/000308098","HathiTrust Record")</f>
        <v/>
      </c>
      <c r="AS310">
        <f>HYPERLINK("https://creighton-primo.hosted.exlibrisgroup.com/primo-explore/search?tab=default_tab&amp;search_scope=EVERYTHING&amp;vid=01CRU&amp;lang=en_US&amp;offset=0&amp;query=any,contains,991002300729702656","Catalog Record")</f>
        <v/>
      </c>
      <c r="AT310">
        <f>HYPERLINK("http://www.worldcat.org/oclc/317314","WorldCat Record")</f>
        <v/>
      </c>
      <c r="AU310" t="inlineStr">
        <is>
          <t>792583743:eng</t>
        </is>
      </c>
      <c r="AV310" t="inlineStr">
        <is>
          <t>317314</t>
        </is>
      </c>
      <c r="AW310" t="inlineStr">
        <is>
          <t>991002300729702656</t>
        </is>
      </c>
      <c r="AX310" t="inlineStr">
        <is>
          <t>991002300729702656</t>
        </is>
      </c>
      <c r="AY310" t="inlineStr">
        <is>
          <t>2267494240002656</t>
        </is>
      </c>
      <c r="AZ310" t="inlineStr">
        <is>
          <t>BOOK</t>
        </is>
      </c>
      <c r="BC310" t="inlineStr">
        <is>
          <t>32285001409720</t>
        </is>
      </c>
      <c r="BD310" t="inlineStr">
        <is>
          <t>893603433</t>
        </is>
      </c>
    </row>
    <row r="311">
      <c r="A311" t="inlineStr">
        <is>
          <t>No</t>
        </is>
      </c>
      <c r="B311" t="inlineStr">
        <is>
          <t>QB54 .S63 1970</t>
        </is>
      </c>
      <c r="C311" t="inlineStr">
        <is>
          <t>0                      QB 0054000S  63          1970</t>
        </is>
      </c>
      <c r="D311" t="inlineStr">
        <is>
          <t>Planets and life / [by] P.H.A. Sneath.</t>
        </is>
      </c>
      <c r="F311" t="inlineStr">
        <is>
          <t>No</t>
        </is>
      </c>
      <c r="G311" t="inlineStr">
        <is>
          <t>1</t>
        </is>
      </c>
      <c r="H311" t="inlineStr">
        <is>
          <t>No</t>
        </is>
      </c>
      <c r="I311" t="inlineStr">
        <is>
          <t>No</t>
        </is>
      </c>
      <c r="J311" t="inlineStr">
        <is>
          <t>0</t>
        </is>
      </c>
      <c r="K311" t="inlineStr">
        <is>
          <t>Sneath, P. H. A. (Peter Henry Andrews), 1923-2011.</t>
        </is>
      </c>
      <c r="L311" t="inlineStr">
        <is>
          <t>New York : Funk and Wagnalls, [1970]</t>
        </is>
      </c>
      <c r="M311" t="inlineStr">
        <is>
          <t>1970</t>
        </is>
      </c>
      <c r="O311" t="inlineStr">
        <is>
          <t>eng</t>
        </is>
      </c>
      <c r="P311" t="inlineStr">
        <is>
          <t>nyu</t>
        </is>
      </c>
      <c r="Q311" t="inlineStr">
        <is>
          <t>The World of science library</t>
        </is>
      </c>
      <c r="R311" t="inlineStr">
        <is>
          <t xml:space="preserve">QB </t>
        </is>
      </c>
      <c r="S311" t="n">
        <v>4</v>
      </c>
      <c r="T311" t="n">
        <v>4</v>
      </c>
      <c r="U311" t="inlineStr">
        <is>
          <t>1996-02-29</t>
        </is>
      </c>
      <c r="V311" t="inlineStr">
        <is>
          <t>1996-02-29</t>
        </is>
      </c>
      <c r="W311" t="inlineStr">
        <is>
          <t>1990-04-18</t>
        </is>
      </c>
      <c r="X311" t="inlineStr">
        <is>
          <t>1990-04-18</t>
        </is>
      </c>
      <c r="Y311" t="n">
        <v>180</v>
      </c>
      <c r="Z311" t="n">
        <v>165</v>
      </c>
      <c r="AA311" t="n">
        <v>206</v>
      </c>
      <c r="AB311" t="n">
        <v>5</v>
      </c>
      <c r="AC311" t="n">
        <v>6</v>
      </c>
      <c r="AD311" t="n">
        <v>3</v>
      </c>
      <c r="AE311" t="n">
        <v>5</v>
      </c>
      <c r="AF311" t="n">
        <v>0</v>
      </c>
      <c r="AG311" t="n">
        <v>0</v>
      </c>
      <c r="AH311" t="n">
        <v>0</v>
      </c>
      <c r="AI311" t="n">
        <v>0</v>
      </c>
      <c r="AJ311" t="n">
        <v>0</v>
      </c>
      <c r="AK311" t="n">
        <v>1</v>
      </c>
      <c r="AL311" t="n">
        <v>3</v>
      </c>
      <c r="AM311" t="n">
        <v>4</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HYPERLINK("https://creighton-primo.hosted.exlibrisgroup.com/primo-explore/search?tab=default_tab&amp;search_scope=EVERYTHING&amp;vid=01CRU&amp;lang=en_US&amp;offset=0&amp;query=any,contains,991001021839702656","Catalog Record")</f>
        <v/>
      </c>
      <c r="AT311">
        <f>HYPERLINK("http://www.worldcat.org/oclc/173865","WorldCat Record")</f>
        <v/>
      </c>
      <c r="AU311" t="inlineStr">
        <is>
          <t>1172414:eng</t>
        </is>
      </c>
      <c r="AV311" t="inlineStr">
        <is>
          <t>173865</t>
        </is>
      </c>
      <c r="AW311" t="inlineStr">
        <is>
          <t>991001021839702656</t>
        </is>
      </c>
      <c r="AX311" t="inlineStr">
        <is>
          <t>991001021839702656</t>
        </is>
      </c>
      <c r="AY311" t="inlineStr">
        <is>
          <t>2268434880002656</t>
        </is>
      </c>
      <c r="AZ311" t="inlineStr">
        <is>
          <t>BOOK</t>
        </is>
      </c>
      <c r="BC311" t="inlineStr">
        <is>
          <t>32285000116623</t>
        </is>
      </c>
      <c r="BD311" t="inlineStr">
        <is>
          <t>893327804</t>
        </is>
      </c>
    </row>
    <row r="312">
      <c r="A312" t="inlineStr">
        <is>
          <t>No</t>
        </is>
      </c>
      <c r="B312" t="inlineStr">
        <is>
          <t>QB54 .S9 1966a</t>
        </is>
      </c>
      <c r="C312" t="inlineStr">
        <is>
          <t>0                      QB 0054000S  9           1966a</t>
        </is>
      </c>
      <c r="D312" t="inlineStr">
        <is>
          <t>We are not alone : the search for intelligent life on other worlds / by Walter Sullivan.</t>
        </is>
      </c>
      <c r="F312" t="inlineStr">
        <is>
          <t>No</t>
        </is>
      </c>
      <c r="G312" t="inlineStr">
        <is>
          <t>1</t>
        </is>
      </c>
      <c r="H312" t="inlineStr">
        <is>
          <t>No</t>
        </is>
      </c>
      <c r="I312" t="inlineStr">
        <is>
          <t>No</t>
        </is>
      </c>
      <c r="J312" t="inlineStr">
        <is>
          <t>0</t>
        </is>
      </c>
      <c r="K312" t="inlineStr">
        <is>
          <t>Sullivan, Walter.</t>
        </is>
      </c>
      <c r="L312" t="inlineStr">
        <is>
          <t>New York : New American Library, c1964, 1966 printing.</t>
        </is>
      </c>
      <c r="M312" t="inlineStr">
        <is>
          <t>1966</t>
        </is>
      </c>
      <c r="N312" t="inlineStr">
        <is>
          <t>Rev. ed.</t>
        </is>
      </c>
      <c r="O312" t="inlineStr">
        <is>
          <t>eng</t>
        </is>
      </c>
      <c r="P312" t="inlineStr">
        <is>
          <t>___</t>
        </is>
      </c>
      <c r="Q312" t="inlineStr">
        <is>
          <t>Signet book ; Q3544</t>
        </is>
      </c>
      <c r="R312" t="inlineStr">
        <is>
          <t xml:space="preserve">QB </t>
        </is>
      </c>
      <c r="S312" t="n">
        <v>8</v>
      </c>
      <c r="T312" t="n">
        <v>8</v>
      </c>
      <c r="U312" t="inlineStr">
        <is>
          <t>2000-09-25</t>
        </is>
      </c>
      <c r="V312" t="inlineStr">
        <is>
          <t>2000-09-25</t>
        </is>
      </c>
      <c r="W312" t="inlineStr">
        <is>
          <t>1991-11-13</t>
        </is>
      </c>
      <c r="X312" t="inlineStr">
        <is>
          <t>1991-11-13</t>
        </is>
      </c>
      <c r="Y312" t="n">
        <v>45</v>
      </c>
      <c r="Z312" t="n">
        <v>41</v>
      </c>
      <c r="AA312" t="n">
        <v>1142</v>
      </c>
      <c r="AB312" t="n">
        <v>1</v>
      </c>
      <c r="AC312" t="n">
        <v>11</v>
      </c>
      <c r="AD312" t="n">
        <v>1</v>
      </c>
      <c r="AE312" t="n">
        <v>29</v>
      </c>
      <c r="AF312" t="n">
        <v>1</v>
      </c>
      <c r="AG312" t="n">
        <v>7</v>
      </c>
      <c r="AH312" t="n">
        <v>1</v>
      </c>
      <c r="AI312" t="n">
        <v>5</v>
      </c>
      <c r="AJ312" t="n">
        <v>0</v>
      </c>
      <c r="AK312" t="n">
        <v>15</v>
      </c>
      <c r="AL312" t="n">
        <v>0</v>
      </c>
      <c r="AM312" t="n">
        <v>7</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HYPERLINK("https://creighton-primo.hosted.exlibrisgroup.com/primo-explore/search?tab=default_tab&amp;search_scope=EVERYTHING&amp;vid=01CRU&amp;lang=en_US&amp;offset=0&amp;query=any,contains,991003028829702656","Catalog Record")</f>
        <v/>
      </c>
      <c r="AT312">
        <f>HYPERLINK("http://www.worldcat.org/oclc/592058","WorldCat Record")</f>
        <v/>
      </c>
      <c r="AU312" t="inlineStr">
        <is>
          <t>1541917:eng</t>
        </is>
      </c>
      <c r="AV312" t="inlineStr">
        <is>
          <t>592058</t>
        </is>
      </c>
      <c r="AW312" t="inlineStr">
        <is>
          <t>991003028829702656</t>
        </is>
      </c>
      <c r="AX312" t="inlineStr">
        <is>
          <t>991003028829702656</t>
        </is>
      </c>
      <c r="AY312" t="inlineStr">
        <is>
          <t>2266394420002656</t>
        </is>
      </c>
      <c r="AZ312" t="inlineStr">
        <is>
          <t>BOOK</t>
        </is>
      </c>
      <c r="BC312" t="inlineStr">
        <is>
          <t>32285000823889</t>
        </is>
      </c>
      <c r="BD312" t="inlineStr">
        <is>
          <t>893445511</t>
        </is>
      </c>
    </row>
    <row r="313">
      <c r="A313" t="inlineStr">
        <is>
          <t>No</t>
        </is>
      </c>
      <c r="B313" t="inlineStr">
        <is>
          <t>QB54 .W335 2005</t>
        </is>
      </c>
      <c r="C313" t="inlineStr">
        <is>
          <t>0                      QB 0054000W  335         2005</t>
        </is>
      </c>
      <c r="D313" t="inlineStr">
        <is>
          <t>Life as we do not know it : the NASA search for (and synthesis of) alien life / Peter D. Ward.</t>
        </is>
      </c>
      <c r="F313" t="inlineStr">
        <is>
          <t>No</t>
        </is>
      </c>
      <c r="G313" t="inlineStr">
        <is>
          <t>1</t>
        </is>
      </c>
      <c r="H313" t="inlineStr">
        <is>
          <t>No</t>
        </is>
      </c>
      <c r="I313" t="inlineStr">
        <is>
          <t>No</t>
        </is>
      </c>
      <c r="J313" t="inlineStr">
        <is>
          <t>0</t>
        </is>
      </c>
      <c r="K313" t="inlineStr">
        <is>
          <t>Ward, Peter D. (Peter Douglas), 1949-</t>
        </is>
      </c>
      <c r="L313" t="inlineStr">
        <is>
          <t>New York : Viking, 2005.</t>
        </is>
      </c>
      <c r="M313" t="inlineStr">
        <is>
          <t>2005</t>
        </is>
      </c>
      <c r="O313" t="inlineStr">
        <is>
          <t>eng</t>
        </is>
      </c>
      <c r="P313" t="inlineStr">
        <is>
          <t>nyu</t>
        </is>
      </c>
      <c r="R313" t="inlineStr">
        <is>
          <t xml:space="preserve">QB </t>
        </is>
      </c>
      <c r="S313" t="n">
        <v>2</v>
      </c>
      <c r="T313" t="n">
        <v>2</v>
      </c>
      <c r="U313" t="inlineStr">
        <is>
          <t>2006-01-19</t>
        </is>
      </c>
      <c r="V313" t="inlineStr">
        <is>
          <t>2006-01-19</t>
        </is>
      </c>
      <c r="W313" t="inlineStr">
        <is>
          <t>2005-12-21</t>
        </is>
      </c>
      <c r="X313" t="inlineStr">
        <is>
          <t>2005-12-21</t>
        </is>
      </c>
      <c r="Y313" t="n">
        <v>1105</v>
      </c>
      <c r="Z313" t="n">
        <v>1042</v>
      </c>
      <c r="AA313" t="n">
        <v>1094</v>
      </c>
      <c r="AB313" t="n">
        <v>4</v>
      </c>
      <c r="AC313" t="n">
        <v>4</v>
      </c>
      <c r="AD313" t="n">
        <v>20</v>
      </c>
      <c r="AE313" t="n">
        <v>22</v>
      </c>
      <c r="AF313" t="n">
        <v>7</v>
      </c>
      <c r="AG313" t="n">
        <v>8</v>
      </c>
      <c r="AH313" t="n">
        <v>3</v>
      </c>
      <c r="AI313" t="n">
        <v>4</v>
      </c>
      <c r="AJ313" t="n">
        <v>10</v>
      </c>
      <c r="AK313" t="n">
        <v>11</v>
      </c>
      <c r="AL313" t="n">
        <v>3</v>
      </c>
      <c r="AM313" t="n">
        <v>3</v>
      </c>
      <c r="AN313" t="n">
        <v>0</v>
      </c>
      <c r="AO313" t="n">
        <v>0</v>
      </c>
      <c r="AP313" t="inlineStr">
        <is>
          <t>No</t>
        </is>
      </c>
      <c r="AQ313" t="inlineStr">
        <is>
          <t>Yes</t>
        </is>
      </c>
      <c r="AR313">
        <f>HYPERLINK("http://catalog.hathitrust.org/Record/005102529","HathiTrust Record")</f>
        <v/>
      </c>
      <c r="AS313">
        <f>HYPERLINK("https://creighton-primo.hosted.exlibrisgroup.com/primo-explore/search?tab=default_tab&amp;search_scope=EVERYTHING&amp;vid=01CRU&amp;lang=en_US&amp;offset=0&amp;query=any,contains,991004701519702656","Catalog Record")</f>
        <v/>
      </c>
      <c r="AT313">
        <f>HYPERLINK("http://www.worldcat.org/oclc/61757182","WorldCat Record")</f>
        <v/>
      </c>
      <c r="AU313" t="inlineStr">
        <is>
          <t>796478460:eng</t>
        </is>
      </c>
      <c r="AV313" t="inlineStr">
        <is>
          <t>61757182</t>
        </is>
      </c>
      <c r="AW313" t="inlineStr">
        <is>
          <t>991004701519702656</t>
        </is>
      </c>
      <c r="AX313" t="inlineStr">
        <is>
          <t>991004701519702656</t>
        </is>
      </c>
      <c r="AY313" t="inlineStr">
        <is>
          <t>2269534400002656</t>
        </is>
      </c>
      <c r="AZ313" t="inlineStr">
        <is>
          <t>BOOK</t>
        </is>
      </c>
      <c r="BB313" t="inlineStr">
        <is>
          <t>9780670034581</t>
        </is>
      </c>
      <c r="BC313" t="inlineStr">
        <is>
          <t>32285005153274</t>
        </is>
      </c>
      <c r="BD313" t="inlineStr">
        <is>
          <t>893624987</t>
        </is>
      </c>
    </row>
    <row r="314">
      <c r="A314" t="inlineStr">
        <is>
          <t>No</t>
        </is>
      </c>
      <c r="B314" t="inlineStr">
        <is>
          <t>QB54 .W336 2000</t>
        </is>
      </c>
      <c r="C314" t="inlineStr">
        <is>
          <t>0                      QB 0054000W  336         2000</t>
        </is>
      </c>
      <c r="D314" t="inlineStr">
        <is>
          <t>Rare earth : why complex life is uncommon in the universe / Peter D. Ward, Donald Brownlee.</t>
        </is>
      </c>
      <c r="F314" t="inlineStr">
        <is>
          <t>No</t>
        </is>
      </c>
      <c r="G314" t="inlineStr">
        <is>
          <t>1</t>
        </is>
      </c>
      <c r="H314" t="inlineStr">
        <is>
          <t>No</t>
        </is>
      </c>
      <c r="I314" t="inlineStr">
        <is>
          <t>No</t>
        </is>
      </c>
      <c r="J314" t="inlineStr">
        <is>
          <t>0</t>
        </is>
      </c>
      <c r="K314" t="inlineStr">
        <is>
          <t>Ward, Peter D. (Peter Douglas), 1949-</t>
        </is>
      </c>
      <c r="L314" t="inlineStr">
        <is>
          <t>New York : Copernicus, c2000.</t>
        </is>
      </c>
      <c r="M314" t="inlineStr">
        <is>
          <t>2000</t>
        </is>
      </c>
      <c r="O314" t="inlineStr">
        <is>
          <t>eng</t>
        </is>
      </c>
      <c r="P314" t="inlineStr">
        <is>
          <t>nyu</t>
        </is>
      </c>
      <c r="R314" t="inlineStr">
        <is>
          <t xml:space="preserve">QB </t>
        </is>
      </c>
      <c r="S314" t="n">
        <v>4</v>
      </c>
      <c r="T314" t="n">
        <v>4</v>
      </c>
      <c r="U314" t="inlineStr">
        <is>
          <t>2007-01-09</t>
        </is>
      </c>
      <c r="V314" t="inlineStr">
        <is>
          <t>2007-01-09</t>
        </is>
      </c>
      <c r="W314" t="inlineStr">
        <is>
          <t>2000-10-26</t>
        </is>
      </c>
      <c r="X314" t="inlineStr">
        <is>
          <t>2000-10-26</t>
        </is>
      </c>
      <c r="Y314" t="n">
        <v>1382</v>
      </c>
      <c r="Z314" t="n">
        <v>1212</v>
      </c>
      <c r="AA314" t="n">
        <v>1350</v>
      </c>
      <c r="AB314" t="n">
        <v>11</v>
      </c>
      <c r="AC314" t="n">
        <v>12</v>
      </c>
      <c r="AD314" t="n">
        <v>34</v>
      </c>
      <c r="AE314" t="n">
        <v>35</v>
      </c>
      <c r="AF314" t="n">
        <v>12</v>
      </c>
      <c r="AG314" t="n">
        <v>12</v>
      </c>
      <c r="AH314" t="n">
        <v>5</v>
      </c>
      <c r="AI314" t="n">
        <v>5</v>
      </c>
      <c r="AJ314" t="n">
        <v>14</v>
      </c>
      <c r="AK314" t="n">
        <v>14</v>
      </c>
      <c r="AL314" t="n">
        <v>8</v>
      </c>
      <c r="AM314" t="n">
        <v>9</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HYPERLINK("https://creighton-primo.hosted.exlibrisgroup.com/primo-explore/search?tab=default_tab&amp;search_scope=EVERYTHING&amp;vid=01CRU&amp;lang=en_US&amp;offset=0&amp;query=any,contains,991003262429702656","Catalog Record")</f>
        <v/>
      </c>
      <c r="AT314">
        <f>HYPERLINK("http://www.worldcat.org/oclc/40996050","WorldCat Record")</f>
        <v/>
      </c>
      <c r="AU314" t="inlineStr">
        <is>
          <t>13414458:eng</t>
        </is>
      </c>
      <c r="AV314" t="inlineStr">
        <is>
          <t>40996050</t>
        </is>
      </c>
      <c r="AW314" t="inlineStr">
        <is>
          <t>991003262429702656</t>
        </is>
      </c>
      <c r="AX314" t="inlineStr">
        <is>
          <t>991003262429702656</t>
        </is>
      </c>
      <c r="AY314" t="inlineStr">
        <is>
          <t>2265168600002656</t>
        </is>
      </c>
      <c r="AZ314" t="inlineStr">
        <is>
          <t>BOOK</t>
        </is>
      </c>
      <c r="BB314" t="inlineStr">
        <is>
          <t>9780387987019</t>
        </is>
      </c>
      <c r="BC314" t="inlineStr">
        <is>
          <t>32285004260872</t>
        </is>
      </c>
      <c r="BD314" t="inlineStr">
        <is>
          <t>893410103</t>
        </is>
      </c>
    </row>
    <row r="315">
      <c r="A315" t="inlineStr">
        <is>
          <t>No</t>
        </is>
      </c>
      <c r="B315" t="inlineStr">
        <is>
          <t>QB541 .D85</t>
        </is>
      </c>
      <c r="C315" t="inlineStr">
        <is>
          <t>0                      QB 0541000D  85</t>
        </is>
      </c>
      <c r="D315" t="inlineStr">
        <is>
          <t>Eclipses of the sun and moon / by Sir Frank Dyson and R. v. d. R. Woolley.</t>
        </is>
      </c>
      <c r="F315" t="inlineStr">
        <is>
          <t>No</t>
        </is>
      </c>
      <c r="G315" t="inlineStr">
        <is>
          <t>1</t>
        </is>
      </c>
      <c r="H315" t="inlineStr">
        <is>
          <t>No</t>
        </is>
      </c>
      <c r="I315" t="inlineStr">
        <is>
          <t>No</t>
        </is>
      </c>
      <c r="J315" t="inlineStr">
        <is>
          <t>0</t>
        </is>
      </c>
      <c r="K315" t="inlineStr">
        <is>
          <t>Dyson, Frank Watson, 1868-1939.</t>
        </is>
      </c>
      <c r="L315" t="inlineStr">
        <is>
          <t>Oxford : The Clarendon press, 1937.</t>
        </is>
      </c>
      <c r="M315" t="inlineStr">
        <is>
          <t>1937</t>
        </is>
      </c>
      <c r="O315" t="inlineStr">
        <is>
          <t>eng</t>
        </is>
      </c>
      <c r="P315" t="inlineStr">
        <is>
          <t xml:space="preserve">xx </t>
        </is>
      </c>
      <c r="Q315" t="inlineStr">
        <is>
          <t>Half-title: The international series of monographs on physics, general editors: R. H. Fowler and P. Kapitza</t>
        </is>
      </c>
      <c r="R315" t="inlineStr">
        <is>
          <t xml:space="preserve">QB </t>
        </is>
      </c>
      <c r="S315" t="n">
        <v>5</v>
      </c>
      <c r="T315" t="n">
        <v>5</v>
      </c>
      <c r="U315" t="inlineStr">
        <is>
          <t>1999-09-26</t>
        </is>
      </c>
      <c r="V315" t="inlineStr">
        <is>
          <t>1999-09-26</t>
        </is>
      </c>
      <c r="W315" t="inlineStr">
        <is>
          <t>1993-12-13</t>
        </is>
      </c>
      <c r="X315" t="inlineStr">
        <is>
          <t>1993-12-13</t>
        </is>
      </c>
      <c r="Y315" t="n">
        <v>207</v>
      </c>
      <c r="Z315" t="n">
        <v>152</v>
      </c>
      <c r="AA315" t="n">
        <v>157</v>
      </c>
      <c r="AB315" t="n">
        <v>1</v>
      </c>
      <c r="AC315" t="n">
        <v>1</v>
      </c>
      <c r="AD315" t="n">
        <v>7</v>
      </c>
      <c r="AE315" t="n">
        <v>7</v>
      </c>
      <c r="AF315" t="n">
        <v>3</v>
      </c>
      <c r="AG315" t="n">
        <v>3</v>
      </c>
      <c r="AH315" t="n">
        <v>2</v>
      </c>
      <c r="AI315" t="n">
        <v>2</v>
      </c>
      <c r="AJ315" t="n">
        <v>3</v>
      </c>
      <c r="AK315" t="n">
        <v>3</v>
      </c>
      <c r="AL315" t="n">
        <v>0</v>
      </c>
      <c r="AM315" t="n">
        <v>0</v>
      </c>
      <c r="AN315" t="n">
        <v>0</v>
      </c>
      <c r="AO315" t="n">
        <v>0</v>
      </c>
      <c r="AP315" t="inlineStr">
        <is>
          <t>No</t>
        </is>
      </c>
      <c r="AQ315" t="inlineStr">
        <is>
          <t>Yes</t>
        </is>
      </c>
      <c r="AR315">
        <f>HYPERLINK("http://catalog.hathitrust.org/Record/001476845","HathiTrust Record")</f>
        <v/>
      </c>
      <c r="AS315">
        <f>HYPERLINK("https://creighton-primo.hosted.exlibrisgroup.com/primo-explore/search?tab=default_tab&amp;search_scope=EVERYTHING&amp;vid=01CRU&amp;lang=en_US&amp;offset=0&amp;query=any,contains,991003303189702656","Catalog Record")</f>
        <v/>
      </c>
      <c r="AT315">
        <f>HYPERLINK("http://www.worldcat.org/oclc/826357","WorldCat Record")</f>
        <v/>
      </c>
      <c r="AU315" t="inlineStr">
        <is>
          <t>1719521:eng</t>
        </is>
      </c>
      <c r="AV315" t="inlineStr">
        <is>
          <t>826357</t>
        </is>
      </c>
      <c r="AW315" t="inlineStr">
        <is>
          <t>991003303189702656</t>
        </is>
      </c>
      <c r="AX315" t="inlineStr">
        <is>
          <t>991003303189702656</t>
        </is>
      </c>
      <c r="AY315" t="inlineStr">
        <is>
          <t>2270019420002656</t>
        </is>
      </c>
      <c r="AZ315" t="inlineStr">
        <is>
          <t>BOOK</t>
        </is>
      </c>
      <c r="BC315" t="inlineStr">
        <is>
          <t>32285001807675</t>
        </is>
      </c>
      <c r="BD315" t="inlineStr">
        <is>
          <t>893717519</t>
        </is>
      </c>
    </row>
    <row r="316">
      <c r="A316" t="inlineStr">
        <is>
          <t>No</t>
        </is>
      </c>
      <c r="B316" t="inlineStr">
        <is>
          <t>QB55 .P8</t>
        </is>
      </c>
      <c r="C316" t="inlineStr">
        <is>
          <t>0                      QB 0055000P  8</t>
        </is>
      </c>
      <c r="D316" t="inlineStr">
        <is>
          <t>The stars in song and legend / by Jermain G. Porter ; with illustrations from the drawings of Albrecht Dürer.</t>
        </is>
      </c>
      <c r="F316" t="inlineStr">
        <is>
          <t>No</t>
        </is>
      </c>
      <c r="G316" t="inlineStr">
        <is>
          <t>1</t>
        </is>
      </c>
      <c r="H316" t="inlineStr">
        <is>
          <t>No</t>
        </is>
      </c>
      <c r="I316" t="inlineStr">
        <is>
          <t>No</t>
        </is>
      </c>
      <c r="J316" t="inlineStr">
        <is>
          <t>0</t>
        </is>
      </c>
      <c r="K316" t="inlineStr">
        <is>
          <t>Porter, Jermain G. (Jermain Gildersleeve), 1852-</t>
        </is>
      </c>
      <c r="L316" t="inlineStr">
        <is>
          <t>Boston ; London : Ginn &amp; company, 1901.</t>
        </is>
      </c>
      <c r="M316" t="inlineStr">
        <is>
          <t>1901</t>
        </is>
      </c>
      <c r="O316" t="inlineStr">
        <is>
          <t>eng</t>
        </is>
      </c>
      <c r="P316" t="inlineStr">
        <is>
          <t>mau</t>
        </is>
      </c>
      <c r="R316" t="inlineStr">
        <is>
          <t xml:space="preserve">QB </t>
        </is>
      </c>
      <c r="S316" t="n">
        <v>9</v>
      </c>
      <c r="T316" t="n">
        <v>9</v>
      </c>
      <c r="U316" t="inlineStr">
        <is>
          <t>1997-09-20</t>
        </is>
      </c>
      <c r="V316" t="inlineStr">
        <is>
          <t>1997-09-20</t>
        </is>
      </c>
      <c r="W316" t="inlineStr">
        <is>
          <t>1992-11-07</t>
        </is>
      </c>
      <c r="X316" t="inlineStr">
        <is>
          <t>1992-11-07</t>
        </is>
      </c>
      <c r="Y316" t="n">
        <v>94</v>
      </c>
      <c r="Z316" t="n">
        <v>86</v>
      </c>
      <c r="AA316" t="n">
        <v>114</v>
      </c>
      <c r="AB316" t="n">
        <v>3</v>
      </c>
      <c r="AC316" t="n">
        <v>4</v>
      </c>
      <c r="AD316" t="n">
        <v>4</v>
      </c>
      <c r="AE316" t="n">
        <v>6</v>
      </c>
      <c r="AF316" t="n">
        <v>1</v>
      </c>
      <c r="AG316" t="n">
        <v>1</v>
      </c>
      <c r="AH316" t="n">
        <v>1</v>
      </c>
      <c r="AI316" t="n">
        <v>2</v>
      </c>
      <c r="AJ316" t="n">
        <v>0</v>
      </c>
      <c r="AK316" t="n">
        <v>0</v>
      </c>
      <c r="AL316" t="n">
        <v>2</v>
      </c>
      <c r="AM316" t="n">
        <v>3</v>
      </c>
      <c r="AN316" t="n">
        <v>0</v>
      </c>
      <c r="AO316" t="n">
        <v>0</v>
      </c>
      <c r="AP316" t="inlineStr">
        <is>
          <t>Yes</t>
        </is>
      </c>
      <c r="AQ316" t="inlineStr">
        <is>
          <t>No</t>
        </is>
      </c>
      <c r="AR316">
        <f>HYPERLINK("http://catalog.hathitrust.org/Record/006944761","HathiTrust Record")</f>
        <v/>
      </c>
      <c r="AS316">
        <f>HYPERLINK("https://creighton-primo.hosted.exlibrisgroup.com/primo-explore/search?tab=default_tab&amp;search_scope=EVERYTHING&amp;vid=01CRU&amp;lang=en_US&amp;offset=0&amp;query=any,contains,991004800279702656","Catalog Record")</f>
        <v/>
      </c>
      <c r="AT316">
        <f>HYPERLINK("http://www.worldcat.org/oclc/5210879","WorldCat Record")</f>
        <v/>
      </c>
      <c r="AU316" t="inlineStr">
        <is>
          <t>16225750:eng</t>
        </is>
      </c>
      <c r="AV316" t="inlineStr">
        <is>
          <t>5210879</t>
        </is>
      </c>
      <c r="AW316" t="inlineStr">
        <is>
          <t>991004800279702656</t>
        </is>
      </c>
      <c r="AX316" t="inlineStr">
        <is>
          <t>991004800279702656</t>
        </is>
      </c>
      <c r="AY316" t="inlineStr">
        <is>
          <t>2272755000002656</t>
        </is>
      </c>
      <c r="AZ316" t="inlineStr">
        <is>
          <t>BOOK</t>
        </is>
      </c>
      <c r="BC316" t="inlineStr">
        <is>
          <t>32285001383214</t>
        </is>
      </c>
      <c r="BD316" t="inlineStr">
        <is>
          <t>893807492</t>
        </is>
      </c>
    </row>
    <row r="317">
      <c r="A317" t="inlineStr">
        <is>
          <t>No</t>
        </is>
      </c>
      <c r="B317" t="inlineStr">
        <is>
          <t>QB580 .O75 1986</t>
        </is>
      </c>
      <c r="C317" t="inlineStr">
        <is>
          <t>0                      QB 0580000O  75          1986</t>
        </is>
      </c>
      <c r="D317" t="inlineStr">
        <is>
          <t>Origin of the moon / edited by W.K. Hartmann, R.J. Phillips, G.J. Taylor.</t>
        </is>
      </c>
      <c r="F317" t="inlineStr">
        <is>
          <t>No</t>
        </is>
      </c>
      <c r="G317" t="inlineStr">
        <is>
          <t>1</t>
        </is>
      </c>
      <c r="H317" t="inlineStr">
        <is>
          <t>No</t>
        </is>
      </c>
      <c r="I317" t="inlineStr">
        <is>
          <t>No</t>
        </is>
      </c>
      <c r="J317" t="inlineStr">
        <is>
          <t>0</t>
        </is>
      </c>
      <c r="L317" t="inlineStr">
        <is>
          <t>Houston : Lunar &amp; Planetary Institute, c1986.</t>
        </is>
      </c>
      <c r="M317" t="inlineStr">
        <is>
          <t>1986</t>
        </is>
      </c>
      <c r="O317" t="inlineStr">
        <is>
          <t>eng</t>
        </is>
      </c>
      <c r="P317" t="inlineStr">
        <is>
          <t>txu</t>
        </is>
      </c>
      <c r="R317" t="inlineStr">
        <is>
          <t xml:space="preserve">QB </t>
        </is>
      </c>
      <c r="S317" t="n">
        <v>2</v>
      </c>
      <c r="T317" t="n">
        <v>2</v>
      </c>
      <c r="U317" t="inlineStr">
        <is>
          <t>1998-10-06</t>
        </is>
      </c>
      <c r="V317" t="inlineStr">
        <is>
          <t>1998-10-06</t>
        </is>
      </c>
      <c r="W317" t="inlineStr">
        <is>
          <t>1992-11-23</t>
        </is>
      </c>
      <c r="X317" t="inlineStr">
        <is>
          <t>1992-11-23</t>
        </is>
      </c>
      <c r="Y317" t="n">
        <v>338</v>
      </c>
      <c r="Z317" t="n">
        <v>288</v>
      </c>
      <c r="AA317" t="n">
        <v>309</v>
      </c>
      <c r="AB317" t="n">
        <v>4</v>
      </c>
      <c r="AC317" t="n">
        <v>4</v>
      </c>
      <c r="AD317" t="n">
        <v>7</v>
      </c>
      <c r="AE317" t="n">
        <v>8</v>
      </c>
      <c r="AF317" t="n">
        <v>1</v>
      </c>
      <c r="AG317" t="n">
        <v>2</v>
      </c>
      <c r="AH317" t="n">
        <v>3</v>
      </c>
      <c r="AI317" t="n">
        <v>4</v>
      </c>
      <c r="AJ317" t="n">
        <v>1</v>
      </c>
      <c r="AK317" t="n">
        <v>1</v>
      </c>
      <c r="AL317" t="n">
        <v>3</v>
      </c>
      <c r="AM317" t="n">
        <v>3</v>
      </c>
      <c r="AN317" t="n">
        <v>0</v>
      </c>
      <c r="AO317" t="n">
        <v>0</v>
      </c>
      <c r="AP317" t="inlineStr">
        <is>
          <t>No</t>
        </is>
      </c>
      <c r="AQ317" t="inlineStr">
        <is>
          <t>Yes</t>
        </is>
      </c>
      <c r="AR317">
        <f>HYPERLINK("http://catalog.hathitrust.org/Record/000438011","HathiTrust Record")</f>
        <v/>
      </c>
      <c r="AS317">
        <f>HYPERLINK("https://creighton-primo.hosted.exlibrisgroup.com/primo-explore/search?tab=default_tab&amp;search_scope=EVERYTHING&amp;vid=01CRU&amp;lang=en_US&amp;offset=0&amp;query=any,contains,991000840619702656","Catalog Record")</f>
        <v/>
      </c>
      <c r="AT317">
        <f>HYPERLINK("http://www.worldcat.org/oclc/13525460","WorldCat Record")</f>
        <v/>
      </c>
      <c r="AU317" t="inlineStr">
        <is>
          <t>356011190:eng</t>
        </is>
      </c>
      <c r="AV317" t="inlineStr">
        <is>
          <t>13525460</t>
        </is>
      </c>
      <c r="AW317" t="inlineStr">
        <is>
          <t>991000840619702656</t>
        </is>
      </c>
      <c r="AX317" t="inlineStr">
        <is>
          <t>991000840619702656</t>
        </is>
      </c>
      <c r="AY317" t="inlineStr">
        <is>
          <t>2262459180002656</t>
        </is>
      </c>
      <c r="AZ317" t="inlineStr">
        <is>
          <t>BOOK</t>
        </is>
      </c>
      <c r="BB317" t="inlineStr">
        <is>
          <t>9780942862034</t>
        </is>
      </c>
      <c r="BC317" t="inlineStr">
        <is>
          <t>32285001433423</t>
        </is>
      </c>
      <c r="BD317" t="inlineStr">
        <is>
          <t>893333833</t>
        </is>
      </c>
    </row>
    <row r="318">
      <c r="A318" t="inlineStr">
        <is>
          <t>No</t>
        </is>
      </c>
      <c r="B318" t="inlineStr">
        <is>
          <t>QB581 .L66 1998</t>
        </is>
      </c>
      <c r="C318" t="inlineStr">
        <is>
          <t>0                      QB 0581000L  66          1998</t>
        </is>
      </c>
      <c r="D318" t="inlineStr">
        <is>
          <t>The moon book : fascinating facts about the magnificent, mysterious moon / Kim Long.</t>
        </is>
      </c>
      <c r="F318" t="inlineStr">
        <is>
          <t>No</t>
        </is>
      </c>
      <c r="G318" t="inlineStr">
        <is>
          <t>1</t>
        </is>
      </c>
      <c r="H318" t="inlineStr">
        <is>
          <t>No</t>
        </is>
      </c>
      <c r="I318" t="inlineStr">
        <is>
          <t>No</t>
        </is>
      </c>
      <c r="J318" t="inlineStr">
        <is>
          <t>0</t>
        </is>
      </c>
      <c r="K318" t="inlineStr">
        <is>
          <t>Long, Kim.</t>
        </is>
      </c>
      <c r="L318" t="inlineStr">
        <is>
          <t>Boulder, Colo : Johnson Books, c1998.</t>
        </is>
      </c>
      <c r="M318" t="inlineStr">
        <is>
          <t>1998</t>
        </is>
      </c>
      <c r="N318" t="inlineStr">
        <is>
          <t>Rev. and expanded ed.</t>
        </is>
      </c>
      <c r="O318" t="inlineStr">
        <is>
          <t>eng</t>
        </is>
      </c>
      <c r="P318" t="inlineStr">
        <is>
          <t>cou</t>
        </is>
      </c>
      <c r="R318" t="inlineStr">
        <is>
          <t xml:space="preserve">QB </t>
        </is>
      </c>
      <c r="S318" t="n">
        <v>1</v>
      </c>
      <c r="T318" t="n">
        <v>1</v>
      </c>
      <c r="U318" t="inlineStr">
        <is>
          <t>2008-12-02</t>
        </is>
      </c>
      <c r="V318" t="inlineStr">
        <is>
          <t>2008-12-02</t>
        </is>
      </c>
      <c r="W318" t="inlineStr">
        <is>
          <t>2008-12-02</t>
        </is>
      </c>
      <c r="X318" t="inlineStr">
        <is>
          <t>2008-12-02</t>
        </is>
      </c>
      <c r="Y318" t="n">
        <v>133</v>
      </c>
      <c r="Z318" t="n">
        <v>127</v>
      </c>
      <c r="AA318" t="n">
        <v>885</v>
      </c>
      <c r="AB318" t="n">
        <v>3</v>
      </c>
      <c r="AC318" t="n">
        <v>4</v>
      </c>
      <c r="AD318" t="n">
        <v>3</v>
      </c>
      <c r="AE318" t="n">
        <v>13</v>
      </c>
      <c r="AF318" t="n">
        <v>1</v>
      </c>
      <c r="AG318" t="n">
        <v>7</v>
      </c>
      <c r="AH318" t="n">
        <v>0</v>
      </c>
      <c r="AI318" t="n">
        <v>2</v>
      </c>
      <c r="AJ318" t="n">
        <v>1</v>
      </c>
      <c r="AK318" t="n">
        <v>6</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HYPERLINK("https://creighton-primo.hosted.exlibrisgroup.com/primo-explore/search?tab=default_tab&amp;search_scope=EVERYTHING&amp;vid=01CRU&amp;lang=en_US&amp;offset=0&amp;query=any,contains,991005278999702656","Catalog Record")</f>
        <v/>
      </c>
      <c r="AT318">
        <f>HYPERLINK("http://www.worldcat.org/oclc/39299241","WorldCat Record")</f>
        <v/>
      </c>
      <c r="AU318" t="inlineStr">
        <is>
          <t>28094514:eng</t>
        </is>
      </c>
      <c r="AV318" t="inlineStr">
        <is>
          <t>39299241</t>
        </is>
      </c>
      <c r="AW318" t="inlineStr">
        <is>
          <t>991005278999702656</t>
        </is>
      </c>
      <c r="AX318" t="inlineStr">
        <is>
          <t>991005278999702656</t>
        </is>
      </c>
      <c r="AY318" t="inlineStr">
        <is>
          <t>2264992970002656</t>
        </is>
      </c>
      <c r="AZ318" t="inlineStr">
        <is>
          <t>BOOK</t>
        </is>
      </c>
      <c r="BB318" t="inlineStr">
        <is>
          <t>9781555662301</t>
        </is>
      </c>
      <c r="BC318" t="inlineStr">
        <is>
          <t>32285005461339</t>
        </is>
      </c>
      <c r="BD318" t="inlineStr">
        <is>
          <t>893625766</t>
        </is>
      </c>
    </row>
    <row r="319">
      <c r="A319" t="inlineStr">
        <is>
          <t>No</t>
        </is>
      </c>
      <c r="B319" t="inlineStr">
        <is>
          <t>QB581 .M24 2003</t>
        </is>
      </c>
      <c r="C319" t="inlineStr">
        <is>
          <t>0                      QB 0581000M  24          2003</t>
        </is>
      </c>
      <c r="D319" t="inlineStr">
        <is>
          <t>The big splat ; or, How our moon came to be / Dana Mackenzie.</t>
        </is>
      </c>
      <c r="F319" t="inlineStr">
        <is>
          <t>No</t>
        </is>
      </c>
      <c r="G319" t="inlineStr">
        <is>
          <t>1</t>
        </is>
      </c>
      <c r="H319" t="inlineStr">
        <is>
          <t>No</t>
        </is>
      </c>
      <c r="I319" t="inlineStr">
        <is>
          <t>No</t>
        </is>
      </c>
      <c r="J319" t="inlineStr">
        <is>
          <t>0</t>
        </is>
      </c>
      <c r="K319" t="inlineStr">
        <is>
          <t>Mackenzie, Dana.</t>
        </is>
      </c>
      <c r="L319" t="inlineStr">
        <is>
          <t>Hoboken, N.J. : John Wiley &amp; Sons, c2003.</t>
        </is>
      </c>
      <c r="M319" t="inlineStr">
        <is>
          <t>2003</t>
        </is>
      </c>
      <c r="O319" t="inlineStr">
        <is>
          <t>eng</t>
        </is>
      </c>
      <c r="P319" t="inlineStr">
        <is>
          <t>nju</t>
        </is>
      </c>
      <c r="R319" t="inlineStr">
        <is>
          <t xml:space="preserve">QB </t>
        </is>
      </c>
      <c r="S319" t="n">
        <v>1</v>
      </c>
      <c r="T319" t="n">
        <v>1</v>
      </c>
      <c r="U319" t="inlineStr">
        <is>
          <t>2003-07-16</t>
        </is>
      </c>
      <c r="V319" t="inlineStr">
        <is>
          <t>2003-07-16</t>
        </is>
      </c>
      <c r="W319" t="inlineStr">
        <is>
          <t>2003-07-16</t>
        </is>
      </c>
      <c r="X319" t="inlineStr">
        <is>
          <t>2003-07-16</t>
        </is>
      </c>
      <c r="Y319" t="n">
        <v>1141</v>
      </c>
      <c r="Z319" t="n">
        <v>1027</v>
      </c>
      <c r="AA319" t="n">
        <v>1051</v>
      </c>
      <c r="AB319" t="n">
        <v>7</v>
      </c>
      <c r="AC319" t="n">
        <v>7</v>
      </c>
      <c r="AD319" t="n">
        <v>17</v>
      </c>
      <c r="AE319" t="n">
        <v>17</v>
      </c>
      <c r="AF319" t="n">
        <v>7</v>
      </c>
      <c r="AG319" t="n">
        <v>7</v>
      </c>
      <c r="AH319" t="n">
        <v>3</v>
      </c>
      <c r="AI319" t="n">
        <v>3</v>
      </c>
      <c r="AJ319" t="n">
        <v>10</v>
      </c>
      <c r="AK319" t="n">
        <v>10</v>
      </c>
      <c r="AL319" t="n">
        <v>4</v>
      </c>
      <c r="AM319" t="n">
        <v>4</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HYPERLINK("https://creighton-primo.hosted.exlibrisgroup.com/primo-explore/search?tab=default_tab&amp;search_scope=EVERYTHING&amp;vid=01CRU&amp;lang=en_US&amp;offset=0&amp;query=any,contains,991004077899702656","Catalog Record")</f>
        <v/>
      </c>
      <c r="AT319">
        <f>HYPERLINK("http://www.worldcat.org/oclc/52129583","WorldCat Record")</f>
        <v/>
      </c>
      <c r="AU319" t="inlineStr">
        <is>
          <t>702949:eng</t>
        </is>
      </c>
      <c r="AV319" t="inlineStr">
        <is>
          <t>52129583</t>
        </is>
      </c>
      <c r="AW319" t="inlineStr">
        <is>
          <t>991004077899702656</t>
        </is>
      </c>
      <c r="AX319" t="inlineStr">
        <is>
          <t>991004077899702656</t>
        </is>
      </c>
      <c r="AY319" t="inlineStr">
        <is>
          <t>2268358180002656</t>
        </is>
      </c>
      <c r="AZ319" t="inlineStr">
        <is>
          <t>BOOK</t>
        </is>
      </c>
      <c r="BB319" t="inlineStr">
        <is>
          <t>9780471150572</t>
        </is>
      </c>
      <c r="BC319" t="inlineStr">
        <is>
          <t>32285004756242</t>
        </is>
      </c>
      <c r="BD319" t="inlineStr">
        <is>
          <t>893324901</t>
        </is>
      </c>
    </row>
    <row r="320">
      <c r="A320" t="inlineStr">
        <is>
          <t>No</t>
        </is>
      </c>
      <c r="B320" t="inlineStr">
        <is>
          <t>QB581 .W56 1961</t>
        </is>
      </c>
      <c r="C320" t="inlineStr">
        <is>
          <t>0                      QB 0581000W  56          1961</t>
        </is>
      </c>
      <c r="D320" t="inlineStr">
        <is>
          <t>The moon; a complete description of the surface of the moon, containing the 300-inch Wilkins lunar map / by H. Percy Wilkins and Patrick Moore.</t>
        </is>
      </c>
      <c r="F320" t="inlineStr">
        <is>
          <t>No</t>
        </is>
      </c>
      <c r="G320" t="inlineStr">
        <is>
          <t>1</t>
        </is>
      </c>
      <c r="H320" t="inlineStr">
        <is>
          <t>No</t>
        </is>
      </c>
      <c r="I320" t="inlineStr">
        <is>
          <t>No</t>
        </is>
      </c>
      <c r="J320" t="inlineStr">
        <is>
          <t>0</t>
        </is>
      </c>
      <c r="K320" t="inlineStr">
        <is>
          <t>Wilkins, H. P. (Hugh Percival), 1896-1960.</t>
        </is>
      </c>
      <c r="L320" t="inlineStr">
        <is>
          <t>London : Faber and Faber, 1961.</t>
        </is>
      </c>
      <c r="M320" t="inlineStr">
        <is>
          <t>1961</t>
        </is>
      </c>
      <c r="N320" t="inlineStr">
        <is>
          <t>2d ed.</t>
        </is>
      </c>
      <c r="O320" t="inlineStr">
        <is>
          <t>eng</t>
        </is>
      </c>
      <c r="P320" t="inlineStr">
        <is>
          <t xml:space="preserve">xx </t>
        </is>
      </c>
      <c r="R320" t="inlineStr">
        <is>
          <t xml:space="preserve">QB </t>
        </is>
      </c>
      <c r="S320" t="n">
        <v>3</v>
      </c>
      <c r="T320" t="n">
        <v>3</v>
      </c>
      <c r="U320" t="inlineStr">
        <is>
          <t>2005-08-23</t>
        </is>
      </c>
      <c r="V320" t="inlineStr">
        <is>
          <t>2005-08-23</t>
        </is>
      </c>
      <c r="W320" t="inlineStr">
        <is>
          <t>1992-11-23</t>
        </is>
      </c>
      <c r="X320" t="inlineStr">
        <is>
          <t>1992-11-23</t>
        </is>
      </c>
      <c r="Y320" t="n">
        <v>82</v>
      </c>
      <c r="Z320" t="n">
        <v>55</v>
      </c>
      <c r="AA320" t="n">
        <v>83</v>
      </c>
      <c r="AB320" t="n">
        <v>1</v>
      </c>
      <c r="AC320" t="n">
        <v>1</v>
      </c>
      <c r="AD320" t="n">
        <v>0</v>
      </c>
      <c r="AE320" t="n">
        <v>2</v>
      </c>
      <c r="AF320" t="n">
        <v>0</v>
      </c>
      <c r="AG320" t="n">
        <v>0</v>
      </c>
      <c r="AH320" t="n">
        <v>0</v>
      </c>
      <c r="AI320" t="n">
        <v>1</v>
      </c>
      <c r="AJ320" t="n">
        <v>0</v>
      </c>
      <c r="AK320" t="n">
        <v>1</v>
      </c>
      <c r="AL320" t="n">
        <v>0</v>
      </c>
      <c r="AM320" t="n">
        <v>0</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HYPERLINK("https://creighton-primo.hosted.exlibrisgroup.com/primo-explore/search?tab=default_tab&amp;search_scope=EVERYTHING&amp;vid=01CRU&amp;lang=en_US&amp;offset=0&amp;query=any,contains,991004071219702656","Catalog Record")</f>
        <v/>
      </c>
      <c r="AT320">
        <f>HYPERLINK("http://www.worldcat.org/oclc/2301715","WorldCat Record")</f>
        <v/>
      </c>
      <c r="AU320" t="inlineStr">
        <is>
          <t>3943661853:eng</t>
        </is>
      </c>
      <c r="AV320" t="inlineStr">
        <is>
          <t>2301715</t>
        </is>
      </c>
      <c r="AW320" t="inlineStr">
        <is>
          <t>991004071219702656</t>
        </is>
      </c>
      <c r="AX320" t="inlineStr">
        <is>
          <t>991004071219702656</t>
        </is>
      </c>
      <c r="AY320" t="inlineStr">
        <is>
          <t>2260024400002656</t>
        </is>
      </c>
      <c r="AZ320" t="inlineStr">
        <is>
          <t>BOOK</t>
        </is>
      </c>
      <c r="BC320" t="inlineStr">
        <is>
          <t>32285001433456</t>
        </is>
      </c>
      <c r="BD320" t="inlineStr">
        <is>
          <t>893253214</t>
        </is>
      </c>
    </row>
    <row r="321">
      <c r="A321" t="inlineStr">
        <is>
          <t>No</t>
        </is>
      </c>
      <c r="B321" t="inlineStr">
        <is>
          <t>QB595 .A56 1967</t>
        </is>
      </c>
      <c r="C321" t="inlineStr">
        <is>
          <t>0                      QB 0595000A  56          1967</t>
        </is>
      </c>
      <c r="D321" t="inlineStr">
        <is>
          <t>Pictorial guide to the moon.</t>
        </is>
      </c>
      <c r="F321" t="inlineStr">
        <is>
          <t>No</t>
        </is>
      </c>
      <c r="G321" t="inlineStr">
        <is>
          <t>1</t>
        </is>
      </c>
      <c r="H321" t="inlineStr">
        <is>
          <t>No</t>
        </is>
      </c>
      <c r="I321" t="inlineStr">
        <is>
          <t>No</t>
        </is>
      </c>
      <c r="J321" t="inlineStr">
        <is>
          <t>0</t>
        </is>
      </c>
      <c r="K321" t="inlineStr">
        <is>
          <t>Alter, Dinsmore, 1888-1968.</t>
        </is>
      </c>
      <c r="L321" t="inlineStr">
        <is>
          <t>New York, Crowell [1967]</t>
        </is>
      </c>
      <c r="M321" t="inlineStr">
        <is>
          <t>1967</t>
        </is>
      </c>
      <c r="N321" t="inlineStr">
        <is>
          <t>Updated and expanded [i.e. 2d] ed.</t>
        </is>
      </c>
      <c r="O321" t="inlineStr">
        <is>
          <t>eng</t>
        </is>
      </c>
      <c r="P321" t="inlineStr">
        <is>
          <t>nyu</t>
        </is>
      </c>
      <c r="R321" t="inlineStr">
        <is>
          <t xml:space="preserve">QB </t>
        </is>
      </c>
      <c r="S321" t="n">
        <v>2</v>
      </c>
      <c r="T321" t="n">
        <v>2</v>
      </c>
      <c r="U321" t="inlineStr">
        <is>
          <t>2001-04-03</t>
        </is>
      </c>
      <c r="V321" t="inlineStr">
        <is>
          <t>2001-04-03</t>
        </is>
      </c>
      <c r="W321" t="inlineStr">
        <is>
          <t>1997-05-05</t>
        </is>
      </c>
      <c r="X321" t="inlineStr">
        <is>
          <t>1997-05-05</t>
        </is>
      </c>
      <c r="Y321" t="n">
        <v>426</v>
      </c>
      <c r="Z321" t="n">
        <v>405</v>
      </c>
      <c r="AA321" t="n">
        <v>973</v>
      </c>
      <c r="AB321" t="n">
        <v>2</v>
      </c>
      <c r="AC321" t="n">
        <v>7</v>
      </c>
      <c r="AD321" t="n">
        <v>11</v>
      </c>
      <c r="AE321" t="n">
        <v>20</v>
      </c>
      <c r="AF321" t="n">
        <v>6</v>
      </c>
      <c r="AG321" t="n">
        <v>8</v>
      </c>
      <c r="AH321" t="n">
        <v>2</v>
      </c>
      <c r="AI321" t="n">
        <v>5</v>
      </c>
      <c r="AJ321" t="n">
        <v>5</v>
      </c>
      <c r="AK321" t="n">
        <v>8</v>
      </c>
      <c r="AL321" t="n">
        <v>1</v>
      </c>
      <c r="AM321" t="n">
        <v>4</v>
      </c>
      <c r="AN321" t="n">
        <v>0</v>
      </c>
      <c r="AO321" t="n">
        <v>0</v>
      </c>
      <c r="AP321" t="inlineStr">
        <is>
          <t>No</t>
        </is>
      </c>
      <c r="AQ321" t="inlineStr">
        <is>
          <t>Yes</t>
        </is>
      </c>
      <c r="AR321">
        <f>HYPERLINK("http://catalog.hathitrust.org/Record/001476934","HathiTrust Record")</f>
        <v/>
      </c>
      <c r="AS321">
        <f>HYPERLINK("https://creighton-primo.hosted.exlibrisgroup.com/primo-explore/search?tab=default_tab&amp;search_scope=EVERYTHING&amp;vid=01CRU&amp;lang=en_US&amp;offset=0&amp;query=any,contains,991003578609702656","Catalog Record")</f>
        <v/>
      </c>
      <c r="AT321">
        <f>HYPERLINK("http://www.worldcat.org/oclc/1158941","WorldCat Record")</f>
        <v/>
      </c>
      <c r="AU321" t="inlineStr">
        <is>
          <t>1543810:eng</t>
        </is>
      </c>
      <c r="AV321" t="inlineStr">
        <is>
          <t>1158941</t>
        </is>
      </c>
      <c r="AW321" t="inlineStr">
        <is>
          <t>991003578609702656</t>
        </is>
      </c>
      <c r="AX321" t="inlineStr">
        <is>
          <t>991003578609702656</t>
        </is>
      </c>
      <c r="AY321" t="inlineStr">
        <is>
          <t>2262165400002656</t>
        </is>
      </c>
      <c r="AZ321" t="inlineStr">
        <is>
          <t>BOOK</t>
        </is>
      </c>
      <c r="BC321" t="inlineStr">
        <is>
          <t>32285002642220</t>
        </is>
      </c>
      <c r="BD321" t="inlineStr">
        <is>
          <t>893318120</t>
        </is>
      </c>
    </row>
    <row r="322">
      <c r="A322" t="inlineStr">
        <is>
          <t>No</t>
        </is>
      </c>
      <c r="B322" t="inlineStr">
        <is>
          <t>QB6 .S54 v...</t>
        </is>
      </c>
      <c r="C322" t="inlineStr">
        <is>
          <t>0                      QB 0006000S  54                                                      v...</t>
        </is>
      </c>
      <c r="D322" t="inlineStr">
        <is>
          <t>Sky catalogue 2000.0 / edited by Alan Hirshfeld and Roger W. Sinnott.</t>
        </is>
      </c>
      <c r="E322" t="inlineStr">
        <is>
          <t>V.1</t>
        </is>
      </c>
      <c r="F322" t="inlineStr">
        <is>
          <t>Yes</t>
        </is>
      </c>
      <c r="G322" t="inlineStr">
        <is>
          <t>1</t>
        </is>
      </c>
      <c r="H322" t="inlineStr">
        <is>
          <t>No</t>
        </is>
      </c>
      <c r="I322" t="inlineStr">
        <is>
          <t>No</t>
        </is>
      </c>
      <c r="J322" t="inlineStr">
        <is>
          <t>0</t>
        </is>
      </c>
      <c r="L322" t="inlineStr">
        <is>
          <t>Cambridge [Cambridgeshire] ; New York : Cambridge University Press ; Cambridge, Mass. : Sky Pub. Corp., 1982-</t>
        </is>
      </c>
      <c r="M322" t="inlineStr">
        <is>
          <t>1982</t>
        </is>
      </c>
      <c r="O322" t="inlineStr">
        <is>
          <t>eng</t>
        </is>
      </c>
      <c r="P322" t="inlineStr">
        <is>
          <t>enk</t>
        </is>
      </c>
      <c r="R322" t="inlineStr">
        <is>
          <t xml:space="preserve">QB </t>
        </is>
      </c>
      <c r="S322" t="n">
        <v>4</v>
      </c>
      <c r="T322" t="n">
        <v>8</v>
      </c>
      <c r="U322" t="inlineStr">
        <is>
          <t>1999-10-15</t>
        </is>
      </c>
      <c r="V322" t="inlineStr">
        <is>
          <t>1999-10-15</t>
        </is>
      </c>
      <c r="W322" t="inlineStr">
        <is>
          <t>1992-11-16</t>
        </is>
      </c>
      <c r="X322" t="inlineStr">
        <is>
          <t>1992-11-16</t>
        </is>
      </c>
      <c r="Y322" t="n">
        <v>351</v>
      </c>
      <c r="Z322" t="n">
        <v>273</v>
      </c>
      <c r="AA322" t="n">
        <v>273</v>
      </c>
      <c r="AB322" t="n">
        <v>3</v>
      </c>
      <c r="AC322" t="n">
        <v>3</v>
      </c>
      <c r="AD322" t="n">
        <v>5</v>
      </c>
      <c r="AE322" t="n">
        <v>5</v>
      </c>
      <c r="AF322" t="n">
        <v>3</v>
      </c>
      <c r="AG322" t="n">
        <v>3</v>
      </c>
      <c r="AH322" t="n">
        <v>0</v>
      </c>
      <c r="AI322" t="n">
        <v>0</v>
      </c>
      <c r="AJ322" t="n">
        <v>1</v>
      </c>
      <c r="AK322" t="n">
        <v>1</v>
      </c>
      <c r="AL322" t="n">
        <v>2</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HYPERLINK("https://creighton-primo.hosted.exlibrisgroup.com/primo-explore/search?tab=default_tab&amp;search_scope=EVERYTHING&amp;vid=01CRU&amp;lang=en_US&amp;offset=0&amp;query=any,contains,991005187869702656","Catalog Record")</f>
        <v/>
      </c>
      <c r="AT322">
        <f>HYPERLINK("http://www.worldcat.org/oclc/7978015","WorldCat Record")</f>
        <v/>
      </c>
      <c r="AU322" t="inlineStr">
        <is>
          <t>3374352384:eng</t>
        </is>
      </c>
      <c r="AV322" t="inlineStr">
        <is>
          <t>7978015</t>
        </is>
      </c>
      <c r="AW322" t="inlineStr">
        <is>
          <t>991005187869702656</t>
        </is>
      </c>
      <c r="AX322" t="inlineStr">
        <is>
          <t>991005187869702656</t>
        </is>
      </c>
      <c r="AY322" t="inlineStr">
        <is>
          <t>2271558810002656</t>
        </is>
      </c>
      <c r="AZ322" t="inlineStr">
        <is>
          <t>BOOK</t>
        </is>
      </c>
      <c r="BB322" t="inlineStr">
        <is>
          <t>9780521247108</t>
        </is>
      </c>
      <c r="BC322" t="inlineStr">
        <is>
          <t>32285001430809</t>
        </is>
      </c>
      <c r="BD322" t="inlineStr">
        <is>
          <t>893248507</t>
        </is>
      </c>
    </row>
    <row r="323">
      <c r="A323" t="inlineStr">
        <is>
          <t>No</t>
        </is>
      </c>
      <c r="B323" t="inlineStr">
        <is>
          <t>QB6 .S54 v...</t>
        </is>
      </c>
      <c r="C323" t="inlineStr">
        <is>
          <t>0                      QB 0006000S  54                                                      v...</t>
        </is>
      </c>
      <c r="D323" t="inlineStr">
        <is>
          <t>Sky catalogue 2000.0 / edited by Alan Hirshfeld and Roger W. Sinnott.</t>
        </is>
      </c>
      <c r="E323" t="inlineStr">
        <is>
          <t>V.2</t>
        </is>
      </c>
      <c r="F323" t="inlineStr">
        <is>
          <t>Yes</t>
        </is>
      </c>
      <c r="G323" t="inlineStr">
        <is>
          <t>1</t>
        </is>
      </c>
      <c r="H323" t="inlineStr">
        <is>
          <t>No</t>
        </is>
      </c>
      <c r="I323" t="inlineStr">
        <is>
          <t>No</t>
        </is>
      </c>
      <c r="J323" t="inlineStr">
        <is>
          <t>0</t>
        </is>
      </c>
      <c r="L323" t="inlineStr">
        <is>
          <t>Cambridge [Cambridgeshire] ; New York : Cambridge University Press ; Cambridge, Mass. : Sky Pub. Corp., 1982-</t>
        </is>
      </c>
      <c r="M323" t="inlineStr">
        <is>
          <t>1982</t>
        </is>
      </c>
      <c r="O323" t="inlineStr">
        <is>
          <t>eng</t>
        </is>
      </c>
      <c r="P323" t="inlineStr">
        <is>
          <t>enk</t>
        </is>
      </c>
      <c r="R323" t="inlineStr">
        <is>
          <t xml:space="preserve">QB </t>
        </is>
      </c>
      <c r="S323" t="n">
        <v>4</v>
      </c>
      <c r="T323" t="n">
        <v>8</v>
      </c>
      <c r="U323" t="inlineStr">
        <is>
          <t>1999-10-15</t>
        </is>
      </c>
      <c r="V323" t="inlineStr">
        <is>
          <t>1999-10-15</t>
        </is>
      </c>
      <c r="W323" t="inlineStr">
        <is>
          <t>1992-06-29</t>
        </is>
      </c>
      <c r="X323" t="inlineStr">
        <is>
          <t>1992-11-16</t>
        </is>
      </c>
      <c r="Y323" t="n">
        <v>351</v>
      </c>
      <c r="Z323" t="n">
        <v>273</v>
      </c>
      <c r="AA323" t="n">
        <v>273</v>
      </c>
      <c r="AB323" t="n">
        <v>3</v>
      </c>
      <c r="AC323" t="n">
        <v>3</v>
      </c>
      <c r="AD323" t="n">
        <v>5</v>
      </c>
      <c r="AE323" t="n">
        <v>5</v>
      </c>
      <c r="AF323" t="n">
        <v>3</v>
      </c>
      <c r="AG323" t="n">
        <v>3</v>
      </c>
      <c r="AH323" t="n">
        <v>0</v>
      </c>
      <c r="AI323" t="n">
        <v>0</v>
      </c>
      <c r="AJ323" t="n">
        <v>1</v>
      </c>
      <c r="AK323" t="n">
        <v>1</v>
      </c>
      <c r="AL323" t="n">
        <v>2</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HYPERLINK("https://creighton-primo.hosted.exlibrisgroup.com/primo-explore/search?tab=default_tab&amp;search_scope=EVERYTHING&amp;vid=01CRU&amp;lang=en_US&amp;offset=0&amp;query=any,contains,991005187869702656","Catalog Record")</f>
        <v/>
      </c>
      <c r="AT323">
        <f>HYPERLINK("http://www.worldcat.org/oclc/7978015","WorldCat Record")</f>
        <v/>
      </c>
      <c r="AU323" t="inlineStr">
        <is>
          <t>3374352384:eng</t>
        </is>
      </c>
      <c r="AV323" t="inlineStr">
        <is>
          <t>7978015</t>
        </is>
      </c>
      <c r="AW323" t="inlineStr">
        <is>
          <t>991005187869702656</t>
        </is>
      </c>
      <c r="AX323" t="inlineStr">
        <is>
          <t>991005187869702656</t>
        </is>
      </c>
      <c r="AY323" t="inlineStr">
        <is>
          <t>2271558810002656</t>
        </is>
      </c>
      <c r="AZ323" t="inlineStr">
        <is>
          <t>BOOK</t>
        </is>
      </c>
      <c r="BB323" t="inlineStr">
        <is>
          <t>9780521247108</t>
        </is>
      </c>
      <c r="BC323" t="inlineStr">
        <is>
          <t>32285001145852</t>
        </is>
      </c>
      <c r="BD323" t="inlineStr">
        <is>
          <t>893248508</t>
        </is>
      </c>
    </row>
    <row r="324">
      <c r="A324" t="inlineStr">
        <is>
          <t>No</t>
        </is>
      </c>
      <c r="B324" t="inlineStr">
        <is>
          <t>QB6 .U3</t>
        </is>
      </c>
      <c r="C324" t="inlineStr">
        <is>
          <t>0                      QB 0006000U  3</t>
        </is>
      </c>
      <c r="D324" t="inlineStr">
        <is>
          <t>Ulugh Beg's catalogue of stars / rev. from all Persian manuscripts existing in Great Britain, with a vocabulary of Persian and Arabic words, by Edward Ball Knobel.</t>
        </is>
      </c>
      <c r="F324" t="inlineStr">
        <is>
          <t>No</t>
        </is>
      </c>
      <c r="G324" t="inlineStr">
        <is>
          <t>1</t>
        </is>
      </c>
      <c r="H324" t="inlineStr">
        <is>
          <t>No</t>
        </is>
      </c>
      <c r="I324" t="inlineStr">
        <is>
          <t>No</t>
        </is>
      </c>
      <c r="J324" t="inlineStr">
        <is>
          <t>0</t>
        </is>
      </c>
      <c r="K324" t="inlineStr">
        <is>
          <t>Ulugh Beg, 1394-1449.</t>
        </is>
      </c>
      <c r="L324" t="inlineStr">
        <is>
          <t>Washington : The Carnegie Institution of Washington, 1917.</t>
        </is>
      </c>
      <c r="M324" t="inlineStr">
        <is>
          <t>1917</t>
        </is>
      </c>
      <c r="O324" t="inlineStr">
        <is>
          <t>eng</t>
        </is>
      </c>
      <c r="P324" t="inlineStr">
        <is>
          <t>dcu</t>
        </is>
      </c>
      <c r="Q324" t="inlineStr">
        <is>
          <t>Carnegie institution of Washington. Publication no. 250</t>
        </is>
      </c>
      <c r="R324" t="inlineStr">
        <is>
          <t xml:space="preserve">QB </t>
        </is>
      </c>
      <c r="S324" t="n">
        <v>2</v>
      </c>
      <c r="T324" t="n">
        <v>2</v>
      </c>
      <c r="U324" t="inlineStr">
        <is>
          <t>1992-03-11</t>
        </is>
      </c>
      <c r="V324" t="inlineStr">
        <is>
          <t>1992-03-11</t>
        </is>
      </c>
      <c r="W324" t="inlineStr">
        <is>
          <t>1992-03-11</t>
        </is>
      </c>
      <c r="X324" t="inlineStr">
        <is>
          <t>1992-03-11</t>
        </is>
      </c>
      <c r="Y324" t="n">
        <v>208</v>
      </c>
      <c r="Z324" t="n">
        <v>172</v>
      </c>
      <c r="AA324" t="n">
        <v>186</v>
      </c>
      <c r="AB324" t="n">
        <v>2</v>
      </c>
      <c r="AC324" t="n">
        <v>2</v>
      </c>
      <c r="AD324" t="n">
        <v>3</v>
      </c>
      <c r="AE324" t="n">
        <v>4</v>
      </c>
      <c r="AF324" t="n">
        <v>0</v>
      </c>
      <c r="AG324" t="n">
        <v>0</v>
      </c>
      <c r="AH324" t="n">
        <v>0</v>
      </c>
      <c r="AI324" t="n">
        <v>1</v>
      </c>
      <c r="AJ324" t="n">
        <v>2</v>
      </c>
      <c r="AK324" t="n">
        <v>2</v>
      </c>
      <c r="AL324" t="n">
        <v>1</v>
      </c>
      <c r="AM324" t="n">
        <v>1</v>
      </c>
      <c r="AN324" t="n">
        <v>0</v>
      </c>
      <c r="AO324" t="n">
        <v>0</v>
      </c>
      <c r="AP324" t="inlineStr">
        <is>
          <t>Yes</t>
        </is>
      </c>
      <c r="AQ324" t="inlineStr">
        <is>
          <t>No</t>
        </is>
      </c>
      <c r="AR324">
        <f>HYPERLINK("http://catalog.hathitrust.org/Record/001475363","HathiTrust Record")</f>
        <v/>
      </c>
      <c r="AS324">
        <f>HYPERLINK("https://creighton-primo.hosted.exlibrisgroup.com/primo-explore/search?tab=default_tab&amp;search_scope=EVERYTHING&amp;vid=01CRU&amp;lang=en_US&amp;offset=0&amp;query=any,contains,991004071329702656","Catalog Record")</f>
        <v/>
      </c>
      <c r="AT324">
        <f>HYPERLINK("http://www.worldcat.org/oclc/2302021","WorldCat Record")</f>
        <v/>
      </c>
      <c r="AU324" t="inlineStr">
        <is>
          <t>4431850:eng</t>
        </is>
      </c>
      <c r="AV324" t="inlineStr">
        <is>
          <t>2302021</t>
        </is>
      </c>
      <c r="AW324" t="inlineStr">
        <is>
          <t>991004071329702656</t>
        </is>
      </c>
      <c r="AX324" t="inlineStr">
        <is>
          <t>991004071329702656</t>
        </is>
      </c>
      <c r="AY324" t="inlineStr">
        <is>
          <t>2261443610002656</t>
        </is>
      </c>
      <c r="AZ324" t="inlineStr">
        <is>
          <t>BOOK</t>
        </is>
      </c>
      <c r="BC324" t="inlineStr">
        <is>
          <t>32285000939842</t>
        </is>
      </c>
      <c r="BD324" t="inlineStr">
        <is>
          <t>893599393</t>
        </is>
      </c>
    </row>
    <row r="325">
      <c r="A325" t="inlineStr">
        <is>
          <t>No</t>
        </is>
      </c>
      <c r="B325" t="inlineStr">
        <is>
          <t>QB601 .C65</t>
        </is>
      </c>
      <c r="C325" t="inlineStr">
        <is>
          <t>0                      QB 0601000C  65</t>
        </is>
      </c>
      <c r="D325" t="inlineStr">
        <is>
          <t>The structure of planets / G. H. A. Cole.</t>
        </is>
      </c>
      <c r="F325" t="inlineStr">
        <is>
          <t>No</t>
        </is>
      </c>
      <c r="G325" t="inlineStr">
        <is>
          <t>1</t>
        </is>
      </c>
      <c r="H325" t="inlineStr">
        <is>
          <t>No</t>
        </is>
      </c>
      <c r="I325" t="inlineStr">
        <is>
          <t>No</t>
        </is>
      </c>
      <c r="J325" t="inlineStr">
        <is>
          <t>0</t>
        </is>
      </c>
      <c r="K325" t="inlineStr">
        <is>
          <t>Cole, G. H. A.</t>
        </is>
      </c>
      <c r="L325" t="inlineStr">
        <is>
          <t>London : Wykeham Publications ; New York : Crane, Russak &amp; Company, 1978.</t>
        </is>
      </c>
      <c r="M325" t="inlineStr">
        <is>
          <t>1978</t>
        </is>
      </c>
      <c r="O325" t="inlineStr">
        <is>
          <t>eng</t>
        </is>
      </c>
      <c r="P325" t="inlineStr">
        <is>
          <t>enk</t>
        </is>
      </c>
      <c r="Q325" t="inlineStr">
        <is>
          <t>Wykeman science series</t>
        </is>
      </c>
      <c r="R325" t="inlineStr">
        <is>
          <t xml:space="preserve">QB </t>
        </is>
      </c>
      <c r="S325" t="n">
        <v>4</v>
      </c>
      <c r="T325" t="n">
        <v>4</v>
      </c>
      <c r="U325" t="inlineStr">
        <is>
          <t>1996-02-06</t>
        </is>
      </c>
      <c r="V325" t="inlineStr">
        <is>
          <t>1996-02-06</t>
        </is>
      </c>
      <c r="W325" t="inlineStr">
        <is>
          <t>1992-11-23</t>
        </is>
      </c>
      <c r="X325" t="inlineStr">
        <is>
          <t>1992-11-23</t>
        </is>
      </c>
      <c r="Y325" t="n">
        <v>142</v>
      </c>
      <c r="Z325" t="n">
        <v>140</v>
      </c>
      <c r="AA325" t="n">
        <v>222</v>
      </c>
      <c r="AB325" t="n">
        <v>2</v>
      </c>
      <c r="AC325" t="n">
        <v>2</v>
      </c>
      <c r="AD325" t="n">
        <v>4</v>
      </c>
      <c r="AE325" t="n">
        <v>5</v>
      </c>
      <c r="AF325" t="n">
        <v>2</v>
      </c>
      <c r="AG325" t="n">
        <v>2</v>
      </c>
      <c r="AH325" t="n">
        <v>0</v>
      </c>
      <c r="AI325" t="n">
        <v>0</v>
      </c>
      <c r="AJ325" t="n">
        <v>1</v>
      </c>
      <c r="AK325" t="n">
        <v>2</v>
      </c>
      <c r="AL325" t="n">
        <v>1</v>
      </c>
      <c r="AM325" t="n">
        <v>1</v>
      </c>
      <c r="AN325" t="n">
        <v>0</v>
      </c>
      <c r="AO325" t="n">
        <v>0</v>
      </c>
      <c r="AP325" t="inlineStr">
        <is>
          <t>No</t>
        </is>
      </c>
      <c r="AQ325" t="inlineStr">
        <is>
          <t>Yes</t>
        </is>
      </c>
      <c r="AR325">
        <f>HYPERLINK("http://catalog.hathitrust.org/Record/000254904","HathiTrust Record")</f>
        <v/>
      </c>
      <c r="AS325">
        <f>HYPERLINK("https://creighton-primo.hosted.exlibrisgroup.com/primo-explore/search?tab=default_tab&amp;search_scope=EVERYTHING&amp;vid=01CRU&amp;lang=en_US&amp;offset=0&amp;query=any,contains,991004642659702656","Catalog Record")</f>
        <v/>
      </c>
      <c r="AT325">
        <f>HYPERLINK("http://www.worldcat.org/oclc/4471252","WorldCat Record")</f>
        <v/>
      </c>
      <c r="AU325" t="inlineStr">
        <is>
          <t>14693525:eng</t>
        </is>
      </c>
      <c r="AV325" t="inlineStr">
        <is>
          <t>4471252</t>
        </is>
      </c>
      <c r="AW325" t="inlineStr">
        <is>
          <t>991004642659702656</t>
        </is>
      </c>
      <c r="AX325" t="inlineStr">
        <is>
          <t>991004642659702656</t>
        </is>
      </c>
      <c r="AY325" t="inlineStr">
        <is>
          <t>2267988430002656</t>
        </is>
      </c>
      <c r="AZ325" t="inlineStr">
        <is>
          <t>BOOK</t>
        </is>
      </c>
      <c r="BB325" t="inlineStr">
        <is>
          <t>9780844813097</t>
        </is>
      </c>
      <c r="BC325" t="inlineStr">
        <is>
          <t>32285001433498</t>
        </is>
      </c>
      <c r="BD325" t="inlineStr">
        <is>
          <t>893612589</t>
        </is>
      </c>
    </row>
    <row r="326">
      <c r="A326" t="inlineStr">
        <is>
          <t>No</t>
        </is>
      </c>
      <c r="B326" t="inlineStr">
        <is>
          <t>QB601 .D38 2001</t>
        </is>
      </c>
      <c r="C326" t="inlineStr">
        <is>
          <t>0                      QB 0601000D  38          2001</t>
        </is>
      </c>
      <c r="D326" t="inlineStr">
        <is>
          <t>Planetary sciences / Imke de Pater and Jack J. Lissauer.</t>
        </is>
      </c>
      <c r="F326" t="inlineStr">
        <is>
          <t>No</t>
        </is>
      </c>
      <c r="G326" t="inlineStr">
        <is>
          <t>1</t>
        </is>
      </c>
      <c r="H326" t="inlineStr">
        <is>
          <t>No</t>
        </is>
      </c>
      <c r="I326" t="inlineStr">
        <is>
          <t>No</t>
        </is>
      </c>
      <c r="J326" t="inlineStr">
        <is>
          <t>0</t>
        </is>
      </c>
      <c r="K326" t="inlineStr">
        <is>
          <t>De Pater, Imke, 1952-</t>
        </is>
      </c>
      <c r="L326" t="inlineStr">
        <is>
          <t>Cambridge ; New York : Cambridge University Press, c2001.</t>
        </is>
      </c>
      <c r="M326" t="inlineStr">
        <is>
          <t>2001</t>
        </is>
      </c>
      <c r="O326" t="inlineStr">
        <is>
          <t>eng</t>
        </is>
      </c>
      <c r="P326" t="inlineStr">
        <is>
          <t>enk</t>
        </is>
      </c>
      <c r="R326" t="inlineStr">
        <is>
          <t xml:space="preserve">QB </t>
        </is>
      </c>
      <c r="S326" t="n">
        <v>1</v>
      </c>
      <c r="T326" t="n">
        <v>1</v>
      </c>
      <c r="U326" t="inlineStr">
        <is>
          <t>2002-05-06</t>
        </is>
      </c>
      <c r="V326" t="inlineStr">
        <is>
          <t>2002-05-06</t>
        </is>
      </c>
      <c r="W326" t="inlineStr">
        <is>
          <t>2002-04-24</t>
        </is>
      </c>
      <c r="X326" t="inlineStr">
        <is>
          <t>2002-04-24</t>
        </is>
      </c>
      <c r="Y326" t="n">
        <v>310</v>
      </c>
      <c r="Z326" t="n">
        <v>211</v>
      </c>
      <c r="AA326" t="n">
        <v>291</v>
      </c>
      <c r="AB326" t="n">
        <v>2</v>
      </c>
      <c r="AC326" t="n">
        <v>2</v>
      </c>
      <c r="AD326" t="n">
        <v>4</v>
      </c>
      <c r="AE326" t="n">
        <v>5</v>
      </c>
      <c r="AF326" t="n">
        <v>0</v>
      </c>
      <c r="AG326" t="n">
        <v>1</v>
      </c>
      <c r="AH326" t="n">
        <v>2</v>
      </c>
      <c r="AI326" t="n">
        <v>2</v>
      </c>
      <c r="AJ326" t="n">
        <v>2</v>
      </c>
      <c r="AK326" t="n">
        <v>2</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HYPERLINK("https://creighton-primo.hosted.exlibrisgroup.com/primo-explore/search?tab=default_tab&amp;search_scope=EVERYTHING&amp;vid=01CRU&amp;lang=en_US&amp;offset=0&amp;query=any,contains,991003771819702656","Catalog Record")</f>
        <v/>
      </c>
      <c r="AT326">
        <f>HYPERLINK("http://www.worldcat.org/oclc/45283049","WorldCat Record")</f>
        <v/>
      </c>
      <c r="AU326" t="inlineStr">
        <is>
          <t>34778446:eng</t>
        </is>
      </c>
      <c r="AV326" t="inlineStr">
        <is>
          <t>45283049</t>
        </is>
      </c>
      <c r="AW326" t="inlineStr">
        <is>
          <t>991003771819702656</t>
        </is>
      </c>
      <c r="AX326" t="inlineStr">
        <is>
          <t>991003771819702656</t>
        </is>
      </c>
      <c r="AY326" t="inlineStr">
        <is>
          <t>2271972700002656</t>
        </is>
      </c>
      <c r="AZ326" t="inlineStr">
        <is>
          <t>BOOK</t>
        </is>
      </c>
      <c r="BB326" t="inlineStr">
        <is>
          <t>9780521482196</t>
        </is>
      </c>
      <c r="BC326" t="inlineStr">
        <is>
          <t>32285004483045</t>
        </is>
      </c>
      <c r="BD326" t="inlineStr">
        <is>
          <t>893318394</t>
        </is>
      </c>
    </row>
    <row r="327">
      <c r="A327" t="inlineStr">
        <is>
          <t>No</t>
        </is>
      </c>
      <c r="B327" t="inlineStr">
        <is>
          <t>QB601 .E5313 1990</t>
        </is>
      </c>
      <c r="C327" t="inlineStr">
        <is>
          <t>0                      QB 0601000E  5313        1990</t>
        </is>
      </c>
      <c r="D327" t="inlineStr">
        <is>
          <t>The solar system / T. Encrenaz, J.-P. Bibring, with the participation of M. Blanc ; translated by S. Dunlop.</t>
        </is>
      </c>
      <c r="F327" t="inlineStr">
        <is>
          <t>No</t>
        </is>
      </c>
      <c r="G327" t="inlineStr">
        <is>
          <t>1</t>
        </is>
      </c>
      <c r="H327" t="inlineStr">
        <is>
          <t>No</t>
        </is>
      </c>
      <c r="I327" t="inlineStr">
        <is>
          <t>No</t>
        </is>
      </c>
      <c r="J327" t="inlineStr">
        <is>
          <t>0</t>
        </is>
      </c>
      <c r="K327" t="inlineStr">
        <is>
          <t>Encrenaz, Thérèse, 1946-</t>
        </is>
      </c>
      <c r="L327" t="inlineStr">
        <is>
          <t>Berlin ; New York : Springer-Verlag, c1990.</t>
        </is>
      </c>
      <c r="M327" t="inlineStr">
        <is>
          <t>1990</t>
        </is>
      </c>
      <c r="O327" t="inlineStr">
        <is>
          <t>eng</t>
        </is>
      </c>
      <c r="P327" t="inlineStr">
        <is>
          <t xml:space="preserve">gw </t>
        </is>
      </c>
      <c r="Q327" t="inlineStr">
        <is>
          <t>Astronomy and astrophysics library</t>
        </is>
      </c>
      <c r="R327" t="inlineStr">
        <is>
          <t xml:space="preserve">QB </t>
        </is>
      </c>
      <c r="S327" t="n">
        <v>8</v>
      </c>
      <c r="T327" t="n">
        <v>8</v>
      </c>
      <c r="U327" t="inlineStr">
        <is>
          <t>1996-04-03</t>
        </is>
      </c>
      <c r="V327" t="inlineStr">
        <is>
          <t>1996-04-03</t>
        </is>
      </c>
      <c r="W327" t="inlineStr">
        <is>
          <t>1991-01-30</t>
        </is>
      </c>
      <c r="X327" t="inlineStr">
        <is>
          <t>1991-01-30</t>
        </is>
      </c>
      <c r="Y327" t="n">
        <v>397</v>
      </c>
      <c r="Z327" t="n">
        <v>317</v>
      </c>
      <c r="AA327" t="n">
        <v>475</v>
      </c>
      <c r="AB327" t="n">
        <v>2</v>
      </c>
      <c r="AC327" t="n">
        <v>2</v>
      </c>
      <c r="AD327" t="n">
        <v>14</v>
      </c>
      <c r="AE327" t="n">
        <v>19</v>
      </c>
      <c r="AF327" t="n">
        <v>4</v>
      </c>
      <c r="AG327" t="n">
        <v>5</v>
      </c>
      <c r="AH327" t="n">
        <v>3</v>
      </c>
      <c r="AI327" t="n">
        <v>4</v>
      </c>
      <c r="AJ327" t="n">
        <v>8</v>
      </c>
      <c r="AK327" t="n">
        <v>12</v>
      </c>
      <c r="AL327" t="n">
        <v>1</v>
      </c>
      <c r="AM327" t="n">
        <v>1</v>
      </c>
      <c r="AN327" t="n">
        <v>0</v>
      </c>
      <c r="AO327" t="n">
        <v>0</v>
      </c>
      <c r="AP327" t="inlineStr">
        <is>
          <t>No</t>
        </is>
      </c>
      <c r="AQ327" t="inlineStr">
        <is>
          <t>Yes</t>
        </is>
      </c>
      <c r="AR327">
        <f>HYPERLINK("http://catalog.hathitrust.org/Record/001949339","HathiTrust Record")</f>
        <v/>
      </c>
      <c r="AS327">
        <f>HYPERLINK("https://creighton-primo.hosted.exlibrisgroup.com/primo-explore/search?tab=default_tab&amp;search_scope=EVERYTHING&amp;vid=01CRU&amp;lang=en_US&amp;offset=0&amp;query=any,contains,991001512049702656","Catalog Record")</f>
        <v/>
      </c>
      <c r="AT327">
        <f>HYPERLINK("http://www.worldcat.org/oclc/19919828","WorldCat Record")</f>
        <v/>
      </c>
      <c r="AU327" t="inlineStr">
        <is>
          <t>21426791:eng</t>
        </is>
      </c>
      <c r="AV327" t="inlineStr">
        <is>
          <t>19919828</t>
        </is>
      </c>
      <c r="AW327" t="inlineStr">
        <is>
          <t>991001512049702656</t>
        </is>
      </c>
      <c r="AX327" t="inlineStr">
        <is>
          <t>991001512049702656</t>
        </is>
      </c>
      <c r="AY327" t="inlineStr">
        <is>
          <t>2256673040002656</t>
        </is>
      </c>
      <c r="AZ327" t="inlineStr">
        <is>
          <t>BOOK</t>
        </is>
      </c>
      <c r="BB327" t="inlineStr">
        <is>
          <t>9780387189109</t>
        </is>
      </c>
      <c r="BC327" t="inlineStr">
        <is>
          <t>32285000462225</t>
        </is>
      </c>
      <c r="BD327" t="inlineStr">
        <is>
          <t>893878924</t>
        </is>
      </c>
    </row>
    <row r="328">
      <c r="A328" t="inlineStr">
        <is>
          <t>No</t>
        </is>
      </c>
      <c r="B328" t="inlineStr">
        <is>
          <t>QB601 .J3</t>
        </is>
      </c>
      <c r="C328" t="inlineStr">
        <is>
          <t>0                      QB 0601000J  3</t>
        </is>
      </c>
      <c r="D328" t="inlineStr">
        <is>
          <t>Pictorial guide to the planets / [by] Joseph H. Jackson.</t>
        </is>
      </c>
      <c r="F328" t="inlineStr">
        <is>
          <t>No</t>
        </is>
      </c>
      <c r="G328" t="inlineStr">
        <is>
          <t>1</t>
        </is>
      </c>
      <c r="H328" t="inlineStr">
        <is>
          <t>No</t>
        </is>
      </c>
      <c r="I328" t="inlineStr">
        <is>
          <t>No</t>
        </is>
      </c>
      <c r="J328" t="inlineStr">
        <is>
          <t>0</t>
        </is>
      </c>
      <c r="K328" t="inlineStr">
        <is>
          <t>Jackson, Joseph Hollister.</t>
        </is>
      </c>
      <c r="L328" t="inlineStr">
        <is>
          <t>New York : T. Y. Crowell Co., [1965]</t>
        </is>
      </c>
      <c r="M328" t="inlineStr">
        <is>
          <t>1965</t>
        </is>
      </c>
      <c r="O328" t="inlineStr">
        <is>
          <t>eng</t>
        </is>
      </c>
      <c r="P328" t="inlineStr">
        <is>
          <t>nyu</t>
        </is>
      </c>
      <c r="R328" t="inlineStr">
        <is>
          <t xml:space="preserve">QB </t>
        </is>
      </c>
      <c r="S328" t="n">
        <v>3</v>
      </c>
      <c r="T328" t="n">
        <v>3</v>
      </c>
      <c r="U328" t="inlineStr">
        <is>
          <t>1998-04-29</t>
        </is>
      </c>
      <c r="V328" t="inlineStr">
        <is>
          <t>1998-04-29</t>
        </is>
      </c>
      <c r="W328" t="inlineStr">
        <is>
          <t>1994-02-03</t>
        </is>
      </c>
      <c r="X328" t="inlineStr">
        <is>
          <t>1994-02-03</t>
        </is>
      </c>
      <c r="Y328" t="n">
        <v>384</v>
      </c>
      <c r="Z328" t="n">
        <v>360</v>
      </c>
      <c r="AA328" t="n">
        <v>1073</v>
      </c>
      <c r="AB328" t="n">
        <v>3</v>
      </c>
      <c r="AC328" t="n">
        <v>5</v>
      </c>
      <c r="AD328" t="n">
        <v>7</v>
      </c>
      <c r="AE328" t="n">
        <v>21</v>
      </c>
      <c r="AF328" t="n">
        <v>3</v>
      </c>
      <c r="AG328" t="n">
        <v>12</v>
      </c>
      <c r="AH328" t="n">
        <v>0</v>
      </c>
      <c r="AI328" t="n">
        <v>3</v>
      </c>
      <c r="AJ328" t="n">
        <v>3</v>
      </c>
      <c r="AK328" t="n">
        <v>9</v>
      </c>
      <c r="AL328" t="n">
        <v>2</v>
      </c>
      <c r="AM328" t="n">
        <v>3</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HYPERLINK("https://creighton-primo.hosted.exlibrisgroup.com/primo-explore/search?tab=default_tab&amp;search_scope=EVERYTHING&amp;vid=01CRU&amp;lang=en_US&amp;offset=0&amp;query=any,contains,991003179679702656","Catalog Record")</f>
        <v/>
      </c>
      <c r="AT328">
        <f>HYPERLINK("http://www.worldcat.org/oclc/711495","WorldCat Record")</f>
        <v/>
      </c>
      <c r="AU328" t="inlineStr">
        <is>
          <t>402627:eng</t>
        </is>
      </c>
      <c r="AV328" t="inlineStr">
        <is>
          <t>711495</t>
        </is>
      </c>
      <c r="AW328" t="inlineStr">
        <is>
          <t>991003179679702656</t>
        </is>
      </c>
      <c r="AX328" t="inlineStr">
        <is>
          <t>991003179679702656</t>
        </is>
      </c>
      <c r="AY328" t="inlineStr">
        <is>
          <t>2262068850002656</t>
        </is>
      </c>
      <c r="AZ328" t="inlineStr">
        <is>
          <t>BOOK</t>
        </is>
      </c>
      <c r="BC328" t="inlineStr">
        <is>
          <t>32285001836633</t>
        </is>
      </c>
      <c r="BD328" t="inlineStr">
        <is>
          <t>893874501</t>
        </is>
      </c>
    </row>
    <row r="329">
      <c r="A329" t="inlineStr">
        <is>
          <t>No</t>
        </is>
      </c>
      <c r="B329" t="inlineStr">
        <is>
          <t>QB601 .M68</t>
        </is>
      </c>
      <c r="C329" t="inlineStr">
        <is>
          <t>0                      QB 0601000M  68</t>
        </is>
      </c>
      <c r="D329" t="inlineStr">
        <is>
          <t>The planets.</t>
        </is>
      </c>
      <c r="F329" t="inlineStr">
        <is>
          <t>No</t>
        </is>
      </c>
      <c r="G329" t="inlineStr">
        <is>
          <t>1</t>
        </is>
      </c>
      <c r="H329" t="inlineStr">
        <is>
          <t>No</t>
        </is>
      </c>
      <c r="I329" t="inlineStr">
        <is>
          <t>No</t>
        </is>
      </c>
      <c r="J329" t="inlineStr">
        <is>
          <t>0</t>
        </is>
      </c>
      <c r="K329" t="inlineStr">
        <is>
          <t>Moore, Patrick.</t>
        </is>
      </c>
      <c r="L329" t="inlineStr">
        <is>
          <t>New York, Norton [1962]</t>
        </is>
      </c>
      <c r="M329" t="inlineStr">
        <is>
          <t>1962</t>
        </is>
      </c>
      <c r="O329" t="inlineStr">
        <is>
          <t>eng</t>
        </is>
      </c>
      <c r="P329" t="inlineStr">
        <is>
          <t>nyu</t>
        </is>
      </c>
      <c r="R329" t="inlineStr">
        <is>
          <t xml:space="preserve">QB </t>
        </is>
      </c>
      <c r="S329" t="n">
        <v>2</v>
      </c>
      <c r="T329" t="n">
        <v>2</v>
      </c>
      <c r="U329" t="inlineStr">
        <is>
          <t>1998-04-29</t>
        </is>
      </c>
      <c r="V329" t="inlineStr">
        <is>
          <t>1998-04-29</t>
        </is>
      </c>
      <c r="W329" t="inlineStr">
        <is>
          <t>1997-05-05</t>
        </is>
      </c>
      <c r="X329" t="inlineStr">
        <is>
          <t>1997-05-05</t>
        </is>
      </c>
      <c r="Y329" t="n">
        <v>474</v>
      </c>
      <c r="Z329" t="n">
        <v>461</v>
      </c>
      <c r="AA329" t="n">
        <v>760</v>
      </c>
      <c r="AB329" t="n">
        <v>8</v>
      </c>
      <c r="AC329" t="n">
        <v>10</v>
      </c>
      <c r="AD329" t="n">
        <v>17</v>
      </c>
      <c r="AE329" t="n">
        <v>17</v>
      </c>
      <c r="AF329" t="n">
        <v>6</v>
      </c>
      <c r="AG329" t="n">
        <v>6</v>
      </c>
      <c r="AH329" t="n">
        <v>3</v>
      </c>
      <c r="AI329" t="n">
        <v>3</v>
      </c>
      <c r="AJ329" t="n">
        <v>7</v>
      </c>
      <c r="AK329" t="n">
        <v>7</v>
      </c>
      <c r="AL329" t="n">
        <v>5</v>
      </c>
      <c r="AM329" t="n">
        <v>5</v>
      </c>
      <c r="AN329" t="n">
        <v>0</v>
      </c>
      <c r="AO329" t="n">
        <v>0</v>
      </c>
      <c r="AP329" t="inlineStr">
        <is>
          <t>No</t>
        </is>
      </c>
      <c r="AQ329" t="inlineStr">
        <is>
          <t>No</t>
        </is>
      </c>
      <c r="AR329">
        <f>HYPERLINK("http://catalog.hathitrust.org/Record/006090516","HathiTrust Record")</f>
        <v/>
      </c>
      <c r="AS329">
        <f>HYPERLINK("https://creighton-primo.hosted.exlibrisgroup.com/primo-explore/search?tab=default_tab&amp;search_scope=EVERYTHING&amp;vid=01CRU&amp;lang=en_US&amp;offset=0&amp;query=any,contains,991002930429702656","Catalog Record")</f>
        <v/>
      </c>
      <c r="AT329">
        <f>HYPERLINK("http://www.worldcat.org/oclc/530695","WorldCat Record")</f>
        <v/>
      </c>
      <c r="AU329" t="inlineStr">
        <is>
          <t>1755147:eng</t>
        </is>
      </c>
      <c r="AV329" t="inlineStr">
        <is>
          <t>530695</t>
        </is>
      </c>
      <c r="AW329" t="inlineStr">
        <is>
          <t>991002930429702656</t>
        </is>
      </c>
      <c r="AX329" t="inlineStr">
        <is>
          <t>991002930429702656</t>
        </is>
      </c>
      <c r="AY329" t="inlineStr">
        <is>
          <t>2266511740002656</t>
        </is>
      </c>
      <c r="AZ329" t="inlineStr">
        <is>
          <t>BOOK</t>
        </is>
      </c>
      <c r="BC329" t="inlineStr">
        <is>
          <t>32285002642279</t>
        </is>
      </c>
      <c r="BD329" t="inlineStr">
        <is>
          <t>893239688</t>
        </is>
      </c>
    </row>
    <row r="330">
      <c r="A330" t="inlineStr">
        <is>
          <t>No</t>
        </is>
      </c>
      <c r="B330" t="inlineStr">
        <is>
          <t>QB601 .M757 1993</t>
        </is>
      </c>
      <c r="C330" t="inlineStr">
        <is>
          <t>0                      QB 0601000M  757         1993</t>
        </is>
      </c>
      <c r="D330" t="inlineStr">
        <is>
          <t>Exploring planetary worlds / David Morrison.</t>
        </is>
      </c>
      <c r="F330" t="inlineStr">
        <is>
          <t>No</t>
        </is>
      </c>
      <c r="G330" t="inlineStr">
        <is>
          <t>1</t>
        </is>
      </c>
      <c r="H330" t="inlineStr">
        <is>
          <t>No</t>
        </is>
      </c>
      <c r="I330" t="inlineStr">
        <is>
          <t>No</t>
        </is>
      </c>
      <c r="J330" t="inlineStr">
        <is>
          <t>0</t>
        </is>
      </c>
      <c r="K330" t="inlineStr">
        <is>
          <t>Morrison, David, 1940-</t>
        </is>
      </c>
      <c r="L330" t="inlineStr">
        <is>
          <t>New York : Scientific American Library : Distributed by W.H. Freeman and Co., c1993.</t>
        </is>
      </c>
      <c r="M330" t="inlineStr">
        <is>
          <t>1993</t>
        </is>
      </c>
      <c r="O330" t="inlineStr">
        <is>
          <t>eng</t>
        </is>
      </c>
      <c r="P330" t="inlineStr">
        <is>
          <t>nyu</t>
        </is>
      </c>
      <c r="Q330" t="inlineStr">
        <is>
          <t>Scientific American Library series ; no. 45</t>
        </is>
      </c>
      <c r="R330" t="inlineStr">
        <is>
          <t xml:space="preserve">QB </t>
        </is>
      </c>
      <c r="S330" t="n">
        <v>5</v>
      </c>
      <c r="T330" t="n">
        <v>5</v>
      </c>
      <c r="U330" t="inlineStr">
        <is>
          <t>1997-02-25</t>
        </is>
      </c>
      <c r="V330" t="inlineStr">
        <is>
          <t>1997-02-25</t>
        </is>
      </c>
      <c r="W330" t="inlineStr">
        <is>
          <t>1993-12-22</t>
        </is>
      </c>
      <c r="X330" t="inlineStr">
        <is>
          <t>1993-12-22</t>
        </is>
      </c>
      <c r="Y330" t="n">
        <v>853</v>
      </c>
      <c r="Z330" t="n">
        <v>750</v>
      </c>
      <c r="AA330" t="n">
        <v>759</v>
      </c>
      <c r="AB330" t="n">
        <v>5</v>
      </c>
      <c r="AC330" t="n">
        <v>5</v>
      </c>
      <c r="AD330" t="n">
        <v>22</v>
      </c>
      <c r="AE330" t="n">
        <v>22</v>
      </c>
      <c r="AF330" t="n">
        <v>8</v>
      </c>
      <c r="AG330" t="n">
        <v>8</v>
      </c>
      <c r="AH330" t="n">
        <v>4</v>
      </c>
      <c r="AI330" t="n">
        <v>4</v>
      </c>
      <c r="AJ330" t="n">
        <v>11</v>
      </c>
      <c r="AK330" t="n">
        <v>11</v>
      </c>
      <c r="AL330" t="n">
        <v>4</v>
      </c>
      <c r="AM330" t="n">
        <v>4</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HYPERLINK("https://creighton-primo.hosted.exlibrisgroup.com/primo-explore/search?tab=default_tab&amp;search_scope=EVERYTHING&amp;vid=01CRU&amp;lang=en_US&amp;offset=0&amp;query=any,contains,991002122089702656","Catalog Record")</f>
        <v/>
      </c>
      <c r="AT330">
        <f>HYPERLINK("http://www.worldcat.org/oclc/27186556","WorldCat Record")</f>
        <v/>
      </c>
      <c r="AU330" t="inlineStr">
        <is>
          <t>61906611:eng</t>
        </is>
      </c>
      <c r="AV330" t="inlineStr">
        <is>
          <t>27186556</t>
        </is>
      </c>
      <c r="AW330" t="inlineStr">
        <is>
          <t>991002122089702656</t>
        </is>
      </c>
      <c r="AX330" t="inlineStr">
        <is>
          <t>991002122089702656</t>
        </is>
      </c>
      <c r="AY330" t="inlineStr">
        <is>
          <t>2270396050002656</t>
        </is>
      </c>
      <c r="AZ330" t="inlineStr">
        <is>
          <t>BOOK</t>
        </is>
      </c>
      <c r="BB330" t="inlineStr">
        <is>
          <t>9780716750437</t>
        </is>
      </c>
      <c r="BC330" t="inlineStr">
        <is>
          <t>32285001817229</t>
        </is>
      </c>
      <c r="BD330" t="inlineStr">
        <is>
          <t>893232608</t>
        </is>
      </c>
    </row>
    <row r="331">
      <c r="A331" t="inlineStr">
        <is>
          <t>No</t>
        </is>
      </c>
      <c r="B331" t="inlineStr">
        <is>
          <t>QB601 .M86</t>
        </is>
      </c>
      <c r="C331" t="inlineStr">
        <is>
          <t>0                      QB 0601000M  86</t>
        </is>
      </c>
      <c r="D331" t="inlineStr">
        <is>
          <t>Earthlike planets : surfaces of Mercury, Venus, Earth, Moon, Mars / Bruce Murray, Michael C. Malin, Donald Greeley.</t>
        </is>
      </c>
      <c r="F331" t="inlineStr">
        <is>
          <t>No</t>
        </is>
      </c>
      <c r="G331" t="inlineStr">
        <is>
          <t>1</t>
        </is>
      </c>
      <c r="H331" t="inlineStr">
        <is>
          <t>No</t>
        </is>
      </c>
      <c r="I331" t="inlineStr">
        <is>
          <t>No</t>
        </is>
      </c>
      <c r="J331" t="inlineStr">
        <is>
          <t>0</t>
        </is>
      </c>
      <c r="K331" t="inlineStr">
        <is>
          <t>Murray, Bruce C.</t>
        </is>
      </c>
      <c r="L331" t="inlineStr">
        <is>
          <t>San Francisco : W. H. Freeman, c1981.</t>
        </is>
      </c>
      <c r="M331" t="inlineStr">
        <is>
          <t>1981</t>
        </is>
      </c>
      <c r="O331" t="inlineStr">
        <is>
          <t>eng</t>
        </is>
      </c>
      <c r="P331" t="inlineStr">
        <is>
          <t>cau</t>
        </is>
      </c>
      <c r="R331" t="inlineStr">
        <is>
          <t xml:space="preserve">QB </t>
        </is>
      </c>
      <c r="S331" t="n">
        <v>5</v>
      </c>
      <c r="T331" t="n">
        <v>5</v>
      </c>
      <c r="U331" t="inlineStr">
        <is>
          <t>1998-01-23</t>
        </is>
      </c>
      <c r="V331" t="inlineStr">
        <is>
          <t>1998-01-23</t>
        </is>
      </c>
      <c r="W331" t="inlineStr">
        <is>
          <t>1992-12-11</t>
        </is>
      </c>
      <c r="X331" t="inlineStr">
        <is>
          <t>1992-12-11</t>
        </is>
      </c>
      <c r="Y331" t="n">
        <v>678</v>
      </c>
      <c r="Z331" t="n">
        <v>531</v>
      </c>
      <c r="AA331" t="n">
        <v>538</v>
      </c>
      <c r="AB331" t="n">
        <v>4</v>
      </c>
      <c r="AC331" t="n">
        <v>4</v>
      </c>
      <c r="AD331" t="n">
        <v>17</v>
      </c>
      <c r="AE331" t="n">
        <v>17</v>
      </c>
      <c r="AF331" t="n">
        <v>2</v>
      </c>
      <c r="AG331" t="n">
        <v>2</v>
      </c>
      <c r="AH331" t="n">
        <v>4</v>
      </c>
      <c r="AI331" t="n">
        <v>4</v>
      </c>
      <c r="AJ331" t="n">
        <v>10</v>
      </c>
      <c r="AK331" t="n">
        <v>10</v>
      </c>
      <c r="AL331" t="n">
        <v>3</v>
      </c>
      <c r="AM331" t="n">
        <v>3</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HYPERLINK("https://creighton-primo.hosted.exlibrisgroup.com/primo-explore/search?tab=default_tab&amp;search_scope=EVERYTHING&amp;vid=01CRU&amp;lang=en_US&amp;offset=0&amp;query=any,contains,991005003429702656","Catalog Record")</f>
        <v/>
      </c>
      <c r="AT331">
        <f>HYPERLINK("http://www.worldcat.org/oclc/6555273","WorldCat Record")</f>
        <v/>
      </c>
      <c r="AU331" t="inlineStr">
        <is>
          <t>836660200:eng</t>
        </is>
      </c>
      <c r="AV331" t="inlineStr">
        <is>
          <t>6555273</t>
        </is>
      </c>
      <c r="AW331" t="inlineStr">
        <is>
          <t>991005003429702656</t>
        </is>
      </c>
      <c r="AX331" t="inlineStr">
        <is>
          <t>991005003429702656</t>
        </is>
      </c>
      <c r="AY331" t="inlineStr">
        <is>
          <t>2254901230002656</t>
        </is>
      </c>
      <c r="AZ331" t="inlineStr">
        <is>
          <t>BOOK</t>
        </is>
      </c>
      <c r="BB331" t="inlineStr">
        <is>
          <t>9780716711483</t>
        </is>
      </c>
      <c r="BC331" t="inlineStr">
        <is>
          <t>32285001441350</t>
        </is>
      </c>
      <c r="BD331" t="inlineStr">
        <is>
          <t>893883207</t>
        </is>
      </c>
    </row>
    <row r="332">
      <c r="A332" t="inlineStr">
        <is>
          <t>No</t>
        </is>
      </c>
      <c r="B332" t="inlineStr">
        <is>
          <t>QB601 .S6 1965</t>
        </is>
      </c>
      <c r="C332" t="inlineStr">
        <is>
          <t>0                      QB 0601000S  6           1965</t>
        </is>
      </c>
      <c r="D332" t="inlineStr">
        <is>
          <t>Neighbors of the earth; planets, comets, and the debris of space / edited by Thornton Page &amp; Lou Williams Page.</t>
        </is>
      </c>
      <c r="F332" t="inlineStr">
        <is>
          <t>No</t>
        </is>
      </c>
      <c r="G332" t="inlineStr">
        <is>
          <t>1</t>
        </is>
      </c>
      <c r="H332" t="inlineStr">
        <is>
          <t>No</t>
        </is>
      </c>
      <c r="I332" t="inlineStr">
        <is>
          <t>No</t>
        </is>
      </c>
      <c r="J332" t="inlineStr">
        <is>
          <t>0</t>
        </is>
      </c>
      <c r="K332" t="inlineStr">
        <is>
          <t>Sky and telescope.</t>
        </is>
      </c>
      <c r="L332" t="inlineStr">
        <is>
          <t>New York : Macmillan, c1965, 1970 printing.</t>
        </is>
      </c>
      <c r="M332" t="inlineStr">
        <is>
          <t>1965</t>
        </is>
      </c>
      <c r="O332" t="inlineStr">
        <is>
          <t>eng</t>
        </is>
      </c>
      <c r="P332" t="inlineStr">
        <is>
          <t>nyu</t>
        </is>
      </c>
      <c r="Q332" t="inlineStr">
        <is>
          <t>Sky and telescope library of astronomy ; v. 2</t>
        </is>
      </c>
      <c r="R332" t="inlineStr">
        <is>
          <t xml:space="preserve">QB </t>
        </is>
      </c>
      <c r="S332" t="n">
        <v>5</v>
      </c>
      <c r="T332" t="n">
        <v>5</v>
      </c>
      <c r="U332" t="inlineStr">
        <is>
          <t>1995-04-03</t>
        </is>
      </c>
      <c r="V332" t="inlineStr">
        <is>
          <t>1995-04-03</t>
        </is>
      </c>
      <c r="W332" t="inlineStr">
        <is>
          <t>1992-11-23</t>
        </is>
      </c>
      <c r="X332" t="inlineStr">
        <is>
          <t>1992-11-23</t>
        </is>
      </c>
      <c r="Y332" t="n">
        <v>512</v>
      </c>
      <c r="Z332" t="n">
        <v>463</v>
      </c>
      <c r="AA332" t="n">
        <v>466</v>
      </c>
      <c r="AB332" t="n">
        <v>3</v>
      </c>
      <c r="AC332" t="n">
        <v>3</v>
      </c>
      <c r="AD332" t="n">
        <v>11</v>
      </c>
      <c r="AE332" t="n">
        <v>11</v>
      </c>
      <c r="AF332" t="n">
        <v>4</v>
      </c>
      <c r="AG332" t="n">
        <v>4</v>
      </c>
      <c r="AH332" t="n">
        <v>3</v>
      </c>
      <c r="AI332" t="n">
        <v>3</v>
      </c>
      <c r="AJ332" t="n">
        <v>5</v>
      </c>
      <c r="AK332" t="n">
        <v>5</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HYPERLINK("https://creighton-primo.hosted.exlibrisgroup.com/primo-explore/search?tab=default_tab&amp;search_scope=EVERYTHING&amp;vid=01CRU&amp;lang=en_US&amp;offset=0&amp;query=any,contains,991002992399702656","Catalog Record")</f>
        <v/>
      </c>
      <c r="AT332">
        <f>HYPERLINK("http://www.worldcat.org/oclc/561561","WorldCat Record")</f>
        <v/>
      </c>
      <c r="AU332" t="inlineStr">
        <is>
          <t>1150899859:eng</t>
        </is>
      </c>
      <c r="AV332" t="inlineStr">
        <is>
          <t>561561</t>
        </is>
      </c>
      <c r="AW332" t="inlineStr">
        <is>
          <t>991002992399702656</t>
        </is>
      </c>
      <c r="AX332" t="inlineStr">
        <is>
          <t>991002992399702656</t>
        </is>
      </c>
      <c r="AY332" t="inlineStr">
        <is>
          <t>2255089300002656</t>
        </is>
      </c>
      <c r="AZ332" t="inlineStr">
        <is>
          <t>BOOK</t>
        </is>
      </c>
      <c r="BC332" t="inlineStr">
        <is>
          <t>32285001433522</t>
        </is>
      </c>
      <c r="BD332" t="inlineStr">
        <is>
          <t>893698550</t>
        </is>
      </c>
    </row>
    <row r="333">
      <c r="A333" t="inlineStr">
        <is>
          <t>No</t>
        </is>
      </c>
      <c r="B333" t="inlineStr">
        <is>
          <t>QB601 .S63 2006</t>
        </is>
      </c>
      <c r="C333" t="inlineStr">
        <is>
          <t>0                      QB 0601000S  63          2006</t>
        </is>
      </c>
      <c r="D333" t="inlineStr">
        <is>
          <t>The planets / Dava Sobel.</t>
        </is>
      </c>
      <c r="F333" t="inlineStr">
        <is>
          <t>No</t>
        </is>
      </c>
      <c r="G333" t="inlineStr">
        <is>
          <t>1</t>
        </is>
      </c>
      <c r="H333" t="inlineStr">
        <is>
          <t>No</t>
        </is>
      </c>
      <c r="I333" t="inlineStr">
        <is>
          <t>No</t>
        </is>
      </c>
      <c r="J333" t="inlineStr">
        <is>
          <t>0</t>
        </is>
      </c>
      <c r="K333" t="inlineStr">
        <is>
          <t>Sobel, Dava.</t>
        </is>
      </c>
      <c r="L333" t="inlineStr">
        <is>
          <t>New York : Penguin Books, 2006.</t>
        </is>
      </c>
      <c r="M333" t="inlineStr">
        <is>
          <t>2006</t>
        </is>
      </c>
      <c r="O333" t="inlineStr">
        <is>
          <t>eng</t>
        </is>
      </c>
      <c r="P333" t="inlineStr">
        <is>
          <t>nyu</t>
        </is>
      </c>
      <c r="R333" t="inlineStr">
        <is>
          <t xml:space="preserve">QB </t>
        </is>
      </c>
      <c r="S333" t="n">
        <v>1</v>
      </c>
      <c r="T333" t="n">
        <v>1</v>
      </c>
      <c r="U333" t="inlineStr">
        <is>
          <t>2007-10-31</t>
        </is>
      </c>
      <c r="V333" t="inlineStr">
        <is>
          <t>2007-10-31</t>
        </is>
      </c>
      <c r="W333" t="inlineStr">
        <is>
          <t>2007-10-31</t>
        </is>
      </c>
      <c r="X333" t="inlineStr">
        <is>
          <t>2007-10-31</t>
        </is>
      </c>
      <c r="Y333" t="n">
        <v>179</v>
      </c>
      <c r="Z333" t="n">
        <v>159</v>
      </c>
      <c r="AA333" t="n">
        <v>2073</v>
      </c>
      <c r="AB333" t="n">
        <v>1</v>
      </c>
      <c r="AC333" t="n">
        <v>15</v>
      </c>
      <c r="AD333" t="n">
        <v>1</v>
      </c>
      <c r="AE333" t="n">
        <v>30</v>
      </c>
      <c r="AF333" t="n">
        <v>0</v>
      </c>
      <c r="AG333" t="n">
        <v>12</v>
      </c>
      <c r="AH333" t="n">
        <v>0</v>
      </c>
      <c r="AI333" t="n">
        <v>4</v>
      </c>
      <c r="AJ333" t="n">
        <v>1</v>
      </c>
      <c r="AK333" t="n">
        <v>15</v>
      </c>
      <c r="AL333" t="n">
        <v>0</v>
      </c>
      <c r="AM333" t="n">
        <v>5</v>
      </c>
      <c r="AN333" t="n">
        <v>0</v>
      </c>
      <c r="AO333" t="n">
        <v>0</v>
      </c>
      <c r="AP333" t="inlineStr">
        <is>
          <t>No</t>
        </is>
      </c>
      <c r="AQ333" t="inlineStr">
        <is>
          <t>Yes</t>
        </is>
      </c>
      <c r="AR333">
        <f>HYPERLINK("http://catalog.hathitrust.org/Record/005885048","HathiTrust Record")</f>
        <v/>
      </c>
      <c r="AS333">
        <f>HYPERLINK("https://creighton-primo.hosted.exlibrisgroup.com/primo-explore/search?tab=default_tab&amp;search_scope=EVERYTHING&amp;vid=01CRU&amp;lang=en_US&amp;offset=0&amp;query=any,contains,991005131129702656","Catalog Record")</f>
        <v/>
      </c>
      <c r="AT333">
        <f>HYPERLINK("http://www.worldcat.org/oclc/74839818","WorldCat Record")</f>
        <v/>
      </c>
      <c r="AU333" t="inlineStr">
        <is>
          <t>889504:eng</t>
        </is>
      </c>
      <c r="AV333" t="inlineStr">
        <is>
          <t>74839818</t>
        </is>
      </c>
      <c r="AW333" t="inlineStr">
        <is>
          <t>991005131129702656</t>
        </is>
      </c>
      <c r="AX333" t="inlineStr">
        <is>
          <t>991005131129702656</t>
        </is>
      </c>
      <c r="AY333" t="inlineStr">
        <is>
          <t>2272159110002656</t>
        </is>
      </c>
      <c r="AZ333" t="inlineStr">
        <is>
          <t>BOOK</t>
        </is>
      </c>
      <c r="BB333" t="inlineStr">
        <is>
          <t>9780142001165</t>
        </is>
      </c>
      <c r="BC333" t="inlineStr">
        <is>
          <t>32285005363675</t>
        </is>
      </c>
      <c r="BD333" t="inlineStr">
        <is>
          <t>893795659</t>
        </is>
      </c>
    </row>
    <row r="334">
      <c r="A334" t="inlineStr">
        <is>
          <t>No</t>
        </is>
      </c>
      <c r="B334" t="inlineStr">
        <is>
          <t>QB601 .W6 1963</t>
        </is>
      </c>
      <c r="C334" t="inlineStr">
        <is>
          <t>0                      QB 0601000W  6           1963</t>
        </is>
      </c>
      <c r="D334" t="inlineStr">
        <is>
          <t>Earth, moon, and planets.</t>
        </is>
      </c>
      <c r="F334" t="inlineStr">
        <is>
          <t>No</t>
        </is>
      </c>
      <c r="G334" t="inlineStr">
        <is>
          <t>1</t>
        </is>
      </c>
      <c r="H334" t="inlineStr">
        <is>
          <t>No</t>
        </is>
      </c>
      <c r="I334" t="inlineStr">
        <is>
          <t>No</t>
        </is>
      </c>
      <c r="J334" t="inlineStr">
        <is>
          <t>0</t>
        </is>
      </c>
      <c r="K334" t="inlineStr">
        <is>
          <t>Whipple, Fred L. (Fred Lawrence), 1906-2004.</t>
        </is>
      </c>
      <c r="L334" t="inlineStr">
        <is>
          <t>Cambridge, Harvard University Press, 1963.</t>
        </is>
      </c>
      <c r="M334" t="inlineStr">
        <is>
          <t>1963</t>
        </is>
      </c>
      <c r="N334" t="inlineStr">
        <is>
          <t>Rev. ed.</t>
        </is>
      </c>
      <c r="O334" t="inlineStr">
        <is>
          <t>eng</t>
        </is>
      </c>
      <c r="P334" t="inlineStr">
        <is>
          <t>mau</t>
        </is>
      </c>
      <c r="Q334" t="inlineStr">
        <is>
          <t>The Harvard books on astronomy</t>
        </is>
      </c>
      <c r="R334" t="inlineStr">
        <is>
          <t xml:space="preserve">QB </t>
        </is>
      </c>
      <c r="S334" t="n">
        <v>3</v>
      </c>
      <c r="T334" t="n">
        <v>3</v>
      </c>
      <c r="U334" t="inlineStr">
        <is>
          <t>1998-04-29</t>
        </is>
      </c>
      <c r="V334" t="inlineStr">
        <is>
          <t>1998-04-29</t>
        </is>
      </c>
      <c r="W334" t="inlineStr">
        <is>
          <t>1997-05-05</t>
        </is>
      </c>
      <c r="X334" t="inlineStr">
        <is>
          <t>1997-05-05</t>
        </is>
      </c>
      <c r="Y334" t="n">
        <v>421</v>
      </c>
      <c r="Z334" t="n">
        <v>345</v>
      </c>
      <c r="AA334" t="n">
        <v>1038</v>
      </c>
      <c r="AB334" t="n">
        <v>4</v>
      </c>
      <c r="AC334" t="n">
        <v>9</v>
      </c>
      <c r="AD334" t="n">
        <v>9</v>
      </c>
      <c r="AE334" t="n">
        <v>40</v>
      </c>
      <c r="AF334" t="n">
        <v>3</v>
      </c>
      <c r="AG334" t="n">
        <v>13</v>
      </c>
      <c r="AH334" t="n">
        <v>1</v>
      </c>
      <c r="AI334" t="n">
        <v>5</v>
      </c>
      <c r="AJ334" t="n">
        <v>3</v>
      </c>
      <c r="AK334" t="n">
        <v>21</v>
      </c>
      <c r="AL334" t="n">
        <v>3</v>
      </c>
      <c r="AM334" t="n">
        <v>8</v>
      </c>
      <c r="AN334" t="n">
        <v>0</v>
      </c>
      <c r="AO334" t="n">
        <v>0</v>
      </c>
      <c r="AP334" t="inlineStr">
        <is>
          <t>No</t>
        </is>
      </c>
      <c r="AQ334" t="inlineStr">
        <is>
          <t>Yes</t>
        </is>
      </c>
      <c r="AR334">
        <f>HYPERLINK("http://catalog.hathitrust.org/Record/006255992","HathiTrust Record")</f>
        <v/>
      </c>
      <c r="AS334">
        <f>HYPERLINK("https://creighton-primo.hosted.exlibrisgroup.com/primo-explore/search?tab=default_tab&amp;search_scope=EVERYTHING&amp;vid=01CRU&amp;lang=en_US&amp;offset=0&amp;query=any,contains,991002300699702656","Catalog Record")</f>
        <v/>
      </c>
      <c r="AT334">
        <f>HYPERLINK("http://www.worldcat.org/oclc/317313","WorldCat Record")</f>
        <v/>
      </c>
      <c r="AU334" t="inlineStr">
        <is>
          <t>49525248:eng</t>
        </is>
      </c>
      <c r="AV334" t="inlineStr">
        <is>
          <t>317313</t>
        </is>
      </c>
      <c r="AW334" t="inlineStr">
        <is>
          <t>991002300699702656</t>
        </is>
      </c>
      <c r="AX334" t="inlineStr">
        <is>
          <t>991002300699702656</t>
        </is>
      </c>
      <c r="AY334" t="inlineStr">
        <is>
          <t>2267493550002656</t>
        </is>
      </c>
      <c r="AZ334" t="inlineStr">
        <is>
          <t>BOOK</t>
        </is>
      </c>
      <c r="BC334" t="inlineStr">
        <is>
          <t>32285002642329</t>
        </is>
      </c>
      <c r="BD334" t="inlineStr">
        <is>
          <t>893591191</t>
        </is>
      </c>
    </row>
    <row r="335">
      <c r="A335" t="inlineStr">
        <is>
          <t>No</t>
        </is>
      </c>
      <c r="B335" t="inlineStr">
        <is>
          <t>QB601 .W6 1981</t>
        </is>
      </c>
      <c r="C335" t="inlineStr">
        <is>
          <t>0                      QB 0601000W  6           1981</t>
        </is>
      </c>
      <c r="D335" t="inlineStr">
        <is>
          <t>Orbiting the sun : planets and satellites of the solar system / Fred L. Whipple.</t>
        </is>
      </c>
      <c r="F335" t="inlineStr">
        <is>
          <t>No</t>
        </is>
      </c>
      <c r="G335" t="inlineStr">
        <is>
          <t>1</t>
        </is>
      </c>
      <c r="H335" t="inlineStr">
        <is>
          <t>No</t>
        </is>
      </c>
      <c r="I335" t="inlineStr">
        <is>
          <t>No</t>
        </is>
      </c>
      <c r="J335" t="inlineStr">
        <is>
          <t>0</t>
        </is>
      </c>
      <c r="K335" t="inlineStr">
        <is>
          <t>Whipple, Fred L. (Fred Lawrence), 1906-2004.</t>
        </is>
      </c>
      <c r="L335" t="inlineStr">
        <is>
          <t>Cambridge, Mass. : Harvard University Press, 1981, c1980.</t>
        </is>
      </c>
      <c r="M335" t="inlineStr">
        <is>
          <t>1981</t>
        </is>
      </c>
      <c r="O335" t="inlineStr">
        <is>
          <t>eng</t>
        </is>
      </c>
      <c r="P335" t="inlineStr">
        <is>
          <t>mau</t>
        </is>
      </c>
      <c r="Q335" t="inlineStr">
        <is>
          <t>The Harvard books on astronomy</t>
        </is>
      </c>
      <c r="R335" t="inlineStr">
        <is>
          <t xml:space="preserve">QB </t>
        </is>
      </c>
      <c r="S335" t="n">
        <v>8</v>
      </c>
      <c r="T335" t="n">
        <v>8</v>
      </c>
      <c r="U335" t="inlineStr">
        <is>
          <t>2001-05-08</t>
        </is>
      </c>
      <c r="V335" t="inlineStr">
        <is>
          <t>2001-05-08</t>
        </is>
      </c>
      <c r="W335" t="inlineStr">
        <is>
          <t>1992-05-12</t>
        </is>
      </c>
      <c r="X335" t="inlineStr">
        <is>
          <t>1992-05-12</t>
        </is>
      </c>
      <c r="Y335" t="n">
        <v>1050</v>
      </c>
      <c r="Z335" t="n">
        <v>956</v>
      </c>
      <c r="AA335" t="n">
        <v>967</v>
      </c>
      <c r="AB335" t="n">
        <v>10</v>
      </c>
      <c r="AC335" t="n">
        <v>10</v>
      </c>
      <c r="AD335" t="n">
        <v>32</v>
      </c>
      <c r="AE335" t="n">
        <v>32</v>
      </c>
      <c r="AF335" t="n">
        <v>11</v>
      </c>
      <c r="AG335" t="n">
        <v>11</v>
      </c>
      <c r="AH335" t="n">
        <v>5</v>
      </c>
      <c r="AI335" t="n">
        <v>5</v>
      </c>
      <c r="AJ335" t="n">
        <v>15</v>
      </c>
      <c r="AK335" t="n">
        <v>15</v>
      </c>
      <c r="AL335" t="n">
        <v>6</v>
      </c>
      <c r="AM335" t="n">
        <v>6</v>
      </c>
      <c r="AN335" t="n">
        <v>0</v>
      </c>
      <c r="AO335" t="n">
        <v>0</v>
      </c>
      <c r="AP335" t="inlineStr">
        <is>
          <t>No</t>
        </is>
      </c>
      <c r="AQ335" t="inlineStr">
        <is>
          <t>Yes</t>
        </is>
      </c>
      <c r="AR335">
        <f>HYPERLINK("http://catalog.hathitrust.org/Record/000182419","HathiTrust Record")</f>
        <v/>
      </c>
      <c r="AS335">
        <f>HYPERLINK("https://creighton-primo.hosted.exlibrisgroup.com/primo-explore/search?tab=default_tab&amp;search_scope=EVERYTHING&amp;vid=01CRU&amp;lang=en_US&amp;offset=0&amp;query=any,contains,991005008309702656","Catalog Record")</f>
        <v/>
      </c>
      <c r="AT335">
        <f>HYPERLINK("http://www.worldcat.org/oclc/6581486","WorldCat Record")</f>
        <v/>
      </c>
      <c r="AU335" t="inlineStr">
        <is>
          <t>836661025:eng</t>
        </is>
      </c>
      <c r="AV335" t="inlineStr">
        <is>
          <t>6581486</t>
        </is>
      </c>
      <c r="AW335" t="inlineStr">
        <is>
          <t>991005008309702656</t>
        </is>
      </c>
      <c r="AX335" t="inlineStr">
        <is>
          <t>991005008309702656</t>
        </is>
      </c>
      <c r="AY335" t="inlineStr">
        <is>
          <t>2258245360002656</t>
        </is>
      </c>
      <c r="AZ335" t="inlineStr">
        <is>
          <t>BOOK</t>
        </is>
      </c>
      <c r="BB335" t="inlineStr">
        <is>
          <t>9780674641259</t>
        </is>
      </c>
      <c r="BC335" t="inlineStr">
        <is>
          <t>32285001097830</t>
        </is>
      </c>
      <c r="BD335" t="inlineStr">
        <is>
          <t>893625346</t>
        </is>
      </c>
    </row>
    <row r="336">
      <c r="A336" t="inlineStr">
        <is>
          <t>No</t>
        </is>
      </c>
      <c r="B336" t="inlineStr">
        <is>
          <t>QB601.9 .M36 1999</t>
        </is>
      </c>
      <c r="C336" t="inlineStr">
        <is>
          <t>0                      QB 0601900M  36          1999</t>
        </is>
      </c>
      <c r="D336" t="inlineStr">
        <is>
          <t>The planets / David McNab and James Younger.</t>
        </is>
      </c>
      <c r="F336" t="inlineStr">
        <is>
          <t>No</t>
        </is>
      </c>
      <c r="G336" t="inlineStr">
        <is>
          <t>1</t>
        </is>
      </c>
      <c r="H336" t="inlineStr">
        <is>
          <t>No</t>
        </is>
      </c>
      <c r="I336" t="inlineStr">
        <is>
          <t>No</t>
        </is>
      </c>
      <c r="J336" t="inlineStr">
        <is>
          <t>0</t>
        </is>
      </c>
      <c r="K336" t="inlineStr">
        <is>
          <t>McNab, David.</t>
        </is>
      </c>
      <c r="L336" t="inlineStr">
        <is>
          <t>New Haven [Conn.] : Yale University Press, c1999.</t>
        </is>
      </c>
      <c r="M336" t="inlineStr">
        <is>
          <t>1999</t>
        </is>
      </c>
      <c r="O336" t="inlineStr">
        <is>
          <t>eng</t>
        </is>
      </c>
      <c r="P336" t="inlineStr">
        <is>
          <t>ctu</t>
        </is>
      </c>
      <c r="R336" t="inlineStr">
        <is>
          <t xml:space="preserve">QB </t>
        </is>
      </c>
      <c r="S336" t="n">
        <v>4</v>
      </c>
      <c r="T336" t="n">
        <v>4</v>
      </c>
      <c r="U336" t="inlineStr">
        <is>
          <t>2004-09-22</t>
        </is>
      </c>
      <c r="V336" t="inlineStr">
        <is>
          <t>2004-09-22</t>
        </is>
      </c>
      <c r="W336" t="inlineStr">
        <is>
          <t>1999-09-22</t>
        </is>
      </c>
      <c r="X336" t="inlineStr">
        <is>
          <t>1999-09-22</t>
        </is>
      </c>
      <c r="Y336" t="n">
        <v>986</v>
      </c>
      <c r="Z336" t="n">
        <v>944</v>
      </c>
      <c r="AA336" t="n">
        <v>958</v>
      </c>
      <c r="AB336" t="n">
        <v>12</v>
      </c>
      <c r="AC336" t="n">
        <v>12</v>
      </c>
      <c r="AD336" t="n">
        <v>19</v>
      </c>
      <c r="AE336" t="n">
        <v>19</v>
      </c>
      <c r="AF336" t="n">
        <v>8</v>
      </c>
      <c r="AG336" t="n">
        <v>8</v>
      </c>
      <c r="AH336" t="n">
        <v>6</v>
      </c>
      <c r="AI336" t="n">
        <v>6</v>
      </c>
      <c r="AJ336" t="n">
        <v>8</v>
      </c>
      <c r="AK336" t="n">
        <v>8</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HYPERLINK("https://creighton-primo.hosted.exlibrisgroup.com/primo-explore/search?tab=default_tab&amp;search_scope=EVERYTHING&amp;vid=01CRU&amp;lang=en_US&amp;offset=0&amp;query=any,contains,991003041599702656","Catalog Record")</f>
        <v/>
      </c>
      <c r="AT336">
        <f>HYPERLINK("http://www.worldcat.org/oclc/42207862","WorldCat Record")</f>
        <v/>
      </c>
      <c r="AU336" t="inlineStr">
        <is>
          <t>18018211:eng</t>
        </is>
      </c>
      <c r="AV336" t="inlineStr">
        <is>
          <t>42207862</t>
        </is>
      </c>
      <c r="AW336" t="inlineStr">
        <is>
          <t>991003041599702656</t>
        </is>
      </c>
      <c r="AX336" t="inlineStr">
        <is>
          <t>991003041599702656</t>
        </is>
      </c>
      <c r="AY336" t="inlineStr">
        <is>
          <t>2262004570002656</t>
        </is>
      </c>
      <c r="AZ336" t="inlineStr">
        <is>
          <t>BOOK</t>
        </is>
      </c>
      <c r="BB336" t="inlineStr">
        <is>
          <t>9780300080445</t>
        </is>
      </c>
      <c r="BC336" t="inlineStr">
        <is>
          <t>32285003590097</t>
        </is>
      </c>
      <c r="BD336" t="inlineStr">
        <is>
          <t>893251958</t>
        </is>
      </c>
    </row>
    <row r="337">
      <c r="A337" t="inlineStr">
        <is>
          <t>No</t>
        </is>
      </c>
      <c r="B337" t="inlineStr">
        <is>
          <t>QB601.9 .P55 1983</t>
        </is>
      </c>
      <c r="C337" t="inlineStr">
        <is>
          <t>0                      QB 0601900P  55          1983</t>
        </is>
      </c>
      <c r="D337" t="inlineStr">
        <is>
          <t>The Planets : readings from Scientific American / selected and introduced by Bruce Murray ; foreword by Carl Sagan ; sponsored by the Planetary Society.</t>
        </is>
      </c>
      <c r="F337" t="inlineStr">
        <is>
          <t>No</t>
        </is>
      </c>
      <c r="G337" t="inlineStr">
        <is>
          <t>1</t>
        </is>
      </c>
      <c r="H337" t="inlineStr">
        <is>
          <t>No</t>
        </is>
      </c>
      <c r="I337" t="inlineStr">
        <is>
          <t>No</t>
        </is>
      </c>
      <c r="J337" t="inlineStr">
        <is>
          <t>0</t>
        </is>
      </c>
      <c r="L337" t="inlineStr">
        <is>
          <t>San Francisco : Freeman, c1983.</t>
        </is>
      </c>
      <c r="M337" t="inlineStr">
        <is>
          <t>1983</t>
        </is>
      </c>
      <c r="O337" t="inlineStr">
        <is>
          <t>eng</t>
        </is>
      </c>
      <c r="P337" t="inlineStr">
        <is>
          <t>cau</t>
        </is>
      </c>
      <c r="R337" t="inlineStr">
        <is>
          <t xml:space="preserve">QB </t>
        </is>
      </c>
      <c r="S337" t="n">
        <v>3</v>
      </c>
      <c r="T337" t="n">
        <v>3</v>
      </c>
      <c r="U337" t="inlineStr">
        <is>
          <t>1995-05-02</t>
        </is>
      </c>
      <c r="V337" t="inlineStr">
        <is>
          <t>1995-05-02</t>
        </is>
      </c>
      <c r="W337" t="inlineStr">
        <is>
          <t>1992-11-23</t>
        </is>
      </c>
      <c r="X337" t="inlineStr">
        <is>
          <t>1992-11-23</t>
        </is>
      </c>
      <c r="Y337" t="n">
        <v>470</v>
      </c>
      <c r="Z337" t="n">
        <v>408</v>
      </c>
      <c r="AA337" t="n">
        <v>413</v>
      </c>
      <c r="AB337" t="n">
        <v>3</v>
      </c>
      <c r="AC337" t="n">
        <v>3</v>
      </c>
      <c r="AD337" t="n">
        <v>7</v>
      </c>
      <c r="AE337" t="n">
        <v>7</v>
      </c>
      <c r="AF337" t="n">
        <v>3</v>
      </c>
      <c r="AG337" t="n">
        <v>3</v>
      </c>
      <c r="AH337" t="n">
        <v>1</v>
      </c>
      <c r="AI337" t="n">
        <v>1</v>
      </c>
      <c r="AJ337" t="n">
        <v>3</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HYPERLINK("https://creighton-primo.hosted.exlibrisgroup.com/primo-explore/search?tab=default_tab&amp;search_scope=EVERYTHING&amp;vid=01CRU&amp;lang=en_US&amp;offset=0&amp;query=any,contains,991000116669702656","Catalog Record")</f>
        <v/>
      </c>
      <c r="AT337">
        <f>HYPERLINK("http://www.worldcat.org/oclc/9042611","WorldCat Record")</f>
        <v/>
      </c>
      <c r="AU337" t="inlineStr">
        <is>
          <t>53316063:eng</t>
        </is>
      </c>
      <c r="AV337" t="inlineStr">
        <is>
          <t>9042611</t>
        </is>
      </c>
      <c r="AW337" t="inlineStr">
        <is>
          <t>991000116669702656</t>
        </is>
      </c>
      <c r="AX337" t="inlineStr">
        <is>
          <t>991000116669702656</t>
        </is>
      </c>
      <c r="AY337" t="inlineStr">
        <is>
          <t>2265325050002656</t>
        </is>
      </c>
      <c r="AZ337" t="inlineStr">
        <is>
          <t>BOOK</t>
        </is>
      </c>
      <c r="BB337" t="inlineStr">
        <is>
          <t>9780716714682</t>
        </is>
      </c>
      <c r="BC337" t="inlineStr">
        <is>
          <t>32285001433555</t>
        </is>
      </c>
      <c r="BD337" t="inlineStr">
        <is>
          <t>893714322</t>
        </is>
      </c>
    </row>
    <row r="338">
      <c r="A338" t="inlineStr">
        <is>
          <t>No</t>
        </is>
      </c>
      <c r="B338" t="inlineStr">
        <is>
          <t>QB603.A85 B37 1981</t>
        </is>
      </c>
      <c r="C338" t="inlineStr">
        <is>
          <t>0                      QB 0603000A  85                 B  37          1981</t>
        </is>
      </c>
      <c r="D338" t="inlineStr">
        <is>
          <t>Atmospheres, a view of the gaseous envelopes surrounding members of our solar system / James P. Barbato, Elizabeth A. Ayer.</t>
        </is>
      </c>
      <c r="F338" t="inlineStr">
        <is>
          <t>No</t>
        </is>
      </c>
      <c r="G338" t="inlineStr">
        <is>
          <t>1</t>
        </is>
      </c>
      <c r="H338" t="inlineStr">
        <is>
          <t>No</t>
        </is>
      </c>
      <c r="I338" t="inlineStr">
        <is>
          <t>No</t>
        </is>
      </c>
      <c r="J338" t="inlineStr">
        <is>
          <t>0</t>
        </is>
      </c>
      <c r="K338" t="inlineStr">
        <is>
          <t>Barbato, James P. (James Paul), 1943-</t>
        </is>
      </c>
      <c r="L338" t="inlineStr">
        <is>
          <t>New York : Pergamon Press, c1981.</t>
        </is>
      </c>
      <c r="M338" t="inlineStr">
        <is>
          <t>1981</t>
        </is>
      </c>
      <c r="O338" t="inlineStr">
        <is>
          <t>eng</t>
        </is>
      </c>
      <c r="P338" t="inlineStr">
        <is>
          <t>nyu</t>
        </is>
      </c>
      <c r="R338" t="inlineStr">
        <is>
          <t xml:space="preserve">QB </t>
        </is>
      </c>
      <c r="S338" t="n">
        <v>7</v>
      </c>
      <c r="T338" t="n">
        <v>7</v>
      </c>
      <c r="U338" t="inlineStr">
        <is>
          <t>1997-11-21</t>
        </is>
      </c>
      <c r="V338" t="inlineStr">
        <is>
          <t>1997-11-21</t>
        </is>
      </c>
      <c r="W338" t="inlineStr">
        <is>
          <t>1992-03-16</t>
        </is>
      </c>
      <c r="X338" t="inlineStr">
        <is>
          <t>1992-03-16</t>
        </is>
      </c>
      <c r="Y338" t="n">
        <v>405</v>
      </c>
      <c r="Z338" t="n">
        <v>327</v>
      </c>
      <c r="AA338" t="n">
        <v>333</v>
      </c>
      <c r="AB338" t="n">
        <v>3</v>
      </c>
      <c r="AC338" t="n">
        <v>3</v>
      </c>
      <c r="AD338" t="n">
        <v>6</v>
      </c>
      <c r="AE338" t="n">
        <v>6</v>
      </c>
      <c r="AF338" t="n">
        <v>1</v>
      </c>
      <c r="AG338" t="n">
        <v>1</v>
      </c>
      <c r="AH338" t="n">
        <v>0</v>
      </c>
      <c r="AI338" t="n">
        <v>0</v>
      </c>
      <c r="AJ338" t="n">
        <v>3</v>
      </c>
      <c r="AK338" t="n">
        <v>3</v>
      </c>
      <c r="AL338" t="n">
        <v>2</v>
      </c>
      <c r="AM338" t="n">
        <v>2</v>
      </c>
      <c r="AN338" t="n">
        <v>0</v>
      </c>
      <c r="AO338" t="n">
        <v>0</v>
      </c>
      <c r="AP338" t="inlineStr">
        <is>
          <t>No</t>
        </is>
      </c>
      <c r="AQ338" t="inlineStr">
        <is>
          <t>Yes</t>
        </is>
      </c>
      <c r="AR338">
        <f>HYPERLINK("http://catalog.hathitrust.org/Record/000181058","HathiTrust Record")</f>
        <v/>
      </c>
      <c r="AS338">
        <f>HYPERLINK("https://creighton-primo.hosted.exlibrisgroup.com/primo-explore/search?tab=default_tab&amp;search_scope=EVERYTHING&amp;vid=01CRU&amp;lang=en_US&amp;offset=0&amp;query=any,contains,991005096889702656","Catalog Record")</f>
        <v/>
      </c>
      <c r="AT338">
        <f>HYPERLINK("http://www.worldcat.org/oclc/7274928","WorldCat Record")</f>
        <v/>
      </c>
      <c r="AU338" t="inlineStr">
        <is>
          <t>407696:eng</t>
        </is>
      </c>
      <c r="AV338" t="inlineStr">
        <is>
          <t>7274928</t>
        </is>
      </c>
      <c r="AW338" t="inlineStr">
        <is>
          <t>991005096889702656</t>
        </is>
      </c>
      <c r="AX338" t="inlineStr">
        <is>
          <t>991005096889702656</t>
        </is>
      </c>
      <c r="AY338" t="inlineStr">
        <is>
          <t>2260207880002656</t>
        </is>
      </c>
      <c r="AZ338" t="inlineStr">
        <is>
          <t>BOOK</t>
        </is>
      </c>
      <c r="BB338" t="inlineStr">
        <is>
          <t>9780080255828</t>
        </is>
      </c>
      <c r="BC338" t="inlineStr">
        <is>
          <t>32285001021814</t>
        </is>
      </c>
      <c r="BD338" t="inlineStr">
        <is>
          <t>893795600</t>
        </is>
      </c>
    </row>
    <row r="339">
      <c r="A339" t="inlineStr">
        <is>
          <t>No</t>
        </is>
      </c>
      <c r="B339" t="inlineStr">
        <is>
          <t>QB603.A85 O75 1989</t>
        </is>
      </c>
      <c r="C339" t="inlineStr">
        <is>
          <t>0                      QB 0603000A  85                 O  75          1989</t>
        </is>
      </c>
      <c r="D339" t="inlineStr">
        <is>
          <t>Origin and evolution of planetary and satellite atmospheres / S.K. Atreya, J.B. Pollack, M.S. Matthews, editors ; with 50 collaborating authors.</t>
        </is>
      </c>
      <c r="F339" t="inlineStr">
        <is>
          <t>No</t>
        </is>
      </c>
      <c r="G339" t="inlineStr">
        <is>
          <t>1</t>
        </is>
      </c>
      <c r="H339" t="inlineStr">
        <is>
          <t>No</t>
        </is>
      </c>
      <c r="I339" t="inlineStr">
        <is>
          <t>No</t>
        </is>
      </c>
      <c r="J339" t="inlineStr">
        <is>
          <t>0</t>
        </is>
      </c>
      <c r="L339" t="inlineStr">
        <is>
          <t>Tucson : University of Arizona Press, c1989.</t>
        </is>
      </c>
      <c r="M339" t="inlineStr">
        <is>
          <t>1989</t>
        </is>
      </c>
      <c r="O339" t="inlineStr">
        <is>
          <t>eng</t>
        </is>
      </c>
      <c r="P339" t="inlineStr">
        <is>
          <t>azu</t>
        </is>
      </c>
      <c r="Q339" t="inlineStr">
        <is>
          <t>Space science series</t>
        </is>
      </c>
      <c r="R339" t="inlineStr">
        <is>
          <t xml:space="preserve">QB </t>
        </is>
      </c>
      <c r="S339" t="n">
        <v>1</v>
      </c>
      <c r="T339" t="n">
        <v>1</v>
      </c>
      <c r="U339" t="inlineStr">
        <is>
          <t>1995-11-11</t>
        </is>
      </c>
      <c r="V339" t="inlineStr">
        <is>
          <t>1995-11-11</t>
        </is>
      </c>
      <c r="W339" t="inlineStr">
        <is>
          <t>1992-02-26</t>
        </is>
      </c>
      <c r="X339" t="inlineStr">
        <is>
          <t>1992-02-26</t>
        </is>
      </c>
      <c r="Y339" t="n">
        <v>311</v>
      </c>
      <c r="Z339" t="n">
        <v>244</v>
      </c>
      <c r="AA339" t="n">
        <v>246</v>
      </c>
      <c r="AB339" t="n">
        <v>3</v>
      </c>
      <c r="AC339" t="n">
        <v>3</v>
      </c>
      <c r="AD339" t="n">
        <v>8</v>
      </c>
      <c r="AE339" t="n">
        <v>8</v>
      </c>
      <c r="AF339" t="n">
        <v>1</v>
      </c>
      <c r="AG339" t="n">
        <v>1</v>
      </c>
      <c r="AH339" t="n">
        <v>2</v>
      </c>
      <c r="AI339" t="n">
        <v>2</v>
      </c>
      <c r="AJ339" t="n">
        <v>4</v>
      </c>
      <c r="AK339" t="n">
        <v>4</v>
      </c>
      <c r="AL339" t="n">
        <v>2</v>
      </c>
      <c r="AM339" t="n">
        <v>2</v>
      </c>
      <c r="AN339" t="n">
        <v>0</v>
      </c>
      <c r="AO339" t="n">
        <v>0</v>
      </c>
      <c r="AP339" t="inlineStr">
        <is>
          <t>No</t>
        </is>
      </c>
      <c r="AQ339" t="inlineStr">
        <is>
          <t>Yes</t>
        </is>
      </c>
      <c r="AR339">
        <f>HYPERLINK("http://catalog.hathitrust.org/Record/001295246","HathiTrust Record")</f>
        <v/>
      </c>
      <c r="AS339">
        <f>HYPERLINK("https://creighton-primo.hosted.exlibrisgroup.com/primo-explore/search?tab=default_tab&amp;search_scope=EVERYTHING&amp;vid=01CRU&amp;lang=en_US&amp;offset=0&amp;query=any,contains,991001435369702656","Catalog Record")</f>
        <v/>
      </c>
      <c r="AT339">
        <f>HYPERLINK("http://www.worldcat.org/oclc/19128676","WorldCat Record")</f>
        <v/>
      </c>
      <c r="AU339" t="inlineStr">
        <is>
          <t>350446529:eng</t>
        </is>
      </c>
      <c r="AV339" t="inlineStr">
        <is>
          <t>19128676</t>
        </is>
      </c>
      <c r="AW339" t="inlineStr">
        <is>
          <t>991001435369702656</t>
        </is>
      </c>
      <c r="AX339" t="inlineStr">
        <is>
          <t>991001435369702656</t>
        </is>
      </c>
      <c r="AY339" t="inlineStr">
        <is>
          <t>2272299510002656</t>
        </is>
      </c>
      <c r="AZ339" t="inlineStr">
        <is>
          <t>BOOK</t>
        </is>
      </c>
      <c r="BB339" t="inlineStr">
        <is>
          <t>9780816511051</t>
        </is>
      </c>
      <c r="BC339" t="inlineStr">
        <is>
          <t>32285000976968</t>
        </is>
      </c>
      <c r="BD339" t="inlineStr">
        <is>
          <t>893797583</t>
        </is>
      </c>
    </row>
    <row r="340">
      <c r="A340" t="inlineStr">
        <is>
          <t>No</t>
        </is>
      </c>
      <c r="B340" t="inlineStr">
        <is>
          <t>QB603.I53 C65 1984</t>
        </is>
      </c>
      <c r="C340" t="inlineStr">
        <is>
          <t>0                      QB 0603000I  53                 C  65          1984</t>
        </is>
      </c>
      <c r="D340" t="inlineStr">
        <is>
          <t>Physics of planetary interiors / G. H. A. Cole.</t>
        </is>
      </c>
      <c r="F340" t="inlineStr">
        <is>
          <t>No</t>
        </is>
      </c>
      <c r="G340" t="inlineStr">
        <is>
          <t>1</t>
        </is>
      </c>
      <c r="H340" t="inlineStr">
        <is>
          <t>No</t>
        </is>
      </c>
      <c r="I340" t="inlineStr">
        <is>
          <t>No</t>
        </is>
      </c>
      <c r="J340" t="inlineStr">
        <is>
          <t>0</t>
        </is>
      </c>
      <c r="K340" t="inlineStr">
        <is>
          <t>Cole, G. H. A.</t>
        </is>
      </c>
      <c r="L340" t="inlineStr">
        <is>
          <t>Bristol : Adam Hilger ; 1984.</t>
        </is>
      </c>
      <c r="M340" t="inlineStr">
        <is>
          <t>1984</t>
        </is>
      </c>
      <c r="O340" t="inlineStr">
        <is>
          <t>eng</t>
        </is>
      </c>
      <c r="P340" t="inlineStr">
        <is>
          <t>enk</t>
        </is>
      </c>
      <c r="R340" t="inlineStr">
        <is>
          <t xml:space="preserve">QB </t>
        </is>
      </c>
      <c r="S340" t="n">
        <v>1</v>
      </c>
      <c r="T340" t="n">
        <v>1</v>
      </c>
      <c r="U340" t="inlineStr">
        <is>
          <t>1997-11-21</t>
        </is>
      </c>
      <c r="V340" t="inlineStr">
        <is>
          <t>1997-11-21</t>
        </is>
      </c>
      <c r="W340" t="inlineStr">
        <is>
          <t>1992-11-23</t>
        </is>
      </c>
      <c r="X340" t="inlineStr">
        <is>
          <t>1992-11-23</t>
        </is>
      </c>
      <c r="Y340" t="n">
        <v>330</v>
      </c>
      <c r="Z340" t="n">
        <v>234</v>
      </c>
      <c r="AA340" t="n">
        <v>242</v>
      </c>
      <c r="AB340" t="n">
        <v>3</v>
      </c>
      <c r="AC340" t="n">
        <v>3</v>
      </c>
      <c r="AD340" t="n">
        <v>6</v>
      </c>
      <c r="AE340" t="n">
        <v>6</v>
      </c>
      <c r="AF340" t="n">
        <v>0</v>
      </c>
      <c r="AG340" t="n">
        <v>0</v>
      </c>
      <c r="AH340" t="n">
        <v>2</v>
      </c>
      <c r="AI340" t="n">
        <v>2</v>
      </c>
      <c r="AJ340" t="n">
        <v>3</v>
      </c>
      <c r="AK340" t="n">
        <v>3</v>
      </c>
      <c r="AL340" t="n">
        <v>2</v>
      </c>
      <c r="AM340" t="n">
        <v>2</v>
      </c>
      <c r="AN340" t="n">
        <v>0</v>
      </c>
      <c r="AO340" t="n">
        <v>0</v>
      </c>
      <c r="AP340" t="inlineStr">
        <is>
          <t>No</t>
        </is>
      </c>
      <c r="AQ340" t="inlineStr">
        <is>
          <t>Yes</t>
        </is>
      </c>
      <c r="AR340">
        <f>HYPERLINK("http://catalog.hathitrust.org/Record/000418184","HathiTrust Record")</f>
        <v/>
      </c>
      <c r="AS340">
        <f>HYPERLINK("https://creighton-primo.hosted.exlibrisgroup.com/primo-explore/search?tab=default_tab&amp;search_scope=EVERYTHING&amp;vid=01CRU&amp;lang=en_US&amp;offset=0&amp;query=any,contains,991000540529702656","Catalog Record")</f>
        <v/>
      </c>
      <c r="AT340">
        <f>HYPERLINK("http://www.worldcat.org/oclc/12549679","WorldCat Record")</f>
        <v/>
      </c>
      <c r="AU340" t="inlineStr">
        <is>
          <t>1079331:eng</t>
        </is>
      </c>
      <c r="AV340" t="inlineStr">
        <is>
          <t>12549679</t>
        </is>
      </c>
      <c r="AW340" t="inlineStr">
        <is>
          <t>991000540529702656</t>
        </is>
      </c>
      <c r="AX340" t="inlineStr">
        <is>
          <t>991000540529702656</t>
        </is>
      </c>
      <c r="AY340" t="inlineStr">
        <is>
          <t>2267826670002656</t>
        </is>
      </c>
      <c r="AZ340" t="inlineStr">
        <is>
          <t>BOOK</t>
        </is>
      </c>
      <c r="BB340" t="inlineStr">
        <is>
          <t>9780852744451</t>
        </is>
      </c>
      <c r="BC340" t="inlineStr">
        <is>
          <t>32285001433597</t>
        </is>
      </c>
      <c r="BD340" t="inlineStr">
        <is>
          <t>893720725</t>
        </is>
      </c>
    </row>
    <row r="341">
      <c r="A341" t="inlineStr">
        <is>
          <t>No</t>
        </is>
      </c>
      <c r="B341" t="inlineStr">
        <is>
          <t>QB603.M6 G66 1996</t>
        </is>
      </c>
      <c r="C341" t="inlineStr">
        <is>
          <t>0                      QB 0603000M  6                  G  66          1996</t>
        </is>
      </c>
      <c r="D341" t="inlineStr">
        <is>
          <t>Feynman's lost lecture : the motion of planets around the sun / David L. Goodstein and Judith R. Goodstein.</t>
        </is>
      </c>
      <c r="F341" t="inlineStr">
        <is>
          <t>No</t>
        </is>
      </c>
      <c r="G341" t="inlineStr">
        <is>
          <t>1</t>
        </is>
      </c>
      <c r="H341" t="inlineStr">
        <is>
          <t>No</t>
        </is>
      </c>
      <c r="I341" t="inlineStr">
        <is>
          <t>No</t>
        </is>
      </c>
      <c r="J341" t="inlineStr">
        <is>
          <t>0</t>
        </is>
      </c>
      <c r="K341" t="inlineStr">
        <is>
          <t>Goodstein, David L., 1939-</t>
        </is>
      </c>
      <c r="L341" t="inlineStr">
        <is>
          <t>New York : Norton, c1996.</t>
        </is>
      </c>
      <c r="M341" t="inlineStr">
        <is>
          <t>1996</t>
        </is>
      </c>
      <c r="N341" t="inlineStr">
        <is>
          <t>1st ed.</t>
        </is>
      </c>
      <c r="O341" t="inlineStr">
        <is>
          <t>eng</t>
        </is>
      </c>
      <c r="P341" t="inlineStr">
        <is>
          <t>nyu</t>
        </is>
      </c>
      <c r="R341" t="inlineStr">
        <is>
          <t xml:space="preserve">QB </t>
        </is>
      </c>
      <c r="S341" t="n">
        <v>2</v>
      </c>
      <c r="T341" t="n">
        <v>2</v>
      </c>
      <c r="U341" t="inlineStr">
        <is>
          <t>2007-10-08</t>
        </is>
      </c>
      <c r="V341" t="inlineStr">
        <is>
          <t>2007-10-08</t>
        </is>
      </c>
      <c r="W341" t="inlineStr">
        <is>
          <t>1996-09-05</t>
        </is>
      </c>
      <c r="X341" t="inlineStr">
        <is>
          <t>1996-09-05</t>
        </is>
      </c>
      <c r="Y341" t="n">
        <v>905</v>
      </c>
      <c r="Z341" t="n">
        <v>825</v>
      </c>
      <c r="AA341" t="n">
        <v>943</v>
      </c>
      <c r="AB341" t="n">
        <v>4</v>
      </c>
      <c r="AC341" t="n">
        <v>4</v>
      </c>
      <c r="AD341" t="n">
        <v>24</v>
      </c>
      <c r="AE341" t="n">
        <v>25</v>
      </c>
      <c r="AF341" t="n">
        <v>8</v>
      </c>
      <c r="AG341" t="n">
        <v>9</v>
      </c>
      <c r="AH341" t="n">
        <v>6</v>
      </c>
      <c r="AI341" t="n">
        <v>6</v>
      </c>
      <c r="AJ341" t="n">
        <v>13</v>
      </c>
      <c r="AK341" t="n">
        <v>14</v>
      </c>
      <c r="AL341" t="n">
        <v>2</v>
      </c>
      <c r="AM341" t="n">
        <v>2</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HYPERLINK("https://creighton-primo.hosted.exlibrisgroup.com/primo-explore/search?tab=default_tab&amp;search_scope=EVERYTHING&amp;vid=01CRU&amp;lang=en_US&amp;offset=0&amp;query=any,contains,991004596619702656","Catalog Record")</f>
        <v/>
      </c>
      <c r="AT341">
        <f>HYPERLINK("http://www.worldcat.org/oclc/33078849","WorldCat Record")</f>
        <v/>
      </c>
      <c r="AU341" t="inlineStr">
        <is>
          <t>24137241:eng</t>
        </is>
      </c>
      <c r="AV341" t="inlineStr">
        <is>
          <t>33078849</t>
        </is>
      </c>
      <c r="AW341" t="inlineStr">
        <is>
          <t>991004596619702656</t>
        </is>
      </c>
      <c r="AX341" t="inlineStr">
        <is>
          <t>991004596619702656</t>
        </is>
      </c>
      <c r="AY341" t="inlineStr">
        <is>
          <t>2255414360002656</t>
        </is>
      </c>
      <c r="AZ341" t="inlineStr">
        <is>
          <t>BOOK</t>
        </is>
      </c>
      <c r="BB341" t="inlineStr">
        <is>
          <t>9780393039184</t>
        </is>
      </c>
      <c r="BC341" t="inlineStr">
        <is>
          <t>32285002198231</t>
        </is>
      </c>
      <c r="BD341" t="inlineStr">
        <is>
          <t>893801124</t>
        </is>
      </c>
    </row>
    <row r="342">
      <c r="A342" t="inlineStr">
        <is>
          <t>No</t>
        </is>
      </c>
      <c r="B342" t="inlineStr">
        <is>
          <t>QB603.R55 E44 1984</t>
        </is>
      </c>
      <c r="C342" t="inlineStr">
        <is>
          <t>0                      QB 0603000R  55                 E  44          1984</t>
        </is>
      </c>
      <c r="D342" t="inlineStr">
        <is>
          <t>Rings : discoveries from Galileo to Voyager / James Elliot and Richard Kerr.</t>
        </is>
      </c>
      <c r="F342" t="inlineStr">
        <is>
          <t>No</t>
        </is>
      </c>
      <c r="G342" t="inlineStr">
        <is>
          <t>1</t>
        </is>
      </c>
      <c r="H342" t="inlineStr">
        <is>
          <t>No</t>
        </is>
      </c>
      <c r="I342" t="inlineStr">
        <is>
          <t>No</t>
        </is>
      </c>
      <c r="J342" t="inlineStr">
        <is>
          <t>0</t>
        </is>
      </c>
      <c r="K342" t="inlineStr">
        <is>
          <t>Elliot, James, 1943-2011.</t>
        </is>
      </c>
      <c r="L342" t="inlineStr">
        <is>
          <t>Cambridge, Mass. : MIT Press, c1984.</t>
        </is>
      </c>
      <c r="M342" t="inlineStr">
        <is>
          <t>1984</t>
        </is>
      </c>
      <c r="O342" t="inlineStr">
        <is>
          <t>eng</t>
        </is>
      </c>
      <c r="P342" t="inlineStr">
        <is>
          <t>mau</t>
        </is>
      </c>
      <c r="R342" t="inlineStr">
        <is>
          <t xml:space="preserve">QB </t>
        </is>
      </c>
      <c r="S342" t="n">
        <v>5</v>
      </c>
      <c r="T342" t="n">
        <v>5</v>
      </c>
      <c r="U342" t="inlineStr">
        <is>
          <t>1999-11-10</t>
        </is>
      </c>
      <c r="V342" t="inlineStr">
        <is>
          <t>1999-11-10</t>
        </is>
      </c>
      <c r="W342" t="inlineStr">
        <is>
          <t>1992-11-23</t>
        </is>
      </c>
      <c r="X342" t="inlineStr">
        <is>
          <t>1992-11-23</t>
        </is>
      </c>
      <c r="Y342" t="n">
        <v>706</v>
      </c>
      <c r="Z342" t="n">
        <v>637</v>
      </c>
      <c r="AA342" t="n">
        <v>719</v>
      </c>
      <c r="AB342" t="n">
        <v>6</v>
      </c>
      <c r="AC342" t="n">
        <v>6</v>
      </c>
      <c r="AD342" t="n">
        <v>19</v>
      </c>
      <c r="AE342" t="n">
        <v>23</v>
      </c>
      <c r="AF342" t="n">
        <v>7</v>
      </c>
      <c r="AG342" t="n">
        <v>11</v>
      </c>
      <c r="AH342" t="n">
        <v>4</v>
      </c>
      <c r="AI342" t="n">
        <v>5</v>
      </c>
      <c r="AJ342" t="n">
        <v>7</v>
      </c>
      <c r="AK342" t="n">
        <v>8</v>
      </c>
      <c r="AL342" t="n">
        <v>5</v>
      </c>
      <c r="AM342" t="n">
        <v>5</v>
      </c>
      <c r="AN342" t="n">
        <v>0</v>
      </c>
      <c r="AO342" t="n">
        <v>0</v>
      </c>
      <c r="AP342" t="inlineStr">
        <is>
          <t>No</t>
        </is>
      </c>
      <c r="AQ342" t="inlineStr">
        <is>
          <t>Yes</t>
        </is>
      </c>
      <c r="AR342">
        <f>HYPERLINK("http://catalog.hathitrust.org/Record/000452106","HathiTrust Record")</f>
        <v/>
      </c>
      <c r="AS342">
        <f>HYPERLINK("https://creighton-primo.hosted.exlibrisgroup.com/primo-explore/search?tab=default_tab&amp;search_scope=EVERYTHING&amp;vid=01CRU&amp;lang=en_US&amp;offset=0&amp;query=any,contains,991000425209702656","Catalog Record")</f>
        <v/>
      </c>
      <c r="AT342">
        <f>HYPERLINK("http://www.worldcat.org/oclc/10753126","WorldCat Record")</f>
        <v/>
      </c>
      <c r="AU342" t="inlineStr">
        <is>
          <t>815001521:eng</t>
        </is>
      </c>
      <c r="AV342" t="inlineStr">
        <is>
          <t>10753126</t>
        </is>
      </c>
      <c r="AW342" t="inlineStr">
        <is>
          <t>991000425209702656</t>
        </is>
      </c>
      <c r="AX342" t="inlineStr">
        <is>
          <t>991000425209702656</t>
        </is>
      </c>
      <c r="AY342" t="inlineStr">
        <is>
          <t>2265429720002656</t>
        </is>
      </c>
      <c r="AZ342" t="inlineStr">
        <is>
          <t>BOOK</t>
        </is>
      </c>
      <c r="BB342" t="inlineStr">
        <is>
          <t>9780262050319</t>
        </is>
      </c>
      <c r="BC342" t="inlineStr">
        <is>
          <t>32285001433605</t>
        </is>
      </c>
      <c r="BD342" t="inlineStr">
        <is>
          <t>893589427</t>
        </is>
      </c>
    </row>
    <row r="343">
      <c r="A343" t="inlineStr">
        <is>
          <t>No</t>
        </is>
      </c>
      <c r="B343" t="inlineStr">
        <is>
          <t>QB603.S95 C36 2002</t>
        </is>
      </c>
      <c r="C343" t="inlineStr">
        <is>
          <t>0                      QB 0603000S  95                 C  36          2002</t>
        </is>
      </c>
      <c r="D343" t="inlineStr">
        <is>
          <t>Radar remote sensing of planetary surfaces / Bruce A. Campbell.</t>
        </is>
      </c>
      <c r="F343" t="inlineStr">
        <is>
          <t>No</t>
        </is>
      </c>
      <c r="G343" t="inlineStr">
        <is>
          <t>1</t>
        </is>
      </c>
      <c r="H343" t="inlineStr">
        <is>
          <t>No</t>
        </is>
      </c>
      <c r="I343" t="inlineStr">
        <is>
          <t>No</t>
        </is>
      </c>
      <c r="J343" t="inlineStr">
        <is>
          <t>0</t>
        </is>
      </c>
      <c r="K343" t="inlineStr">
        <is>
          <t>Campbell, Bruce A. (Bruce Allan), 1964-</t>
        </is>
      </c>
      <c r="L343" t="inlineStr">
        <is>
          <t>Cambridge ; New York : Cambridge University Press, 2002.</t>
        </is>
      </c>
      <c r="M343" t="inlineStr">
        <is>
          <t>2002</t>
        </is>
      </c>
      <c r="O343" t="inlineStr">
        <is>
          <t>eng</t>
        </is>
      </c>
      <c r="P343" t="inlineStr">
        <is>
          <t>enk</t>
        </is>
      </c>
      <c r="R343" t="inlineStr">
        <is>
          <t xml:space="preserve">QB </t>
        </is>
      </c>
      <c r="S343" t="n">
        <v>2</v>
      </c>
      <c r="T343" t="n">
        <v>2</v>
      </c>
      <c r="U343" t="inlineStr">
        <is>
          <t>2004-02-03</t>
        </is>
      </c>
      <c r="V343" t="inlineStr">
        <is>
          <t>2004-02-03</t>
        </is>
      </c>
      <c r="W343" t="inlineStr">
        <is>
          <t>2004-02-03</t>
        </is>
      </c>
      <c r="X343" t="inlineStr">
        <is>
          <t>2004-02-03</t>
        </is>
      </c>
      <c r="Y343" t="n">
        <v>230</v>
      </c>
      <c r="Z343" t="n">
        <v>173</v>
      </c>
      <c r="AA343" t="n">
        <v>185</v>
      </c>
      <c r="AB343" t="n">
        <v>1</v>
      </c>
      <c r="AC343" t="n">
        <v>1</v>
      </c>
      <c r="AD343" t="n">
        <v>4</v>
      </c>
      <c r="AE343" t="n">
        <v>6</v>
      </c>
      <c r="AF343" t="n">
        <v>1</v>
      </c>
      <c r="AG343" t="n">
        <v>2</v>
      </c>
      <c r="AH343" t="n">
        <v>3</v>
      </c>
      <c r="AI343" t="n">
        <v>4</v>
      </c>
      <c r="AJ343" t="n">
        <v>2</v>
      </c>
      <c r="AK343" t="n">
        <v>2</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HYPERLINK("https://creighton-primo.hosted.exlibrisgroup.com/primo-explore/search?tab=default_tab&amp;search_scope=EVERYTHING&amp;vid=01CRU&amp;lang=en_US&amp;offset=0&amp;query=any,contains,991004181049702656","Catalog Record")</f>
        <v/>
      </c>
      <c r="AT343">
        <f>HYPERLINK("http://www.worldcat.org/oclc/47216164","WorldCat Record")</f>
        <v/>
      </c>
      <c r="AU343" t="inlineStr">
        <is>
          <t>9572969:eng</t>
        </is>
      </c>
      <c r="AV343" t="inlineStr">
        <is>
          <t>47216164</t>
        </is>
      </c>
      <c r="AW343" t="inlineStr">
        <is>
          <t>991004181049702656</t>
        </is>
      </c>
      <c r="AX343" t="inlineStr">
        <is>
          <t>991004181049702656</t>
        </is>
      </c>
      <c r="AY343" t="inlineStr">
        <is>
          <t>2255753300002656</t>
        </is>
      </c>
      <c r="AZ343" t="inlineStr">
        <is>
          <t>BOOK</t>
        </is>
      </c>
      <c r="BB343" t="inlineStr">
        <is>
          <t>9780521583084</t>
        </is>
      </c>
      <c r="BC343" t="inlineStr">
        <is>
          <t>32285004636865</t>
        </is>
      </c>
      <c r="BD343" t="inlineStr">
        <is>
          <t>893722312</t>
        </is>
      </c>
    </row>
    <row r="344">
      <c r="A344" t="inlineStr">
        <is>
          <t>No</t>
        </is>
      </c>
      <c r="B344" t="inlineStr">
        <is>
          <t>QB605 .B74 1982</t>
        </is>
      </c>
      <c r="C344" t="inlineStr">
        <is>
          <t>0                      QB 0605000B  74          1982</t>
        </is>
      </c>
      <c r="D344" t="inlineStr">
        <is>
          <t>The Cambridge photographic atlas of the planets / Geoffrey Briggs, Fredric Taylor.</t>
        </is>
      </c>
      <c r="F344" t="inlineStr">
        <is>
          <t>No</t>
        </is>
      </c>
      <c r="G344" t="inlineStr">
        <is>
          <t>1</t>
        </is>
      </c>
      <c r="H344" t="inlineStr">
        <is>
          <t>No</t>
        </is>
      </c>
      <c r="I344" t="inlineStr">
        <is>
          <t>No</t>
        </is>
      </c>
      <c r="J344" t="inlineStr">
        <is>
          <t>0</t>
        </is>
      </c>
      <c r="K344" t="inlineStr">
        <is>
          <t>Briggs, Geoffrey, 1941-</t>
        </is>
      </c>
      <c r="L344" t="inlineStr">
        <is>
          <t>Cambridge [Cambridgeshire] ; New York : Cambridge University Press, 1982.</t>
        </is>
      </c>
      <c r="M344" t="inlineStr">
        <is>
          <t>1982</t>
        </is>
      </c>
      <c r="O344" t="inlineStr">
        <is>
          <t>eng</t>
        </is>
      </c>
      <c r="P344" t="inlineStr">
        <is>
          <t>enk</t>
        </is>
      </c>
      <c r="R344" t="inlineStr">
        <is>
          <t xml:space="preserve">QB </t>
        </is>
      </c>
      <c r="S344" t="n">
        <v>5</v>
      </c>
      <c r="T344" t="n">
        <v>5</v>
      </c>
      <c r="U344" t="inlineStr">
        <is>
          <t>1997-02-20</t>
        </is>
      </c>
      <c r="V344" t="inlineStr">
        <is>
          <t>1997-02-20</t>
        </is>
      </c>
      <c r="W344" t="inlineStr">
        <is>
          <t>1992-11-23</t>
        </is>
      </c>
      <c r="X344" t="inlineStr">
        <is>
          <t>1992-11-23</t>
        </is>
      </c>
      <c r="Y344" t="n">
        <v>1272</v>
      </c>
      <c r="Z344" t="n">
        <v>1076</v>
      </c>
      <c r="AA344" t="n">
        <v>1116</v>
      </c>
      <c r="AB344" t="n">
        <v>6</v>
      </c>
      <c r="AC344" t="n">
        <v>6</v>
      </c>
      <c r="AD344" t="n">
        <v>18</v>
      </c>
      <c r="AE344" t="n">
        <v>18</v>
      </c>
      <c r="AF344" t="n">
        <v>8</v>
      </c>
      <c r="AG344" t="n">
        <v>8</v>
      </c>
      <c r="AH344" t="n">
        <v>2</v>
      </c>
      <c r="AI344" t="n">
        <v>2</v>
      </c>
      <c r="AJ344" t="n">
        <v>7</v>
      </c>
      <c r="AK344" t="n">
        <v>7</v>
      </c>
      <c r="AL344" t="n">
        <v>4</v>
      </c>
      <c r="AM344" t="n">
        <v>4</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HYPERLINK("https://creighton-primo.hosted.exlibrisgroup.com/primo-explore/search?tab=default_tab&amp;search_scope=EVERYTHING&amp;vid=01CRU&amp;lang=en_US&amp;offset=0&amp;query=any,contains,991005162359702656","Catalog Record")</f>
        <v/>
      </c>
      <c r="AT344">
        <f>HYPERLINK("http://www.worldcat.org/oclc/7796646","WorldCat Record")</f>
        <v/>
      </c>
      <c r="AU344" t="inlineStr">
        <is>
          <t>64020483:eng</t>
        </is>
      </c>
      <c r="AV344" t="inlineStr">
        <is>
          <t>7796646</t>
        </is>
      </c>
      <c r="AW344" t="inlineStr">
        <is>
          <t>991005162359702656</t>
        </is>
      </c>
      <c r="AX344" t="inlineStr">
        <is>
          <t>991005162359702656</t>
        </is>
      </c>
      <c r="AY344" t="inlineStr">
        <is>
          <t>2266253340002656</t>
        </is>
      </c>
      <c r="AZ344" t="inlineStr">
        <is>
          <t>BOOK</t>
        </is>
      </c>
      <c r="BB344" t="inlineStr">
        <is>
          <t>9780521239769</t>
        </is>
      </c>
      <c r="BC344" t="inlineStr">
        <is>
          <t>32285001433639</t>
        </is>
      </c>
      <c r="BD344" t="inlineStr">
        <is>
          <t>893533288</t>
        </is>
      </c>
    </row>
    <row r="345">
      <c r="A345" t="inlineStr">
        <is>
          <t>No</t>
        </is>
      </c>
      <c r="B345" t="inlineStr">
        <is>
          <t>QB61 .E35</t>
        </is>
      </c>
      <c r="C345" t="inlineStr">
        <is>
          <t>0                      QB 0061000E  35</t>
        </is>
      </c>
      <c r="D345" t="inlineStr">
        <is>
          <t>Effective astronomy teaching and student reasoning ability : a workshop / by Dennis Schatz... [et al.] ; with a pref. by Paul H. Knappenberger, Jr.</t>
        </is>
      </c>
      <c r="F345" t="inlineStr">
        <is>
          <t>No</t>
        </is>
      </c>
      <c r="G345" t="inlineStr">
        <is>
          <t>1</t>
        </is>
      </c>
      <c r="H345" t="inlineStr">
        <is>
          <t>No</t>
        </is>
      </c>
      <c r="I345" t="inlineStr">
        <is>
          <t>No</t>
        </is>
      </c>
      <c r="J345" t="inlineStr">
        <is>
          <t>0</t>
        </is>
      </c>
      <c r="L345" t="inlineStr">
        <is>
          <t>Berkeley : Lawrence Hall of Science, University of California, 1978.</t>
        </is>
      </c>
      <c r="M345" t="inlineStr">
        <is>
          <t>1978</t>
        </is>
      </c>
      <c r="O345" t="inlineStr">
        <is>
          <t>eng</t>
        </is>
      </c>
      <c r="P345" t="inlineStr">
        <is>
          <t>cau</t>
        </is>
      </c>
      <c r="R345" t="inlineStr">
        <is>
          <t xml:space="preserve">QB </t>
        </is>
      </c>
      <c r="S345" t="n">
        <v>2</v>
      </c>
      <c r="T345" t="n">
        <v>2</v>
      </c>
      <c r="U345" t="inlineStr">
        <is>
          <t>1997-08-29</t>
        </is>
      </c>
      <c r="V345" t="inlineStr">
        <is>
          <t>1997-08-29</t>
        </is>
      </c>
      <c r="W345" t="inlineStr">
        <is>
          <t>1992-11-17</t>
        </is>
      </c>
      <c r="X345" t="inlineStr">
        <is>
          <t>1992-11-17</t>
        </is>
      </c>
      <c r="Y345" t="n">
        <v>46</v>
      </c>
      <c r="Z345" t="n">
        <v>41</v>
      </c>
      <c r="AA345" t="n">
        <v>44</v>
      </c>
      <c r="AB345" t="n">
        <v>1</v>
      </c>
      <c r="AC345" t="n">
        <v>1</v>
      </c>
      <c r="AD345" t="n">
        <v>2</v>
      </c>
      <c r="AE345" t="n">
        <v>2</v>
      </c>
      <c r="AF345" t="n">
        <v>1</v>
      </c>
      <c r="AG345" t="n">
        <v>1</v>
      </c>
      <c r="AH345" t="n">
        <v>0</v>
      </c>
      <c r="AI345" t="n">
        <v>0</v>
      </c>
      <c r="AJ345" t="n">
        <v>2</v>
      </c>
      <c r="AK345" t="n">
        <v>2</v>
      </c>
      <c r="AL345" t="n">
        <v>0</v>
      </c>
      <c r="AM345" t="n">
        <v>0</v>
      </c>
      <c r="AN345" t="n">
        <v>0</v>
      </c>
      <c r="AO345" t="n">
        <v>0</v>
      </c>
      <c r="AP345" t="inlineStr">
        <is>
          <t>No</t>
        </is>
      </c>
      <c r="AQ345" t="inlineStr">
        <is>
          <t>Yes</t>
        </is>
      </c>
      <c r="AR345">
        <f>HYPERLINK("http://catalog.hathitrust.org/Record/000301754","HathiTrust Record")</f>
        <v/>
      </c>
      <c r="AS345">
        <f>HYPERLINK("https://creighton-primo.hosted.exlibrisgroup.com/primo-explore/search?tab=default_tab&amp;search_scope=EVERYTHING&amp;vid=01CRU&amp;lang=en_US&amp;offset=0&amp;query=any,contains,991004760099702656","Catalog Record")</f>
        <v/>
      </c>
      <c r="AT345">
        <f>HYPERLINK("http://www.worldcat.org/oclc/4992934","WorldCat Record")</f>
        <v/>
      </c>
      <c r="AU345" t="inlineStr">
        <is>
          <t>1881990765:eng</t>
        </is>
      </c>
      <c r="AV345" t="inlineStr">
        <is>
          <t>4992934</t>
        </is>
      </c>
      <c r="AW345" t="inlineStr">
        <is>
          <t>991004760099702656</t>
        </is>
      </c>
      <c r="AX345" t="inlineStr">
        <is>
          <t>991004760099702656</t>
        </is>
      </c>
      <c r="AY345" t="inlineStr">
        <is>
          <t>2261826730002656</t>
        </is>
      </c>
      <c r="AZ345" t="inlineStr">
        <is>
          <t>BOOK</t>
        </is>
      </c>
      <c r="BC345" t="inlineStr">
        <is>
          <t>32285001431757</t>
        </is>
      </c>
      <c r="BD345" t="inlineStr">
        <is>
          <t>893688113</t>
        </is>
      </c>
    </row>
    <row r="346">
      <c r="A346" t="inlineStr">
        <is>
          <t>No</t>
        </is>
      </c>
      <c r="B346" t="inlineStr">
        <is>
          <t>QB61 .L47 1997</t>
        </is>
      </c>
      <c r="C346" t="inlineStr">
        <is>
          <t>0                      QB 0061000L  47          1997</t>
        </is>
      </c>
      <c r="D346" t="inlineStr">
        <is>
          <t>Sharing the sky : a parent's and teacher's guide to astronomy / David H. Levy, Larry A. Lebofsky, Nancy R. Lebofsky.</t>
        </is>
      </c>
      <c r="F346" t="inlineStr">
        <is>
          <t>No</t>
        </is>
      </c>
      <c r="G346" t="inlineStr">
        <is>
          <t>1</t>
        </is>
      </c>
      <c r="H346" t="inlineStr">
        <is>
          <t>No</t>
        </is>
      </c>
      <c r="I346" t="inlineStr">
        <is>
          <t>No</t>
        </is>
      </c>
      <c r="J346" t="inlineStr">
        <is>
          <t>0</t>
        </is>
      </c>
      <c r="K346" t="inlineStr">
        <is>
          <t>Levy, David H., 1948-</t>
        </is>
      </c>
      <c r="L346" t="inlineStr">
        <is>
          <t>New York : Plenum Press, c1997.</t>
        </is>
      </c>
      <c r="M346" t="inlineStr">
        <is>
          <t>1997</t>
        </is>
      </c>
      <c r="O346" t="inlineStr">
        <is>
          <t>eng</t>
        </is>
      </c>
      <c r="P346" t="inlineStr">
        <is>
          <t>nyu</t>
        </is>
      </c>
      <c r="R346" t="inlineStr">
        <is>
          <t xml:space="preserve">QB </t>
        </is>
      </c>
      <c r="S346" t="n">
        <v>3</v>
      </c>
      <c r="T346" t="n">
        <v>3</v>
      </c>
      <c r="U346" t="inlineStr">
        <is>
          <t>2004-09-29</t>
        </is>
      </c>
      <c r="V346" t="inlineStr">
        <is>
          <t>2004-09-29</t>
        </is>
      </c>
      <c r="W346" t="inlineStr">
        <is>
          <t>1998-08-13</t>
        </is>
      </c>
      <c r="X346" t="inlineStr">
        <is>
          <t>1998-08-13</t>
        </is>
      </c>
      <c r="Y346" t="n">
        <v>434</v>
      </c>
      <c r="Z346" t="n">
        <v>421</v>
      </c>
      <c r="AA346" t="n">
        <v>450</v>
      </c>
      <c r="AB346" t="n">
        <v>3</v>
      </c>
      <c r="AC346" t="n">
        <v>3</v>
      </c>
      <c r="AD346" t="n">
        <v>19</v>
      </c>
      <c r="AE346" t="n">
        <v>20</v>
      </c>
      <c r="AF346" t="n">
        <v>11</v>
      </c>
      <c r="AG346" t="n">
        <v>12</v>
      </c>
      <c r="AH346" t="n">
        <v>4</v>
      </c>
      <c r="AI346" t="n">
        <v>4</v>
      </c>
      <c r="AJ346" t="n">
        <v>6</v>
      </c>
      <c r="AK346" t="n">
        <v>7</v>
      </c>
      <c r="AL346" t="n">
        <v>2</v>
      </c>
      <c r="AM346" t="n">
        <v>2</v>
      </c>
      <c r="AN346" t="n">
        <v>0</v>
      </c>
      <c r="AO346" t="n">
        <v>0</v>
      </c>
      <c r="AP346" t="inlineStr">
        <is>
          <t>No</t>
        </is>
      </c>
      <c r="AQ346" t="inlineStr">
        <is>
          <t>Yes</t>
        </is>
      </c>
      <c r="AR346">
        <f>HYPERLINK("http://catalog.hathitrust.org/Record/008442292","HathiTrust Record")</f>
        <v/>
      </c>
      <c r="AS346">
        <f>HYPERLINK("https://creighton-primo.hosted.exlibrisgroup.com/primo-explore/search?tab=default_tab&amp;search_scope=EVERYTHING&amp;vid=01CRU&amp;lang=en_US&amp;offset=0&amp;query=any,contains,991002842249702656","Catalog Record")</f>
        <v/>
      </c>
      <c r="AT346">
        <f>HYPERLINK("http://www.worldcat.org/oclc/37443322","WorldCat Record")</f>
        <v/>
      </c>
      <c r="AU346" t="inlineStr">
        <is>
          <t>606870:eng</t>
        </is>
      </c>
      <c r="AV346" t="inlineStr">
        <is>
          <t>37443322</t>
        </is>
      </c>
      <c r="AW346" t="inlineStr">
        <is>
          <t>991002842249702656</t>
        </is>
      </c>
      <c r="AX346" t="inlineStr">
        <is>
          <t>991002842249702656</t>
        </is>
      </c>
      <c r="AY346" t="inlineStr">
        <is>
          <t>2262297350002656</t>
        </is>
      </c>
      <c r="AZ346" t="inlineStr">
        <is>
          <t>BOOK</t>
        </is>
      </c>
      <c r="BB346" t="inlineStr">
        <is>
          <t>9780306456381</t>
        </is>
      </c>
      <c r="BC346" t="inlineStr">
        <is>
          <t>32285003453205</t>
        </is>
      </c>
      <c r="BD346" t="inlineStr">
        <is>
          <t>893504890</t>
        </is>
      </c>
    </row>
    <row r="347">
      <c r="A347" t="inlineStr">
        <is>
          <t>No</t>
        </is>
      </c>
      <c r="B347" t="inlineStr">
        <is>
          <t>QB61 .N375 2001</t>
        </is>
      </c>
      <c r="C347" t="inlineStr">
        <is>
          <t>0                      QB 0061000N  375         2001</t>
        </is>
      </c>
      <c r="D347" t="inlineStr">
        <is>
          <t>Astronomy and astrophysics in the new millennium / Astronomy and Astrophysics Survey Committee, Board on Physics and Astronomy-Space Studies Board, Commission on Physical Sciences, Mathematics, and Applications, National Research Council.</t>
        </is>
      </c>
      <c r="F347" t="inlineStr">
        <is>
          <t>No</t>
        </is>
      </c>
      <c r="G347" t="inlineStr">
        <is>
          <t>1</t>
        </is>
      </c>
      <c r="H347" t="inlineStr">
        <is>
          <t>No</t>
        </is>
      </c>
      <c r="I347" t="inlineStr">
        <is>
          <t>No</t>
        </is>
      </c>
      <c r="J347" t="inlineStr">
        <is>
          <t>0</t>
        </is>
      </c>
      <c r="K347" t="inlineStr">
        <is>
          <t>National Research Council (U.S.). Astronomy and Astrophysics Survey Committee.</t>
        </is>
      </c>
      <c r="L347" t="inlineStr">
        <is>
          <t>Washington, D.C. : National Academy Press, c2001.</t>
        </is>
      </c>
      <c r="M347" t="inlineStr">
        <is>
          <t>2001</t>
        </is>
      </c>
      <c r="O347" t="inlineStr">
        <is>
          <t>eng</t>
        </is>
      </c>
      <c r="P347" t="inlineStr">
        <is>
          <t>dcu</t>
        </is>
      </c>
      <c r="R347" t="inlineStr">
        <is>
          <t xml:space="preserve">QB </t>
        </is>
      </c>
      <c r="S347" t="n">
        <v>4</v>
      </c>
      <c r="T347" t="n">
        <v>4</v>
      </c>
      <c r="U347" t="inlineStr">
        <is>
          <t>2003-05-05</t>
        </is>
      </c>
      <c r="V347" t="inlineStr">
        <is>
          <t>2003-05-05</t>
        </is>
      </c>
      <c r="W347" t="inlineStr">
        <is>
          <t>2001-09-13</t>
        </is>
      </c>
      <c r="X347" t="inlineStr">
        <is>
          <t>2001-09-13</t>
        </is>
      </c>
      <c r="Y347" t="n">
        <v>268</v>
      </c>
      <c r="Z347" t="n">
        <v>228</v>
      </c>
      <c r="AA347" t="n">
        <v>228</v>
      </c>
      <c r="AB347" t="n">
        <v>3</v>
      </c>
      <c r="AC347" t="n">
        <v>3</v>
      </c>
      <c r="AD347" t="n">
        <v>8</v>
      </c>
      <c r="AE347" t="n">
        <v>8</v>
      </c>
      <c r="AF347" t="n">
        <v>3</v>
      </c>
      <c r="AG347" t="n">
        <v>3</v>
      </c>
      <c r="AH347" t="n">
        <v>2</v>
      </c>
      <c r="AI347" t="n">
        <v>2</v>
      </c>
      <c r="AJ347" t="n">
        <v>3</v>
      </c>
      <c r="AK347" t="n">
        <v>3</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HYPERLINK("https://creighton-primo.hosted.exlibrisgroup.com/primo-explore/search?tab=default_tab&amp;search_scope=EVERYTHING&amp;vid=01CRU&amp;lang=en_US&amp;offset=0&amp;query=any,contains,991003586789702656","Catalog Record")</f>
        <v/>
      </c>
      <c r="AT347">
        <f>HYPERLINK("http://www.worldcat.org/oclc/45956434","WorldCat Record")</f>
        <v/>
      </c>
      <c r="AU347" t="inlineStr">
        <is>
          <t>8909291811:eng</t>
        </is>
      </c>
      <c r="AV347" t="inlineStr">
        <is>
          <t>45956434</t>
        </is>
      </c>
      <c r="AW347" t="inlineStr">
        <is>
          <t>991003586789702656</t>
        </is>
      </c>
      <c r="AX347" t="inlineStr">
        <is>
          <t>991003586789702656</t>
        </is>
      </c>
      <c r="AY347" t="inlineStr">
        <is>
          <t>2258128790002656</t>
        </is>
      </c>
      <c r="AZ347" t="inlineStr">
        <is>
          <t>BOOK</t>
        </is>
      </c>
      <c r="BB347" t="inlineStr">
        <is>
          <t>9780309070317</t>
        </is>
      </c>
      <c r="BC347" t="inlineStr">
        <is>
          <t>32285004391347</t>
        </is>
      </c>
      <c r="BD347" t="inlineStr">
        <is>
          <t>893410434</t>
        </is>
      </c>
    </row>
    <row r="348">
      <c r="A348" t="inlineStr">
        <is>
          <t>No</t>
        </is>
      </c>
      <c r="B348" t="inlineStr">
        <is>
          <t>QB611 .R674</t>
        </is>
      </c>
      <c r="C348" t="inlineStr">
        <is>
          <t>0                      QB 0611000R  674</t>
        </is>
      </c>
      <c r="D348" t="inlineStr">
        <is>
          <t>Mercury's perihelion from Le Verrier to Einstein / N.T. Roseveare.</t>
        </is>
      </c>
      <c r="F348" t="inlineStr">
        <is>
          <t>No</t>
        </is>
      </c>
      <c r="G348" t="inlineStr">
        <is>
          <t>1</t>
        </is>
      </c>
      <c r="H348" t="inlineStr">
        <is>
          <t>No</t>
        </is>
      </c>
      <c r="I348" t="inlineStr">
        <is>
          <t>No</t>
        </is>
      </c>
      <c r="J348" t="inlineStr">
        <is>
          <t>0</t>
        </is>
      </c>
      <c r="K348" t="inlineStr">
        <is>
          <t>Roseveare, N. T.</t>
        </is>
      </c>
      <c r="L348" t="inlineStr">
        <is>
          <t>Oxford ; New York : Clarendon Press, 1982.</t>
        </is>
      </c>
      <c r="M348" t="inlineStr">
        <is>
          <t>1982</t>
        </is>
      </c>
      <c r="O348" t="inlineStr">
        <is>
          <t>eng</t>
        </is>
      </c>
      <c r="P348" t="inlineStr">
        <is>
          <t>enk</t>
        </is>
      </c>
      <c r="Q348" t="inlineStr">
        <is>
          <t>Oxford science publications</t>
        </is>
      </c>
      <c r="R348" t="inlineStr">
        <is>
          <t xml:space="preserve">QB </t>
        </is>
      </c>
      <c r="S348" t="n">
        <v>1</v>
      </c>
      <c r="T348" t="n">
        <v>1</v>
      </c>
      <c r="U348" t="inlineStr">
        <is>
          <t>2000-12-04</t>
        </is>
      </c>
      <c r="V348" t="inlineStr">
        <is>
          <t>2000-12-04</t>
        </is>
      </c>
      <c r="W348" t="inlineStr">
        <is>
          <t>1992-11-23</t>
        </is>
      </c>
      <c r="X348" t="inlineStr">
        <is>
          <t>1992-11-23</t>
        </is>
      </c>
      <c r="Y348" t="n">
        <v>280</v>
      </c>
      <c r="Z348" t="n">
        <v>198</v>
      </c>
      <c r="AA348" t="n">
        <v>204</v>
      </c>
      <c r="AB348" t="n">
        <v>1</v>
      </c>
      <c r="AC348" t="n">
        <v>1</v>
      </c>
      <c r="AD348" t="n">
        <v>6</v>
      </c>
      <c r="AE348" t="n">
        <v>6</v>
      </c>
      <c r="AF348" t="n">
        <v>0</v>
      </c>
      <c r="AG348" t="n">
        <v>0</v>
      </c>
      <c r="AH348" t="n">
        <v>1</v>
      </c>
      <c r="AI348" t="n">
        <v>1</v>
      </c>
      <c r="AJ348" t="n">
        <v>4</v>
      </c>
      <c r="AK348" t="n">
        <v>4</v>
      </c>
      <c r="AL348" t="n">
        <v>1</v>
      </c>
      <c r="AM348" t="n">
        <v>1</v>
      </c>
      <c r="AN348" t="n">
        <v>0</v>
      </c>
      <c r="AO348" t="n">
        <v>0</v>
      </c>
      <c r="AP348" t="inlineStr">
        <is>
          <t>No</t>
        </is>
      </c>
      <c r="AQ348" t="inlineStr">
        <is>
          <t>Yes</t>
        </is>
      </c>
      <c r="AR348">
        <f>HYPERLINK("http://catalog.hathitrust.org/Record/000240717","HathiTrust Record")</f>
        <v/>
      </c>
      <c r="AS348">
        <f>HYPERLINK("https://creighton-primo.hosted.exlibrisgroup.com/primo-explore/search?tab=default_tab&amp;search_scope=EVERYTHING&amp;vid=01CRU&amp;lang=en_US&amp;offset=0&amp;query=any,contains,991000072859702656","Catalog Record")</f>
        <v/>
      </c>
      <c r="AT348">
        <f>HYPERLINK("http://www.worldcat.org/oclc/8787800","WorldCat Record")</f>
        <v/>
      </c>
      <c r="AU348" t="inlineStr">
        <is>
          <t>416398:eng</t>
        </is>
      </c>
      <c r="AV348" t="inlineStr">
        <is>
          <t>8787800</t>
        </is>
      </c>
      <c r="AW348" t="inlineStr">
        <is>
          <t>991000072859702656</t>
        </is>
      </c>
      <c r="AX348" t="inlineStr">
        <is>
          <t>991000072859702656</t>
        </is>
      </c>
      <c r="AY348" t="inlineStr">
        <is>
          <t>2268192320002656</t>
        </is>
      </c>
      <c r="AZ348" t="inlineStr">
        <is>
          <t>BOOK</t>
        </is>
      </c>
      <c r="BB348" t="inlineStr">
        <is>
          <t>9780198581741</t>
        </is>
      </c>
      <c r="BC348" t="inlineStr">
        <is>
          <t>32285001433654</t>
        </is>
      </c>
      <c r="BD348" t="inlineStr">
        <is>
          <t>893326983</t>
        </is>
      </c>
    </row>
    <row r="349">
      <c r="A349" t="inlineStr">
        <is>
          <t>No</t>
        </is>
      </c>
      <c r="B349" t="inlineStr">
        <is>
          <t>QB62.5 .A2713 1986</t>
        </is>
      </c>
      <c r="C349" t="inlineStr">
        <is>
          <t>0                      QB 0062500A  2713        1986</t>
        </is>
      </c>
      <c r="D349" t="inlineStr">
        <is>
          <t>Astronomical methods and calculations / Agnès Acker and Carlos Jascheck ; translated by Chris Kitchin.</t>
        </is>
      </c>
      <c r="F349" t="inlineStr">
        <is>
          <t>No</t>
        </is>
      </c>
      <c r="G349" t="inlineStr">
        <is>
          <t>1</t>
        </is>
      </c>
      <c r="H349" t="inlineStr">
        <is>
          <t>No</t>
        </is>
      </c>
      <c r="I349" t="inlineStr">
        <is>
          <t>No</t>
        </is>
      </c>
      <c r="J349" t="inlineStr">
        <is>
          <t>0</t>
        </is>
      </c>
      <c r="K349" t="inlineStr">
        <is>
          <t>Acker, Agnès.</t>
        </is>
      </c>
      <c r="L349" t="inlineStr">
        <is>
          <t>Chichester ; New York : Wiley, c1986.</t>
        </is>
      </c>
      <c r="M349" t="inlineStr">
        <is>
          <t>1986</t>
        </is>
      </c>
      <c r="O349" t="inlineStr">
        <is>
          <t>eng</t>
        </is>
      </c>
      <c r="P349" t="inlineStr">
        <is>
          <t>enk</t>
        </is>
      </c>
      <c r="R349" t="inlineStr">
        <is>
          <t xml:space="preserve">QB </t>
        </is>
      </c>
      <c r="S349" t="n">
        <v>4</v>
      </c>
      <c r="T349" t="n">
        <v>4</v>
      </c>
      <c r="U349" t="inlineStr">
        <is>
          <t>1996-09-30</t>
        </is>
      </c>
      <c r="V349" t="inlineStr">
        <is>
          <t>1996-09-30</t>
        </is>
      </c>
      <c r="W349" t="inlineStr">
        <is>
          <t>1992-08-12</t>
        </is>
      </c>
      <c r="X349" t="inlineStr">
        <is>
          <t>1992-08-12</t>
        </is>
      </c>
      <c r="Y349" t="n">
        <v>338</v>
      </c>
      <c r="Z349" t="n">
        <v>259</v>
      </c>
      <c r="AA349" t="n">
        <v>261</v>
      </c>
      <c r="AB349" t="n">
        <v>3</v>
      </c>
      <c r="AC349" t="n">
        <v>3</v>
      </c>
      <c r="AD349" t="n">
        <v>8</v>
      </c>
      <c r="AE349" t="n">
        <v>8</v>
      </c>
      <c r="AF349" t="n">
        <v>3</v>
      </c>
      <c r="AG349" t="n">
        <v>3</v>
      </c>
      <c r="AH349" t="n">
        <v>2</v>
      </c>
      <c r="AI349" t="n">
        <v>2</v>
      </c>
      <c r="AJ349" t="n">
        <v>3</v>
      </c>
      <c r="AK349" t="n">
        <v>3</v>
      </c>
      <c r="AL349" t="n">
        <v>2</v>
      </c>
      <c r="AM349" t="n">
        <v>2</v>
      </c>
      <c r="AN349" t="n">
        <v>0</v>
      </c>
      <c r="AO349" t="n">
        <v>0</v>
      </c>
      <c r="AP349" t="inlineStr">
        <is>
          <t>No</t>
        </is>
      </c>
      <c r="AQ349" t="inlineStr">
        <is>
          <t>Yes</t>
        </is>
      </c>
      <c r="AR349">
        <f>HYPERLINK("http://catalog.hathitrust.org/Record/000479210","HathiTrust Record")</f>
        <v/>
      </c>
      <c r="AS349">
        <f>HYPERLINK("https://creighton-primo.hosted.exlibrisgroup.com/primo-explore/search?tab=default_tab&amp;search_scope=EVERYTHING&amp;vid=01CRU&amp;lang=en_US&amp;offset=0&amp;query=any,contains,991000611599702656","Catalog Record")</f>
        <v/>
      </c>
      <c r="AT349">
        <f>HYPERLINK("http://www.worldcat.org/oclc/11916051","WorldCat Record")</f>
        <v/>
      </c>
      <c r="AU349" t="inlineStr">
        <is>
          <t>4776399947:eng</t>
        </is>
      </c>
      <c r="AV349" t="inlineStr">
        <is>
          <t>11916051</t>
        </is>
      </c>
      <c r="AW349" t="inlineStr">
        <is>
          <t>991000611599702656</t>
        </is>
      </c>
      <c r="AX349" t="inlineStr">
        <is>
          <t>991000611599702656</t>
        </is>
      </c>
      <c r="AY349" t="inlineStr">
        <is>
          <t>2270363970002656</t>
        </is>
      </c>
      <c r="AZ349" t="inlineStr">
        <is>
          <t>BOOK</t>
        </is>
      </c>
      <c r="BB349" t="inlineStr">
        <is>
          <t>9780471911043</t>
        </is>
      </c>
      <c r="BC349" t="inlineStr">
        <is>
          <t>32285001254027</t>
        </is>
      </c>
      <c r="BD349" t="inlineStr">
        <is>
          <t>893702268</t>
        </is>
      </c>
    </row>
    <row r="350">
      <c r="A350" t="inlineStr">
        <is>
          <t>No</t>
        </is>
      </c>
      <c r="B350" t="inlineStr">
        <is>
          <t>QB621 .G75 1997</t>
        </is>
      </c>
      <c r="C350" t="inlineStr">
        <is>
          <t>0                      QB 0621000G  75          1997</t>
        </is>
      </c>
      <c r="D350" t="inlineStr">
        <is>
          <t>Venus revealed : a new look below the clouds of our mysterious twin planet / David Harry Grinspoon.</t>
        </is>
      </c>
      <c r="F350" t="inlineStr">
        <is>
          <t>No</t>
        </is>
      </c>
      <c r="G350" t="inlineStr">
        <is>
          <t>1</t>
        </is>
      </c>
      <c r="H350" t="inlineStr">
        <is>
          <t>No</t>
        </is>
      </c>
      <c r="I350" t="inlineStr">
        <is>
          <t>No</t>
        </is>
      </c>
      <c r="J350" t="inlineStr">
        <is>
          <t>0</t>
        </is>
      </c>
      <c r="K350" t="inlineStr">
        <is>
          <t>Grinspoon, David Harry.</t>
        </is>
      </c>
      <c r="L350" t="inlineStr">
        <is>
          <t>Reading, Mass.: Addison-Wesley Pub., c1997.</t>
        </is>
      </c>
      <c r="M350" t="inlineStr">
        <is>
          <t>1997</t>
        </is>
      </c>
      <c r="O350" t="inlineStr">
        <is>
          <t>eng</t>
        </is>
      </c>
      <c r="P350" t="inlineStr">
        <is>
          <t>mau</t>
        </is>
      </c>
      <c r="R350" t="inlineStr">
        <is>
          <t xml:space="preserve">QB </t>
        </is>
      </c>
      <c r="S350" t="n">
        <v>2</v>
      </c>
      <c r="T350" t="n">
        <v>2</v>
      </c>
      <c r="U350" t="inlineStr">
        <is>
          <t>2000-10-13</t>
        </is>
      </c>
      <c r="V350" t="inlineStr">
        <is>
          <t>2000-10-13</t>
        </is>
      </c>
      <c r="W350" t="inlineStr">
        <is>
          <t>1997-03-17</t>
        </is>
      </c>
      <c r="X350" t="inlineStr">
        <is>
          <t>1997-03-17</t>
        </is>
      </c>
      <c r="Y350" t="n">
        <v>780</v>
      </c>
      <c r="Z350" t="n">
        <v>727</v>
      </c>
      <c r="AA350" t="n">
        <v>813</v>
      </c>
      <c r="AB350" t="n">
        <v>6</v>
      </c>
      <c r="AC350" t="n">
        <v>7</v>
      </c>
      <c r="AD350" t="n">
        <v>17</v>
      </c>
      <c r="AE350" t="n">
        <v>18</v>
      </c>
      <c r="AF350" t="n">
        <v>4</v>
      </c>
      <c r="AG350" t="n">
        <v>4</v>
      </c>
      <c r="AH350" t="n">
        <v>3</v>
      </c>
      <c r="AI350" t="n">
        <v>3</v>
      </c>
      <c r="AJ350" t="n">
        <v>9</v>
      </c>
      <c r="AK350" t="n">
        <v>9</v>
      </c>
      <c r="AL350" t="n">
        <v>4</v>
      </c>
      <c r="AM350" t="n">
        <v>5</v>
      </c>
      <c r="AN350" t="n">
        <v>0</v>
      </c>
      <c r="AO350" t="n">
        <v>0</v>
      </c>
      <c r="AP350" t="inlineStr">
        <is>
          <t>No</t>
        </is>
      </c>
      <c r="AQ350" t="inlineStr">
        <is>
          <t>Yes</t>
        </is>
      </c>
      <c r="AR350">
        <f>HYPERLINK("http://catalog.hathitrust.org/Record/003126532","HathiTrust Record")</f>
        <v/>
      </c>
      <c r="AS350">
        <f>HYPERLINK("https://creighton-primo.hosted.exlibrisgroup.com/primo-explore/search?tab=default_tab&amp;search_scope=EVERYTHING&amp;vid=01CRU&amp;lang=en_US&amp;offset=0&amp;query=any,contains,991002702749702656","Catalog Record")</f>
        <v/>
      </c>
      <c r="AT350">
        <f>HYPERLINK("http://www.worldcat.org/oclc/35285447","WorldCat Record")</f>
        <v/>
      </c>
      <c r="AU350" t="inlineStr">
        <is>
          <t>40613031:eng</t>
        </is>
      </c>
      <c r="AV350" t="inlineStr">
        <is>
          <t>35285447</t>
        </is>
      </c>
      <c r="AW350" t="inlineStr">
        <is>
          <t>991002702749702656</t>
        </is>
      </c>
      <c r="AX350" t="inlineStr">
        <is>
          <t>991002702749702656</t>
        </is>
      </c>
      <c r="AY350" t="inlineStr">
        <is>
          <t>2259290900002656</t>
        </is>
      </c>
      <c r="AZ350" t="inlineStr">
        <is>
          <t>BOOK</t>
        </is>
      </c>
      <c r="BB350" t="inlineStr">
        <is>
          <t>9780201406559</t>
        </is>
      </c>
      <c r="BC350" t="inlineStr">
        <is>
          <t>32285002081908</t>
        </is>
      </c>
      <c r="BD350" t="inlineStr">
        <is>
          <t>893445311</t>
        </is>
      </c>
    </row>
    <row r="351">
      <c r="A351" t="inlineStr">
        <is>
          <t>No</t>
        </is>
      </c>
      <c r="B351" t="inlineStr">
        <is>
          <t>QB621 .H86 1982</t>
        </is>
      </c>
      <c r="C351" t="inlineStr">
        <is>
          <t>0                      QB 0621000H  86          1982</t>
        </is>
      </c>
      <c r="D351" t="inlineStr">
        <is>
          <t>The planet Venus / Garry E. Hunt and Patrick Moore.</t>
        </is>
      </c>
      <c r="F351" t="inlineStr">
        <is>
          <t>No</t>
        </is>
      </c>
      <c r="G351" t="inlineStr">
        <is>
          <t>1</t>
        </is>
      </c>
      <c r="H351" t="inlineStr">
        <is>
          <t>No</t>
        </is>
      </c>
      <c r="I351" t="inlineStr">
        <is>
          <t>Yes</t>
        </is>
      </c>
      <c r="J351" t="inlineStr">
        <is>
          <t>0</t>
        </is>
      </c>
      <c r="K351" t="inlineStr">
        <is>
          <t>Hunt, Garry E.</t>
        </is>
      </c>
      <c r="L351" t="inlineStr">
        <is>
          <t>London : Faber and Faber, 1982.</t>
        </is>
      </c>
      <c r="M351" t="inlineStr">
        <is>
          <t>1982</t>
        </is>
      </c>
      <c r="O351" t="inlineStr">
        <is>
          <t>eng</t>
        </is>
      </c>
      <c r="P351" t="inlineStr">
        <is>
          <t>enk</t>
        </is>
      </c>
      <c r="R351" t="inlineStr">
        <is>
          <t xml:space="preserve">QB </t>
        </is>
      </c>
      <c r="S351" t="n">
        <v>2</v>
      </c>
      <c r="T351" t="n">
        <v>2</v>
      </c>
      <c r="U351" t="inlineStr">
        <is>
          <t>2000-09-15</t>
        </is>
      </c>
      <c r="V351" t="inlineStr">
        <is>
          <t>2000-09-15</t>
        </is>
      </c>
      <c r="W351" t="inlineStr">
        <is>
          <t>1992-11-23</t>
        </is>
      </c>
      <c r="X351" t="inlineStr">
        <is>
          <t>1992-11-23</t>
        </is>
      </c>
      <c r="Y351" t="n">
        <v>559</v>
      </c>
      <c r="Z351" t="n">
        <v>477</v>
      </c>
      <c r="AA351" t="n">
        <v>776</v>
      </c>
      <c r="AB351" t="n">
        <v>2</v>
      </c>
      <c r="AC351" t="n">
        <v>4</v>
      </c>
      <c r="AD351" t="n">
        <v>10</v>
      </c>
      <c r="AE351" t="n">
        <v>19</v>
      </c>
      <c r="AF351" t="n">
        <v>4</v>
      </c>
      <c r="AG351" t="n">
        <v>6</v>
      </c>
      <c r="AH351" t="n">
        <v>3</v>
      </c>
      <c r="AI351" t="n">
        <v>5</v>
      </c>
      <c r="AJ351" t="n">
        <v>3</v>
      </c>
      <c r="AK351" t="n">
        <v>8</v>
      </c>
      <c r="AL351" t="n">
        <v>1</v>
      </c>
      <c r="AM351" t="n">
        <v>3</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HYPERLINK("https://creighton-primo.hosted.exlibrisgroup.com/primo-explore/search?tab=default_tab&amp;search_scope=EVERYTHING&amp;vid=01CRU&amp;lang=en_US&amp;offset=0&amp;query=any,contains,991005242389702656","Catalog Record")</f>
        <v/>
      </c>
      <c r="AT351">
        <f>HYPERLINK("http://www.worldcat.org/oclc/8430661","WorldCat Record")</f>
        <v/>
      </c>
      <c r="AU351" t="inlineStr">
        <is>
          <t>1543491:eng</t>
        </is>
      </c>
      <c r="AV351" t="inlineStr">
        <is>
          <t>8430661</t>
        </is>
      </c>
      <c r="AW351" t="inlineStr">
        <is>
          <t>991005242389702656</t>
        </is>
      </c>
      <c r="AX351" t="inlineStr">
        <is>
          <t>991005242389702656</t>
        </is>
      </c>
      <c r="AY351" t="inlineStr">
        <is>
          <t>2261359140002656</t>
        </is>
      </c>
      <c r="AZ351" t="inlineStr">
        <is>
          <t>BOOK</t>
        </is>
      </c>
      <c r="BB351" t="inlineStr">
        <is>
          <t>9780571090501</t>
        </is>
      </c>
      <c r="BC351" t="inlineStr">
        <is>
          <t>32285001433670</t>
        </is>
      </c>
      <c r="BD351" t="inlineStr">
        <is>
          <t>893344893</t>
        </is>
      </c>
    </row>
    <row r="352">
      <c r="A352" t="inlineStr">
        <is>
          <t>No</t>
        </is>
      </c>
      <c r="B352" t="inlineStr">
        <is>
          <t>QB621 .M6 1961</t>
        </is>
      </c>
      <c r="C352" t="inlineStr">
        <is>
          <t>0                      QB 0621000M  6           1961</t>
        </is>
      </c>
      <c r="D352" t="inlineStr">
        <is>
          <t>The planet Venus / by Patrick Moore.</t>
        </is>
      </c>
      <c r="F352" t="inlineStr">
        <is>
          <t>No</t>
        </is>
      </c>
      <c r="G352" t="inlineStr">
        <is>
          <t>1</t>
        </is>
      </c>
      <c r="H352" t="inlineStr">
        <is>
          <t>No</t>
        </is>
      </c>
      <c r="I352" t="inlineStr">
        <is>
          <t>Yes</t>
        </is>
      </c>
      <c r="J352" t="inlineStr">
        <is>
          <t>0</t>
        </is>
      </c>
      <c r="K352" t="inlineStr">
        <is>
          <t>Moore, Patrick.</t>
        </is>
      </c>
      <c r="L352" t="inlineStr">
        <is>
          <t>London : Faber and Faber, 1961.</t>
        </is>
      </c>
      <c r="M352" t="inlineStr">
        <is>
          <t>1961</t>
        </is>
      </c>
      <c r="N352" t="inlineStr">
        <is>
          <t>3d ed., rev. and enl.</t>
        </is>
      </c>
      <c r="O352" t="inlineStr">
        <is>
          <t>eng</t>
        </is>
      </c>
      <c r="P352" t="inlineStr">
        <is>
          <t>enk</t>
        </is>
      </c>
      <c r="R352" t="inlineStr">
        <is>
          <t xml:space="preserve">QB </t>
        </is>
      </c>
      <c r="S352" t="n">
        <v>2</v>
      </c>
      <c r="T352" t="n">
        <v>2</v>
      </c>
      <c r="U352" t="inlineStr">
        <is>
          <t>2000-09-15</t>
        </is>
      </c>
      <c r="V352" t="inlineStr">
        <is>
          <t>2000-09-15</t>
        </is>
      </c>
      <c r="W352" t="inlineStr">
        <is>
          <t>1999-12-06</t>
        </is>
      </c>
      <c r="X352" t="inlineStr">
        <is>
          <t>1999-12-06</t>
        </is>
      </c>
      <c r="Y352" t="n">
        <v>23</v>
      </c>
      <c r="Z352" t="n">
        <v>8</v>
      </c>
      <c r="AA352" t="n">
        <v>776</v>
      </c>
      <c r="AB352" t="n">
        <v>1</v>
      </c>
      <c r="AC352" t="n">
        <v>4</v>
      </c>
      <c r="AD352" t="n">
        <v>0</v>
      </c>
      <c r="AE352" t="n">
        <v>19</v>
      </c>
      <c r="AF352" t="n">
        <v>0</v>
      </c>
      <c r="AG352" t="n">
        <v>6</v>
      </c>
      <c r="AH352" t="n">
        <v>0</v>
      </c>
      <c r="AI352" t="n">
        <v>5</v>
      </c>
      <c r="AJ352" t="n">
        <v>0</v>
      </c>
      <c r="AK352" t="n">
        <v>8</v>
      </c>
      <c r="AL352" t="n">
        <v>0</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HYPERLINK("https://creighton-primo.hosted.exlibrisgroup.com/primo-explore/search?tab=default_tab&amp;search_scope=EVERYTHING&amp;vid=01CRU&amp;lang=en_US&amp;offset=0&amp;query=any,contains,991000750859702656","Catalog Record")</f>
        <v/>
      </c>
      <c r="AT352">
        <f>HYPERLINK("http://www.worldcat.org/oclc/12921042","WorldCat Record")</f>
        <v/>
      </c>
      <c r="AU352" t="inlineStr">
        <is>
          <t>1543491:eng</t>
        </is>
      </c>
      <c r="AV352" t="inlineStr">
        <is>
          <t>12921042</t>
        </is>
      </c>
      <c r="AW352" t="inlineStr">
        <is>
          <t>991000750859702656</t>
        </is>
      </c>
      <c r="AX352" t="inlineStr">
        <is>
          <t>991000750859702656</t>
        </is>
      </c>
      <c r="AY352" t="inlineStr">
        <is>
          <t>2257691440002656</t>
        </is>
      </c>
      <c r="AZ352" t="inlineStr">
        <is>
          <t>BOOK</t>
        </is>
      </c>
      <c r="BC352" t="inlineStr">
        <is>
          <t>32285003628327</t>
        </is>
      </c>
      <c r="BD352" t="inlineStr">
        <is>
          <t>893690001</t>
        </is>
      </c>
    </row>
    <row r="353">
      <c r="A353" t="inlineStr">
        <is>
          <t>No</t>
        </is>
      </c>
      <c r="B353" t="inlineStr">
        <is>
          <t>QB63 .A7813 1994</t>
        </is>
      </c>
      <c r="C353" t="inlineStr">
        <is>
          <t>0                      QB 0063000A  7813        1994</t>
        </is>
      </c>
      <c r="D353" t="inlineStr">
        <is>
          <t>The observer's guide to astronomy / edited by Patrick Martinez ; translator Storm Dunlop.</t>
        </is>
      </c>
      <c r="E353" t="inlineStr">
        <is>
          <t>V.1</t>
        </is>
      </c>
      <c r="F353" t="inlineStr">
        <is>
          <t>Yes</t>
        </is>
      </c>
      <c r="G353" t="inlineStr">
        <is>
          <t>1</t>
        </is>
      </c>
      <c r="H353" t="inlineStr">
        <is>
          <t>No</t>
        </is>
      </c>
      <c r="I353" t="inlineStr">
        <is>
          <t>No</t>
        </is>
      </c>
      <c r="J353" t="inlineStr">
        <is>
          <t>0</t>
        </is>
      </c>
      <c r="K353" t="inlineStr">
        <is>
          <t>Astronomie, le guide de l'observateur. English.</t>
        </is>
      </c>
      <c r="L353" t="inlineStr">
        <is>
          <t>Cambridge ; New York, NY, USA : Cambridge University Press, 1994.</t>
        </is>
      </c>
      <c r="M353" t="inlineStr">
        <is>
          <t>1994</t>
        </is>
      </c>
      <c r="N353" t="inlineStr">
        <is>
          <t>English language ed.</t>
        </is>
      </c>
      <c r="O353" t="inlineStr">
        <is>
          <t>eng</t>
        </is>
      </c>
      <c r="P353" t="inlineStr">
        <is>
          <t>enk</t>
        </is>
      </c>
      <c r="Q353" t="inlineStr">
        <is>
          <t>Practical astronomy handbook series ; 4</t>
        </is>
      </c>
      <c r="R353" t="inlineStr">
        <is>
          <t xml:space="preserve">QB </t>
        </is>
      </c>
      <c r="S353" t="n">
        <v>5</v>
      </c>
      <c r="T353" t="n">
        <v>10</v>
      </c>
      <c r="U353" t="inlineStr">
        <is>
          <t>2008-04-28</t>
        </is>
      </c>
      <c r="V353" t="inlineStr">
        <is>
          <t>2008-04-28</t>
        </is>
      </c>
      <c r="W353" t="inlineStr">
        <is>
          <t>1996-02-05</t>
        </is>
      </c>
      <c r="X353" t="inlineStr">
        <is>
          <t>1996-03-04</t>
        </is>
      </c>
      <c r="Y353" t="n">
        <v>330</v>
      </c>
      <c r="Z353" t="n">
        <v>293</v>
      </c>
      <c r="AA353" t="n">
        <v>299</v>
      </c>
      <c r="AB353" t="n">
        <v>2</v>
      </c>
      <c r="AC353" t="n">
        <v>2</v>
      </c>
      <c r="AD353" t="n">
        <v>9</v>
      </c>
      <c r="AE353" t="n">
        <v>9</v>
      </c>
      <c r="AF353" t="n">
        <v>3</v>
      </c>
      <c r="AG353" t="n">
        <v>3</v>
      </c>
      <c r="AH353" t="n">
        <v>4</v>
      </c>
      <c r="AI353" t="n">
        <v>4</v>
      </c>
      <c r="AJ353" t="n">
        <v>4</v>
      </c>
      <c r="AK353" t="n">
        <v>4</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HYPERLINK("https://creighton-primo.hosted.exlibrisgroup.com/primo-explore/search?tab=default_tab&amp;search_scope=EVERYTHING&amp;vid=01CRU&amp;lang=en_US&amp;offset=0&amp;query=any,contains,991002231499702656","Catalog Record")</f>
        <v/>
      </c>
      <c r="AT353">
        <f>HYPERLINK("http://www.worldcat.org/oclc/28724132","WorldCat Record")</f>
        <v/>
      </c>
      <c r="AU353" t="inlineStr">
        <is>
          <t>9657337778:eng</t>
        </is>
      </c>
      <c r="AV353" t="inlineStr">
        <is>
          <t>28724132</t>
        </is>
      </c>
      <c r="AW353" t="inlineStr">
        <is>
          <t>991002231499702656</t>
        </is>
      </c>
      <c r="AX353" t="inlineStr">
        <is>
          <t>991002231499702656</t>
        </is>
      </c>
      <c r="AY353" t="inlineStr">
        <is>
          <t>2264774080002656</t>
        </is>
      </c>
      <c r="AZ353" t="inlineStr">
        <is>
          <t>BOOK</t>
        </is>
      </c>
      <c r="BB353" t="inlineStr">
        <is>
          <t>9780521370684</t>
        </is>
      </c>
      <c r="BC353" t="inlineStr">
        <is>
          <t>32285002127917</t>
        </is>
      </c>
      <c r="BD353" t="inlineStr">
        <is>
          <t>893697513</t>
        </is>
      </c>
    </row>
    <row r="354">
      <c r="A354" t="inlineStr">
        <is>
          <t>No</t>
        </is>
      </c>
      <c r="B354" t="inlineStr">
        <is>
          <t>QB63 .A7813 1994</t>
        </is>
      </c>
      <c r="C354" t="inlineStr">
        <is>
          <t>0                      QB 0063000A  7813        1994</t>
        </is>
      </c>
      <c r="D354" t="inlineStr">
        <is>
          <t>The observer's guide to astronomy / edited by Patrick Martinez ; translator Storm Dunlop.</t>
        </is>
      </c>
      <c r="E354" t="inlineStr">
        <is>
          <t>V.2</t>
        </is>
      </c>
      <c r="F354" t="inlineStr">
        <is>
          <t>Yes</t>
        </is>
      </c>
      <c r="G354" t="inlineStr">
        <is>
          <t>1</t>
        </is>
      </c>
      <c r="H354" t="inlineStr">
        <is>
          <t>No</t>
        </is>
      </c>
      <c r="I354" t="inlineStr">
        <is>
          <t>No</t>
        </is>
      </c>
      <c r="J354" t="inlineStr">
        <is>
          <t>0</t>
        </is>
      </c>
      <c r="K354" t="inlineStr">
        <is>
          <t>Astronomie, le guide de l'observateur. English.</t>
        </is>
      </c>
      <c r="L354" t="inlineStr">
        <is>
          <t>Cambridge ; New York, NY, USA : Cambridge University Press, 1994.</t>
        </is>
      </c>
      <c r="M354" t="inlineStr">
        <is>
          <t>1994</t>
        </is>
      </c>
      <c r="N354" t="inlineStr">
        <is>
          <t>English language ed.</t>
        </is>
      </c>
      <c r="O354" t="inlineStr">
        <is>
          <t>eng</t>
        </is>
      </c>
      <c r="P354" t="inlineStr">
        <is>
          <t>enk</t>
        </is>
      </c>
      <c r="Q354" t="inlineStr">
        <is>
          <t>Practical astronomy handbook series ; 4</t>
        </is>
      </c>
      <c r="R354" t="inlineStr">
        <is>
          <t xml:space="preserve">QB </t>
        </is>
      </c>
      <c r="S354" t="n">
        <v>5</v>
      </c>
      <c r="T354" t="n">
        <v>10</v>
      </c>
      <c r="U354" t="inlineStr">
        <is>
          <t>2008-04-28</t>
        </is>
      </c>
      <c r="V354" t="inlineStr">
        <is>
          <t>2008-04-28</t>
        </is>
      </c>
      <c r="W354" t="inlineStr">
        <is>
          <t>1996-03-04</t>
        </is>
      </c>
      <c r="X354" t="inlineStr">
        <is>
          <t>1996-03-04</t>
        </is>
      </c>
      <c r="Y354" t="n">
        <v>330</v>
      </c>
      <c r="Z354" t="n">
        <v>293</v>
      </c>
      <c r="AA354" t="n">
        <v>299</v>
      </c>
      <c r="AB354" t="n">
        <v>2</v>
      </c>
      <c r="AC354" t="n">
        <v>2</v>
      </c>
      <c r="AD354" t="n">
        <v>9</v>
      </c>
      <c r="AE354" t="n">
        <v>9</v>
      </c>
      <c r="AF354" t="n">
        <v>3</v>
      </c>
      <c r="AG354" t="n">
        <v>3</v>
      </c>
      <c r="AH354" t="n">
        <v>4</v>
      </c>
      <c r="AI354" t="n">
        <v>4</v>
      </c>
      <c r="AJ354" t="n">
        <v>4</v>
      </c>
      <c r="AK354" t="n">
        <v>4</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HYPERLINK("https://creighton-primo.hosted.exlibrisgroup.com/primo-explore/search?tab=default_tab&amp;search_scope=EVERYTHING&amp;vid=01CRU&amp;lang=en_US&amp;offset=0&amp;query=any,contains,991002231499702656","Catalog Record")</f>
        <v/>
      </c>
      <c r="AT354">
        <f>HYPERLINK("http://www.worldcat.org/oclc/28724132","WorldCat Record")</f>
        <v/>
      </c>
      <c r="AU354" t="inlineStr">
        <is>
          <t>9657337778:eng</t>
        </is>
      </c>
      <c r="AV354" t="inlineStr">
        <is>
          <t>28724132</t>
        </is>
      </c>
      <c r="AW354" t="inlineStr">
        <is>
          <t>991002231499702656</t>
        </is>
      </c>
      <c r="AX354" t="inlineStr">
        <is>
          <t>991002231499702656</t>
        </is>
      </c>
      <c r="AY354" t="inlineStr">
        <is>
          <t>2264774080002656</t>
        </is>
      </c>
      <c r="AZ354" t="inlineStr">
        <is>
          <t>BOOK</t>
        </is>
      </c>
      <c r="BB354" t="inlineStr">
        <is>
          <t>9780521370684</t>
        </is>
      </c>
      <c r="BC354" t="inlineStr">
        <is>
          <t>32285002139938</t>
        </is>
      </c>
      <c r="BD354" t="inlineStr">
        <is>
          <t>893691359</t>
        </is>
      </c>
    </row>
    <row r="355">
      <c r="A355" t="inlineStr">
        <is>
          <t>No</t>
        </is>
      </c>
      <c r="B355" t="inlineStr">
        <is>
          <t>QB63 .B3 1928</t>
        </is>
      </c>
      <c r="C355" t="inlineStr">
        <is>
          <t>0                      QB 0063000B  3           1928</t>
        </is>
      </c>
      <c r="D355" t="inlineStr">
        <is>
          <t>A guide to the constellations, by Samuel G. Barton and Wm. H. Barton, jr.</t>
        </is>
      </c>
      <c r="F355" t="inlineStr">
        <is>
          <t>No</t>
        </is>
      </c>
      <c r="G355" t="inlineStr">
        <is>
          <t>1</t>
        </is>
      </c>
      <c r="H355" t="inlineStr">
        <is>
          <t>No</t>
        </is>
      </c>
      <c r="I355" t="inlineStr">
        <is>
          <t>No</t>
        </is>
      </c>
      <c r="J355" t="inlineStr">
        <is>
          <t>0</t>
        </is>
      </c>
      <c r="K355" t="inlineStr">
        <is>
          <t>Barton, Samuel Goodwin, 1882-</t>
        </is>
      </c>
      <c r="L355" t="inlineStr">
        <is>
          <t>New York, McGraw-Hill Book Company, Inc., 1928.</t>
        </is>
      </c>
      <c r="M355" t="inlineStr">
        <is>
          <t>1928</t>
        </is>
      </c>
      <c r="N355" t="inlineStr">
        <is>
          <t>1st ed.</t>
        </is>
      </c>
      <c r="O355" t="inlineStr">
        <is>
          <t>eng</t>
        </is>
      </c>
      <c r="P355" t="inlineStr">
        <is>
          <t>nyu</t>
        </is>
      </c>
      <c r="Q355" t="inlineStr">
        <is>
          <t>McGraw-Hill astronomical series</t>
        </is>
      </c>
      <c r="R355" t="inlineStr">
        <is>
          <t xml:space="preserve">QB </t>
        </is>
      </c>
      <c r="S355" t="n">
        <v>3</v>
      </c>
      <c r="T355" t="n">
        <v>3</v>
      </c>
      <c r="U355" t="inlineStr">
        <is>
          <t>2000-02-27</t>
        </is>
      </c>
      <c r="V355" t="inlineStr">
        <is>
          <t>2000-02-27</t>
        </is>
      </c>
      <c r="W355" t="inlineStr">
        <is>
          <t>1997-04-29</t>
        </is>
      </c>
      <c r="X355" t="inlineStr">
        <is>
          <t>1997-04-29</t>
        </is>
      </c>
      <c r="Y355" t="n">
        <v>189</v>
      </c>
      <c r="Z355" t="n">
        <v>173</v>
      </c>
      <c r="AA355" t="n">
        <v>529</v>
      </c>
      <c r="AB355" t="n">
        <v>2</v>
      </c>
      <c r="AC355" t="n">
        <v>4</v>
      </c>
      <c r="AD355" t="n">
        <v>4</v>
      </c>
      <c r="AE355" t="n">
        <v>19</v>
      </c>
      <c r="AF355" t="n">
        <v>1</v>
      </c>
      <c r="AG355" t="n">
        <v>10</v>
      </c>
      <c r="AH355" t="n">
        <v>1</v>
      </c>
      <c r="AI355" t="n">
        <v>2</v>
      </c>
      <c r="AJ355" t="n">
        <v>1</v>
      </c>
      <c r="AK355" t="n">
        <v>6</v>
      </c>
      <c r="AL355" t="n">
        <v>1</v>
      </c>
      <c r="AM355" t="n">
        <v>3</v>
      </c>
      <c r="AN355" t="n">
        <v>0</v>
      </c>
      <c r="AO355" t="n">
        <v>0</v>
      </c>
      <c r="AP355" t="inlineStr">
        <is>
          <t>No</t>
        </is>
      </c>
      <c r="AQ355" t="inlineStr">
        <is>
          <t>Yes</t>
        </is>
      </c>
      <c r="AR355">
        <f>HYPERLINK("http://catalog.hathitrust.org/Record/001476105","HathiTrust Record")</f>
        <v/>
      </c>
      <c r="AS355">
        <f>HYPERLINK("https://creighton-primo.hosted.exlibrisgroup.com/primo-explore/search?tab=default_tab&amp;search_scope=EVERYTHING&amp;vid=01CRU&amp;lang=en_US&amp;offset=0&amp;query=any,contains,991003465229702656","Catalog Record")</f>
        <v/>
      </c>
      <c r="AT355">
        <f>HYPERLINK("http://www.worldcat.org/oclc/1006882","WorldCat Record")</f>
        <v/>
      </c>
      <c r="AU355" t="inlineStr">
        <is>
          <t>1924426:eng</t>
        </is>
      </c>
      <c r="AV355" t="inlineStr">
        <is>
          <t>1006882</t>
        </is>
      </c>
      <c r="AW355" t="inlineStr">
        <is>
          <t>991003465229702656</t>
        </is>
      </c>
      <c r="AX355" t="inlineStr">
        <is>
          <t>991003465229702656</t>
        </is>
      </c>
      <c r="AY355" t="inlineStr">
        <is>
          <t>2263942490002656</t>
        </is>
      </c>
      <c r="AZ355" t="inlineStr">
        <is>
          <t>BOOK</t>
        </is>
      </c>
      <c r="BC355" t="inlineStr">
        <is>
          <t>32285002584729</t>
        </is>
      </c>
      <c r="BD355" t="inlineStr">
        <is>
          <t>893234187</t>
        </is>
      </c>
    </row>
    <row r="356">
      <c r="A356" t="inlineStr">
        <is>
          <t>No</t>
        </is>
      </c>
      <c r="B356" t="inlineStr">
        <is>
          <t>QB63 .B49 1986</t>
        </is>
      </c>
      <c r="C356" t="inlineStr">
        <is>
          <t>0                      QB 0063000B  49          1986</t>
        </is>
      </c>
      <c r="D356" t="inlineStr">
        <is>
          <t>The star guide : a unique system for identifying the brightest stars in the night sky / by Steven L. Beyer ; with maps and illustrations by the author.</t>
        </is>
      </c>
      <c r="F356" t="inlineStr">
        <is>
          <t>No</t>
        </is>
      </c>
      <c r="G356" t="inlineStr">
        <is>
          <t>1</t>
        </is>
      </c>
      <c r="H356" t="inlineStr">
        <is>
          <t>No</t>
        </is>
      </c>
      <c r="I356" t="inlineStr">
        <is>
          <t>No</t>
        </is>
      </c>
      <c r="J356" t="inlineStr">
        <is>
          <t>0</t>
        </is>
      </c>
      <c r="K356" t="inlineStr">
        <is>
          <t>Beyer, Steven L. (Steven Larsen)</t>
        </is>
      </c>
      <c r="L356" t="inlineStr">
        <is>
          <t>Boston : Little, Brown, c1986.</t>
        </is>
      </c>
      <c r="M356" t="inlineStr">
        <is>
          <t>1986</t>
        </is>
      </c>
      <c r="N356" t="inlineStr">
        <is>
          <t>1st ed.</t>
        </is>
      </c>
      <c r="O356" t="inlineStr">
        <is>
          <t>eng</t>
        </is>
      </c>
      <c r="P356" t="inlineStr">
        <is>
          <t>mau</t>
        </is>
      </c>
      <c r="R356" t="inlineStr">
        <is>
          <t xml:space="preserve">QB </t>
        </is>
      </c>
      <c r="S356" t="n">
        <v>5</v>
      </c>
      <c r="T356" t="n">
        <v>5</v>
      </c>
      <c r="U356" t="inlineStr">
        <is>
          <t>2006-04-17</t>
        </is>
      </c>
      <c r="V356" t="inlineStr">
        <is>
          <t>2006-04-17</t>
        </is>
      </c>
      <c r="W356" t="inlineStr">
        <is>
          <t>1992-11-17</t>
        </is>
      </c>
      <c r="X356" t="inlineStr">
        <is>
          <t>1992-11-17</t>
        </is>
      </c>
      <c r="Y356" t="n">
        <v>498</v>
      </c>
      <c r="Z356" t="n">
        <v>482</v>
      </c>
      <c r="AA356" t="n">
        <v>485</v>
      </c>
      <c r="AB356" t="n">
        <v>3</v>
      </c>
      <c r="AC356" t="n">
        <v>3</v>
      </c>
      <c r="AD356" t="n">
        <v>7</v>
      </c>
      <c r="AE356" t="n">
        <v>7</v>
      </c>
      <c r="AF356" t="n">
        <v>2</v>
      </c>
      <c r="AG356" t="n">
        <v>2</v>
      </c>
      <c r="AH356" t="n">
        <v>3</v>
      </c>
      <c r="AI356" t="n">
        <v>3</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HYPERLINK("https://creighton-primo.hosted.exlibrisgroup.com/primo-explore/search?tab=default_tab&amp;search_scope=EVERYTHING&amp;vid=01CRU&amp;lang=en_US&amp;offset=0&amp;query=any,contains,991000656829702656","Catalog Record")</f>
        <v/>
      </c>
      <c r="AT356">
        <f>HYPERLINK("http://www.worldcat.org/oclc/12216256","WorldCat Record")</f>
        <v/>
      </c>
      <c r="AU356" t="inlineStr">
        <is>
          <t>4951175:eng</t>
        </is>
      </c>
      <c r="AV356" t="inlineStr">
        <is>
          <t>12216256</t>
        </is>
      </c>
      <c r="AW356" t="inlineStr">
        <is>
          <t>991000656829702656</t>
        </is>
      </c>
      <c r="AX356" t="inlineStr">
        <is>
          <t>991000656829702656</t>
        </is>
      </c>
      <c r="AY356" t="inlineStr">
        <is>
          <t>2265344030002656</t>
        </is>
      </c>
      <c r="AZ356" t="inlineStr">
        <is>
          <t>BOOK</t>
        </is>
      </c>
      <c r="BB356" t="inlineStr">
        <is>
          <t>9780316092685</t>
        </is>
      </c>
      <c r="BC356" t="inlineStr">
        <is>
          <t>32285001431849</t>
        </is>
      </c>
      <c r="BD356" t="inlineStr">
        <is>
          <t>893515480</t>
        </is>
      </c>
    </row>
    <row r="357">
      <c r="A357" t="inlineStr">
        <is>
          <t>No</t>
        </is>
      </c>
      <c r="B357" t="inlineStr">
        <is>
          <t>QB63 .C76 1992</t>
        </is>
      </c>
      <c r="C357" t="inlineStr">
        <is>
          <t>0                      QB 0063000C  76          1992</t>
        </is>
      </c>
      <c r="D357" t="inlineStr">
        <is>
          <t>Binocular astronomy / Craig Crossen &amp; Wil Tirion.</t>
        </is>
      </c>
      <c r="F357" t="inlineStr">
        <is>
          <t>No</t>
        </is>
      </c>
      <c r="G357" t="inlineStr">
        <is>
          <t>1</t>
        </is>
      </c>
      <c r="H357" t="inlineStr">
        <is>
          <t>No</t>
        </is>
      </c>
      <c r="I357" t="inlineStr">
        <is>
          <t>No</t>
        </is>
      </c>
      <c r="J357" t="inlineStr">
        <is>
          <t>0</t>
        </is>
      </c>
      <c r="K357" t="inlineStr">
        <is>
          <t>Crossen, Craig.</t>
        </is>
      </c>
      <c r="L357" t="inlineStr">
        <is>
          <t>Richmond, Va. : Willmann-Bell, 1992.</t>
        </is>
      </c>
      <c r="M357" t="inlineStr">
        <is>
          <t>1992</t>
        </is>
      </c>
      <c r="N357" t="inlineStr">
        <is>
          <t>1st English ed.</t>
        </is>
      </c>
      <c r="O357" t="inlineStr">
        <is>
          <t>eng</t>
        </is>
      </c>
      <c r="P357" t="inlineStr">
        <is>
          <t>vau</t>
        </is>
      </c>
      <c r="R357" t="inlineStr">
        <is>
          <t xml:space="preserve">QB </t>
        </is>
      </c>
      <c r="S357" t="n">
        <v>8</v>
      </c>
      <c r="T357" t="n">
        <v>8</v>
      </c>
      <c r="U357" t="inlineStr">
        <is>
          <t>1999-07-19</t>
        </is>
      </c>
      <c r="V357" t="inlineStr">
        <is>
          <t>1999-07-19</t>
        </is>
      </c>
      <c r="W357" t="inlineStr">
        <is>
          <t>1994-01-11</t>
        </is>
      </c>
      <c r="X357" t="inlineStr">
        <is>
          <t>1994-01-11</t>
        </is>
      </c>
      <c r="Y357" t="n">
        <v>219</v>
      </c>
      <c r="Z357" t="n">
        <v>199</v>
      </c>
      <c r="AA357" t="n">
        <v>209</v>
      </c>
      <c r="AB357" t="n">
        <v>2</v>
      </c>
      <c r="AC357" t="n">
        <v>2</v>
      </c>
      <c r="AD357" t="n">
        <v>4</v>
      </c>
      <c r="AE357" t="n">
        <v>4</v>
      </c>
      <c r="AF357" t="n">
        <v>2</v>
      </c>
      <c r="AG357" t="n">
        <v>2</v>
      </c>
      <c r="AH357" t="n">
        <v>0</v>
      </c>
      <c r="AI357" t="n">
        <v>0</v>
      </c>
      <c r="AJ357" t="n">
        <v>2</v>
      </c>
      <c r="AK357" t="n">
        <v>2</v>
      </c>
      <c r="AL357" t="n">
        <v>1</v>
      </c>
      <c r="AM357" t="n">
        <v>1</v>
      </c>
      <c r="AN357" t="n">
        <v>0</v>
      </c>
      <c r="AO357" t="n">
        <v>0</v>
      </c>
      <c r="AP357" t="inlineStr">
        <is>
          <t>No</t>
        </is>
      </c>
      <c r="AQ357" t="inlineStr">
        <is>
          <t>Yes</t>
        </is>
      </c>
      <c r="AR357">
        <f>HYPERLINK("http://catalog.hathitrust.org/Record/002624587","HathiTrust Record")</f>
        <v/>
      </c>
      <c r="AS357">
        <f>HYPERLINK("https://creighton-primo.hosted.exlibrisgroup.com/primo-explore/search?tab=default_tab&amp;search_scope=EVERYTHING&amp;vid=01CRU&amp;lang=en_US&amp;offset=0&amp;query=any,contains,991001905509702656","Catalog Record")</f>
        <v/>
      </c>
      <c r="AT357">
        <f>HYPERLINK("http://www.worldcat.org/oclc/24067439","WorldCat Record")</f>
        <v/>
      </c>
      <c r="AU357" t="inlineStr">
        <is>
          <t>25131328:eng</t>
        </is>
      </c>
      <c r="AV357" t="inlineStr">
        <is>
          <t>24067439</t>
        </is>
      </c>
      <c r="AW357" t="inlineStr">
        <is>
          <t>991001905509702656</t>
        </is>
      </c>
      <c r="AX357" t="inlineStr">
        <is>
          <t>991001905509702656</t>
        </is>
      </c>
      <c r="AY357" t="inlineStr">
        <is>
          <t>2258422350002656</t>
        </is>
      </c>
      <c r="AZ357" t="inlineStr">
        <is>
          <t>BOOK</t>
        </is>
      </c>
      <c r="BB357" t="inlineStr">
        <is>
          <t>9780943396361</t>
        </is>
      </c>
      <c r="BC357" t="inlineStr">
        <is>
          <t>32285001830735</t>
        </is>
      </c>
      <c r="BD357" t="inlineStr">
        <is>
          <t>893250593</t>
        </is>
      </c>
    </row>
    <row r="358">
      <c r="A358" t="inlineStr">
        <is>
          <t>No</t>
        </is>
      </c>
      <c r="B358" t="inlineStr">
        <is>
          <t>QB63 .D38 1993</t>
        </is>
      </c>
      <c r="C358" t="inlineStr">
        <is>
          <t>0                      QB 0063000D  38          1993</t>
        </is>
      </c>
      <c r="D358" t="inlineStr">
        <is>
          <t>Sky phenomena : a guide to naked-eye observation of the stars : with sections on poetry in astronomy, constellation mythology, and the southern hemisphere sky / by Norman Davidson.</t>
        </is>
      </c>
      <c r="F358" t="inlineStr">
        <is>
          <t>No</t>
        </is>
      </c>
      <c r="G358" t="inlineStr">
        <is>
          <t>1</t>
        </is>
      </c>
      <c r="H358" t="inlineStr">
        <is>
          <t>No</t>
        </is>
      </c>
      <c r="I358" t="inlineStr">
        <is>
          <t>No</t>
        </is>
      </c>
      <c r="J358" t="inlineStr">
        <is>
          <t>0</t>
        </is>
      </c>
      <c r="K358" t="inlineStr">
        <is>
          <t>Davidson, Norman.</t>
        </is>
      </c>
      <c r="L358" t="inlineStr">
        <is>
          <t>Hudson, N.Y. : Lindisfarne Press, c1993.</t>
        </is>
      </c>
      <c r="M358" t="inlineStr">
        <is>
          <t>1993</t>
        </is>
      </c>
      <c r="O358" t="inlineStr">
        <is>
          <t>eng</t>
        </is>
      </c>
      <c r="P358" t="inlineStr">
        <is>
          <t>nyu</t>
        </is>
      </c>
      <c r="R358" t="inlineStr">
        <is>
          <t xml:space="preserve">QB </t>
        </is>
      </c>
      <c r="S358" t="n">
        <v>7</v>
      </c>
      <c r="T358" t="n">
        <v>7</v>
      </c>
      <c r="U358" t="inlineStr">
        <is>
          <t>1999-11-29</t>
        </is>
      </c>
      <c r="V358" t="inlineStr">
        <is>
          <t>1999-11-29</t>
        </is>
      </c>
      <c r="W358" t="inlineStr">
        <is>
          <t>1994-06-07</t>
        </is>
      </c>
      <c r="X358" t="inlineStr">
        <is>
          <t>1994-06-07</t>
        </is>
      </c>
      <c r="Y358" t="n">
        <v>421</v>
      </c>
      <c r="Z358" t="n">
        <v>404</v>
      </c>
      <c r="AA358" t="n">
        <v>431</v>
      </c>
      <c r="AB358" t="n">
        <v>2</v>
      </c>
      <c r="AC358" t="n">
        <v>2</v>
      </c>
      <c r="AD358" t="n">
        <v>12</v>
      </c>
      <c r="AE358" t="n">
        <v>13</v>
      </c>
      <c r="AF358" t="n">
        <v>5</v>
      </c>
      <c r="AG358" t="n">
        <v>5</v>
      </c>
      <c r="AH358" t="n">
        <v>3</v>
      </c>
      <c r="AI358" t="n">
        <v>3</v>
      </c>
      <c r="AJ358" t="n">
        <v>6</v>
      </c>
      <c r="AK358" t="n">
        <v>7</v>
      </c>
      <c r="AL358" t="n">
        <v>1</v>
      </c>
      <c r="AM358" t="n">
        <v>1</v>
      </c>
      <c r="AN358" t="n">
        <v>0</v>
      </c>
      <c r="AO358" t="n">
        <v>0</v>
      </c>
      <c r="AP358" t="inlineStr">
        <is>
          <t>No</t>
        </is>
      </c>
      <c r="AQ358" t="inlineStr">
        <is>
          <t>Yes</t>
        </is>
      </c>
      <c r="AR358">
        <f>HYPERLINK("http://catalog.hathitrust.org/Record/002911724","HathiTrust Record")</f>
        <v/>
      </c>
      <c r="AS358">
        <f>HYPERLINK("https://creighton-primo.hosted.exlibrisgroup.com/primo-explore/search?tab=default_tab&amp;search_scope=EVERYTHING&amp;vid=01CRU&amp;lang=en_US&amp;offset=0&amp;query=any,contains,991002117969702656","Catalog Record")</f>
        <v/>
      </c>
      <c r="AT358">
        <f>HYPERLINK("http://www.worldcat.org/oclc/27145644","WorldCat Record")</f>
        <v/>
      </c>
      <c r="AU358" t="inlineStr">
        <is>
          <t>383373:eng</t>
        </is>
      </c>
      <c r="AV358" t="inlineStr">
        <is>
          <t>27145644</t>
        </is>
      </c>
      <c r="AW358" t="inlineStr">
        <is>
          <t>991002117969702656</t>
        </is>
      </c>
      <c r="AX358" t="inlineStr">
        <is>
          <t>991002117969702656</t>
        </is>
      </c>
      <c r="AY358" t="inlineStr">
        <is>
          <t>2255368460002656</t>
        </is>
      </c>
      <c r="AZ358" t="inlineStr">
        <is>
          <t>BOOK</t>
        </is>
      </c>
      <c r="BB358" t="inlineStr">
        <is>
          <t>9780940262560</t>
        </is>
      </c>
      <c r="BC358" t="inlineStr">
        <is>
          <t>32285001921740</t>
        </is>
      </c>
      <c r="BD358" t="inlineStr">
        <is>
          <t>893597049</t>
        </is>
      </c>
    </row>
    <row r="359">
      <c r="A359" t="inlineStr">
        <is>
          <t>No</t>
        </is>
      </c>
      <c r="B359" t="inlineStr">
        <is>
          <t>QB63 .L68 1989</t>
        </is>
      </c>
      <c r="C359" t="inlineStr">
        <is>
          <t>0                      QB 0063000L  68          1989</t>
        </is>
      </c>
      <c r="D359" t="inlineStr">
        <is>
          <t>Men, monsters and the modern universe / George Lovi and Wil Tirion.</t>
        </is>
      </c>
      <c r="F359" t="inlineStr">
        <is>
          <t>No</t>
        </is>
      </c>
      <c r="G359" t="inlineStr">
        <is>
          <t>1</t>
        </is>
      </c>
      <c r="H359" t="inlineStr">
        <is>
          <t>No</t>
        </is>
      </c>
      <c r="I359" t="inlineStr">
        <is>
          <t>No</t>
        </is>
      </c>
      <c r="J359" t="inlineStr">
        <is>
          <t>0</t>
        </is>
      </c>
      <c r="K359" t="inlineStr">
        <is>
          <t>Lovi, George.</t>
        </is>
      </c>
      <c r="L359" t="inlineStr">
        <is>
          <t>Richmond, Va., U.S.A. : Willmann-Bell, 1989.</t>
        </is>
      </c>
      <c r="M359" t="inlineStr">
        <is>
          <t>1989</t>
        </is>
      </c>
      <c r="O359" t="inlineStr">
        <is>
          <t>eng</t>
        </is>
      </c>
      <c r="P359" t="inlineStr">
        <is>
          <t>vau</t>
        </is>
      </c>
      <c r="R359" t="inlineStr">
        <is>
          <t xml:space="preserve">QB </t>
        </is>
      </c>
      <c r="S359" t="n">
        <v>4</v>
      </c>
      <c r="T359" t="n">
        <v>4</v>
      </c>
      <c r="U359" t="inlineStr">
        <is>
          <t>1992-08-27</t>
        </is>
      </c>
      <c r="V359" t="inlineStr">
        <is>
          <t>1992-08-27</t>
        </is>
      </c>
      <c r="W359" t="inlineStr">
        <is>
          <t>1990-08-15</t>
        </is>
      </c>
      <c r="X359" t="inlineStr">
        <is>
          <t>1990-08-15</t>
        </is>
      </c>
      <c r="Y359" t="n">
        <v>169</v>
      </c>
      <c r="Z359" t="n">
        <v>156</v>
      </c>
      <c r="AA359" t="n">
        <v>158</v>
      </c>
      <c r="AB359" t="n">
        <v>1</v>
      </c>
      <c r="AC359" t="n">
        <v>1</v>
      </c>
      <c r="AD359" t="n">
        <v>5</v>
      </c>
      <c r="AE359" t="n">
        <v>5</v>
      </c>
      <c r="AF359" t="n">
        <v>1</v>
      </c>
      <c r="AG359" t="n">
        <v>1</v>
      </c>
      <c r="AH359" t="n">
        <v>1</v>
      </c>
      <c r="AI359" t="n">
        <v>1</v>
      </c>
      <c r="AJ359" t="n">
        <v>5</v>
      </c>
      <c r="AK359" t="n">
        <v>5</v>
      </c>
      <c r="AL359" t="n">
        <v>0</v>
      </c>
      <c r="AM359" t="n">
        <v>0</v>
      </c>
      <c r="AN359" t="n">
        <v>0</v>
      </c>
      <c r="AO359" t="n">
        <v>0</v>
      </c>
      <c r="AP359" t="inlineStr">
        <is>
          <t>No</t>
        </is>
      </c>
      <c r="AQ359" t="inlineStr">
        <is>
          <t>Yes</t>
        </is>
      </c>
      <c r="AR359">
        <f>HYPERLINK("http://catalog.hathitrust.org/Record/001822573","HathiTrust Record")</f>
        <v/>
      </c>
      <c r="AS359">
        <f>HYPERLINK("https://creighton-primo.hosted.exlibrisgroup.com/primo-explore/search?tab=default_tab&amp;search_scope=EVERYTHING&amp;vid=01CRU&amp;lang=en_US&amp;offset=0&amp;query=any,contains,991001503929702656","Catalog Record")</f>
        <v/>
      </c>
      <c r="AT359">
        <f>HYPERLINK("http://www.worldcat.org/oclc/19815308","WorldCat Record")</f>
        <v/>
      </c>
      <c r="AU359" t="inlineStr">
        <is>
          <t>21373631:eng</t>
        </is>
      </c>
      <c r="AV359" t="inlineStr">
        <is>
          <t>19815308</t>
        </is>
      </c>
      <c r="AW359" t="inlineStr">
        <is>
          <t>991001503929702656</t>
        </is>
      </c>
      <c r="AX359" t="inlineStr">
        <is>
          <t>991001503929702656</t>
        </is>
      </c>
      <c r="AY359" t="inlineStr">
        <is>
          <t>2265478200002656</t>
        </is>
      </c>
      <c r="AZ359" t="inlineStr">
        <is>
          <t>BOOK</t>
        </is>
      </c>
      <c r="BB359" t="inlineStr">
        <is>
          <t>9780943396248</t>
        </is>
      </c>
      <c r="BC359" t="inlineStr">
        <is>
          <t>32285000243732</t>
        </is>
      </c>
      <c r="BD359" t="inlineStr">
        <is>
          <t>893516240</t>
        </is>
      </c>
    </row>
    <row r="360">
      <c r="A360" t="inlineStr">
        <is>
          <t>No</t>
        </is>
      </c>
      <c r="B360" t="inlineStr">
        <is>
          <t>QB63 .M65</t>
        </is>
      </c>
      <c r="C360" t="inlineStr">
        <is>
          <t>0                      QB 0063000M  65</t>
        </is>
      </c>
      <c r="D360" t="inlineStr">
        <is>
          <t>Naked-eye astronomy / Patrick Moore. --</t>
        </is>
      </c>
      <c r="F360" t="inlineStr">
        <is>
          <t>No</t>
        </is>
      </c>
      <c r="G360" t="inlineStr">
        <is>
          <t>1</t>
        </is>
      </c>
      <c r="H360" t="inlineStr">
        <is>
          <t>No</t>
        </is>
      </c>
      <c r="I360" t="inlineStr">
        <is>
          <t>No</t>
        </is>
      </c>
      <c r="J360" t="inlineStr">
        <is>
          <t>0</t>
        </is>
      </c>
      <c r="K360" t="inlineStr">
        <is>
          <t>Moore, Patrick.</t>
        </is>
      </c>
      <c r="L360" t="inlineStr">
        <is>
          <t>New York : Norton, [c1965]</t>
        </is>
      </c>
      <c r="M360" t="inlineStr">
        <is>
          <t>1966</t>
        </is>
      </c>
      <c r="O360" t="inlineStr">
        <is>
          <t>eng</t>
        </is>
      </c>
      <c r="P360" t="inlineStr">
        <is>
          <t>___</t>
        </is>
      </c>
      <c r="Q360" t="inlineStr">
        <is>
          <t>Amateur astronomer's library</t>
        </is>
      </c>
      <c r="R360" t="inlineStr">
        <is>
          <t xml:space="preserve">QB </t>
        </is>
      </c>
      <c r="S360" t="n">
        <v>1</v>
      </c>
      <c r="T360" t="n">
        <v>1</v>
      </c>
      <c r="U360" t="inlineStr">
        <is>
          <t>2002-09-09</t>
        </is>
      </c>
      <c r="V360" t="inlineStr">
        <is>
          <t>2002-09-09</t>
        </is>
      </c>
      <c r="W360" t="inlineStr">
        <is>
          <t>1992-11-17</t>
        </is>
      </c>
      <c r="X360" t="inlineStr">
        <is>
          <t>1992-11-17</t>
        </is>
      </c>
      <c r="Y360" t="n">
        <v>344</v>
      </c>
      <c r="Z360" t="n">
        <v>338</v>
      </c>
      <c r="AA360" t="n">
        <v>371</v>
      </c>
      <c r="AB360" t="n">
        <v>3</v>
      </c>
      <c r="AC360" t="n">
        <v>3</v>
      </c>
      <c r="AD360" t="n">
        <v>7</v>
      </c>
      <c r="AE360" t="n">
        <v>8</v>
      </c>
      <c r="AF360" t="n">
        <v>0</v>
      </c>
      <c r="AG360" t="n">
        <v>0</v>
      </c>
      <c r="AH360" t="n">
        <v>2</v>
      </c>
      <c r="AI360" t="n">
        <v>2</v>
      </c>
      <c r="AJ360" t="n">
        <v>4</v>
      </c>
      <c r="AK360" t="n">
        <v>5</v>
      </c>
      <c r="AL360" t="n">
        <v>1</v>
      </c>
      <c r="AM360" t="n">
        <v>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HYPERLINK("https://creighton-primo.hosted.exlibrisgroup.com/primo-explore/search?tab=default_tab&amp;search_scope=EVERYTHING&amp;vid=01CRU&amp;lang=en_US&amp;offset=0&amp;query=any,contains,991002932369702656","Catalog Record")</f>
        <v/>
      </c>
      <c r="AT360">
        <f>HYPERLINK("http://www.worldcat.org/oclc/531394","WorldCat Record")</f>
        <v/>
      </c>
      <c r="AU360" t="inlineStr">
        <is>
          <t>1545518:eng</t>
        </is>
      </c>
      <c r="AV360" t="inlineStr">
        <is>
          <t>531394</t>
        </is>
      </c>
      <c r="AW360" t="inlineStr">
        <is>
          <t>991002932369702656</t>
        </is>
      </c>
      <c r="AX360" t="inlineStr">
        <is>
          <t>991002932369702656</t>
        </is>
      </c>
      <c r="AY360" t="inlineStr">
        <is>
          <t>2262992860002656</t>
        </is>
      </c>
      <c r="AZ360" t="inlineStr">
        <is>
          <t>BOOK</t>
        </is>
      </c>
      <c r="BC360" t="inlineStr">
        <is>
          <t>32285001431864</t>
        </is>
      </c>
      <c r="BD360" t="inlineStr">
        <is>
          <t>893498730</t>
        </is>
      </c>
    </row>
    <row r="361">
      <c r="A361" t="inlineStr">
        <is>
          <t>No</t>
        </is>
      </c>
      <c r="B361" t="inlineStr">
        <is>
          <t>QB63 .M6523 1986</t>
        </is>
      </c>
      <c r="C361" t="inlineStr">
        <is>
          <t>0                      QB 0063000M  6523        1986</t>
        </is>
      </c>
      <c r="D361" t="inlineStr">
        <is>
          <t>Exploring the night sky with binoculars / Patrick Moore.</t>
        </is>
      </c>
      <c r="F361" t="inlineStr">
        <is>
          <t>No</t>
        </is>
      </c>
      <c r="G361" t="inlineStr">
        <is>
          <t>1</t>
        </is>
      </c>
      <c r="H361" t="inlineStr">
        <is>
          <t>No</t>
        </is>
      </c>
      <c r="I361" t="inlineStr">
        <is>
          <t>No</t>
        </is>
      </c>
      <c r="J361" t="inlineStr">
        <is>
          <t>0</t>
        </is>
      </c>
      <c r="K361" t="inlineStr">
        <is>
          <t>Moore, Patrick.</t>
        </is>
      </c>
      <c r="L361" t="inlineStr">
        <is>
          <t>Cambridge [Cambridgeshire] ; New York, NY, USA : Cambridge University Press, 1986.</t>
        </is>
      </c>
      <c r="M361" t="inlineStr">
        <is>
          <t>1986</t>
        </is>
      </c>
      <c r="O361" t="inlineStr">
        <is>
          <t>eng</t>
        </is>
      </c>
      <c r="P361" t="inlineStr">
        <is>
          <t>enk</t>
        </is>
      </c>
      <c r="R361" t="inlineStr">
        <is>
          <t xml:space="preserve">QB </t>
        </is>
      </c>
      <c r="S361" t="n">
        <v>2</v>
      </c>
      <c r="T361" t="n">
        <v>2</v>
      </c>
      <c r="U361" t="inlineStr">
        <is>
          <t>1998-05-23</t>
        </is>
      </c>
      <c r="V361" t="inlineStr">
        <is>
          <t>1998-05-23</t>
        </is>
      </c>
      <c r="W361" t="inlineStr">
        <is>
          <t>1992-11-17</t>
        </is>
      </c>
      <c r="X361" t="inlineStr">
        <is>
          <t>1992-11-17</t>
        </is>
      </c>
      <c r="Y361" t="n">
        <v>415</v>
      </c>
      <c r="Z361" t="n">
        <v>330</v>
      </c>
      <c r="AA361" t="n">
        <v>708</v>
      </c>
      <c r="AB361" t="n">
        <v>2</v>
      </c>
      <c r="AC361" t="n">
        <v>4</v>
      </c>
      <c r="AD361" t="n">
        <v>6</v>
      </c>
      <c r="AE361" t="n">
        <v>17</v>
      </c>
      <c r="AF361" t="n">
        <v>0</v>
      </c>
      <c r="AG361" t="n">
        <v>4</v>
      </c>
      <c r="AH361" t="n">
        <v>1</v>
      </c>
      <c r="AI361" t="n">
        <v>3</v>
      </c>
      <c r="AJ361" t="n">
        <v>4</v>
      </c>
      <c r="AK361" t="n">
        <v>11</v>
      </c>
      <c r="AL361" t="n">
        <v>1</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HYPERLINK("https://creighton-primo.hosted.exlibrisgroup.com/primo-explore/search?tab=default_tab&amp;search_scope=EVERYTHING&amp;vid=01CRU&amp;lang=en_US&amp;offset=0&amp;query=any,contains,991000700659702656","Catalog Record")</f>
        <v/>
      </c>
      <c r="AT361">
        <f>HYPERLINK("http://www.worldcat.org/oclc/12549323","WorldCat Record")</f>
        <v/>
      </c>
      <c r="AU361" t="inlineStr">
        <is>
          <t>2664201:eng</t>
        </is>
      </c>
      <c r="AV361" t="inlineStr">
        <is>
          <t>12549323</t>
        </is>
      </c>
      <c r="AW361" t="inlineStr">
        <is>
          <t>991000700659702656</t>
        </is>
      </c>
      <c r="AX361" t="inlineStr">
        <is>
          <t>991000700659702656</t>
        </is>
      </c>
      <c r="AY361" t="inlineStr">
        <is>
          <t>2263520800002656</t>
        </is>
      </c>
      <c r="AZ361" t="inlineStr">
        <is>
          <t>BOOK</t>
        </is>
      </c>
      <c r="BB361" t="inlineStr">
        <is>
          <t>9780521307567</t>
        </is>
      </c>
      <c r="BC361" t="inlineStr">
        <is>
          <t>32285001431872</t>
        </is>
      </c>
      <c r="BD361" t="inlineStr">
        <is>
          <t>893315162</t>
        </is>
      </c>
    </row>
    <row r="362">
      <c r="A362" t="inlineStr">
        <is>
          <t>No</t>
        </is>
      </c>
      <c r="B362" t="inlineStr">
        <is>
          <t>QB63 .M66 2001</t>
        </is>
      </c>
      <c r="C362" t="inlineStr">
        <is>
          <t>0                      QB 0063000M  66          2001</t>
        </is>
      </c>
      <c r="D362" t="inlineStr">
        <is>
          <t>Stargazing : astronomy without a telescope / Patrick Moore.</t>
        </is>
      </c>
      <c r="F362" t="inlineStr">
        <is>
          <t>No</t>
        </is>
      </c>
      <c r="G362" t="inlineStr">
        <is>
          <t>1</t>
        </is>
      </c>
      <c r="H362" t="inlineStr">
        <is>
          <t>No</t>
        </is>
      </c>
      <c r="I362" t="inlineStr">
        <is>
          <t>Yes</t>
        </is>
      </c>
      <c r="J362" t="inlineStr">
        <is>
          <t>0</t>
        </is>
      </c>
      <c r="K362" t="inlineStr">
        <is>
          <t>Moore, Patrick.</t>
        </is>
      </c>
      <c r="L362" t="inlineStr">
        <is>
          <t>Cambridge ; New York : Cambridge University Press, c2001.</t>
        </is>
      </c>
      <c r="M362" t="inlineStr">
        <is>
          <t>2001</t>
        </is>
      </c>
      <c r="N362" t="inlineStr">
        <is>
          <t>2nd ed.</t>
        </is>
      </c>
      <c r="O362" t="inlineStr">
        <is>
          <t>eng</t>
        </is>
      </c>
      <c r="P362" t="inlineStr">
        <is>
          <t>enk</t>
        </is>
      </c>
      <c r="R362" t="inlineStr">
        <is>
          <t xml:space="preserve">QB </t>
        </is>
      </c>
      <c r="S362" t="n">
        <v>2</v>
      </c>
      <c r="T362" t="n">
        <v>2</v>
      </c>
      <c r="U362" t="inlineStr">
        <is>
          <t>2002-04-22</t>
        </is>
      </c>
      <c r="V362" t="inlineStr">
        <is>
          <t>2002-04-22</t>
        </is>
      </c>
      <c r="W362" t="inlineStr">
        <is>
          <t>2002-04-09</t>
        </is>
      </c>
      <c r="X362" t="inlineStr">
        <is>
          <t>2002-04-09</t>
        </is>
      </c>
      <c r="Y362" t="n">
        <v>554</v>
      </c>
      <c r="Z362" t="n">
        <v>466</v>
      </c>
      <c r="AA362" t="n">
        <v>1095</v>
      </c>
      <c r="AB362" t="n">
        <v>8</v>
      </c>
      <c r="AC362" t="n">
        <v>11</v>
      </c>
      <c r="AD362" t="n">
        <v>17</v>
      </c>
      <c r="AE362" t="n">
        <v>22</v>
      </c>
      <c r="AF362" t="n">
        <v>7</v>
      </c>
      <c r="AG362" t="n">
        <v>8</v>
      </c>
      <c r="AH362" t="n">
        <v>2</v>
      </c>
      <c r="AI362" t="n">
        <v>4</v>
      </c>
      <c r="AJ362" t="n">
        <v>9</v>
      </c>
      <c r="AK362" t="n">
        <v>10</v>
      </c>
      <c r="AL362" t="n">
        <v>4</v>
      </c>
      <c r="AM362" t="n">
        <v>6</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HYPERLINK("https://creighton-primo.hosted.exlibrisgroup.com/primo-explore/search?tab=default_tab&amp;search_scope=EVERYTHING&amp;vid=01CRU&amp;lang=en_US&amp;offset=0&amp;query=any,contains,991003771039702656","Catalog Record")</f>
        <v/>
      </c>
      <c r="AT362">
        <f>HYPERLINK("http://www.worldcat.org/oclc/43859487","WorldCat Record")</f>
        <v/>
      </c>
      <c r="AU362" t="inlineStr">
        <is>
          <t>29548096:eng</t>
        </is>
      </c>
      <c r="AV362" t="inlineStr">
        <is>
          <t>43859487</t>
        </is>
      </c>
      <c r="AW362" t="inlineStr">
        <is>
          <t>991003771039702656</t>
        </is>
      </c>
      <c r="AX362" t="inlineStr">
        <is>
          <t>991003771039702656</t>
        </is>
      </c>
      <c r="AY362" t="inlineStr">
        <is>
          <t>2268057320002656</t>
        </is>
      </c>
      <c r="AZ362" t="inlineStr">
        <is>
          <t>BOOK</t>
        </is>
      </c>
      <c r="BB362" t="inlineStr">
        <is>
          <t>9780521790529</t>
        </is>
      </c>
      <c r="BC362" t="inlineStr">
        <is>
          <t>32285004477880</t>
        </is>
      </c>
      <c r="BD362" t="inlineStr">
        <is>
          <t>893349112</t>
        </is>
      </c>
    </row>
    <row r="363">
      <c r="A363" t="inlineStr">
        <is>
          <t>No</t>
        </is>
      </c>
      <c r="B363" t="inlineStr">
        <is>
          <t>QB63 .N42 1970</t>
        </is>
      </c>
      <c r="C363" t="inlineStr">
        <is>
          <t>0                      QB 0063000N  42          1970</t>
        </is>
      </c>
      <c r="D363" t="inlineStr">
        <is>
          <t>A primer for star-gazers / by Henry M. Neely. Star maps and linedrawings by the author.</t>
        </is>
      </c>
      <c r="F363" t="inlineStr">
        <is>
          <t>No</t>
        </is>
      </c>
      <c r="G363" t="inlineStr">
        <is>
          <t>1</t>
        </is>
      </c>
      <c r="H363" t="inlineStr">
        <is>
          <t>No</t>
        </is>
      </c>
      <c r="I363" t="inlineStr">
        <is>
          <t>No</t>
        </is>
      </c>
      <c r="J363" t="inlineStr">
        <is>
          <t>0</t>
        </is>
      </c>
      <c r="K363" t="inlineStr">
        <is>
          <t>Neely, Henry M. (Henry Milton), 1877-1963.</t>
        </is>
      </c>
      <c r="L363" t="inlineStr">
        <is>
          <t>New York, Harper &amp; Row [1970]</t>
        </is>
      </c>
      <c r="M363" t="inlineStr">
        <is>
          <t>1970</t>
        </is>
      </c>
      <c r="N363" t="inlineStr">
        <is>
          <t>[New ed.] --</t>
        </is>
      </c>
      <c r="O363" t="inlineStr">
        <is>
          <t>eng</t>
        </is>
      </c>
      <c r="P363" t="inlineStr">
        <is>
          <t>nyu</t>
        </is>
      </c>
      <c r="R363" t="inlineStr">
        <is>
          <t xml:space="preserve">QB </t>
        </is>
      </c>
      <c r="S363" t="n">
        <v>3</v>
      </c>
      <c r="T363" t="n">
        <v>3</v>
      </c>
      <c r="U363" t="inlineStr">
        <is>
          <t>1993-11-22</t>
        </is>
      </c>
      <c r="V363" t="inlineStr">
        <is>
          <t>1993-11-22</t>
        </is>
      </c>
      <c r="W363" t="inlineStr">
        <is>
          <t>1992-11-17</t>
        </is>
      </c>
      <c r="X363" t="inlineStr">
        <is>
          <t>1992-11-17</t>
        </is>
      </c>
      <c r="Y363" t="n">
        <v>285</v>
      </c>
      <c r="Z363" t="n">
        <v>274</v>
      </c>
      <c r="AA363" t="n">
        <v>511</v>
      </c>
      <c r="AB363" t="n">
        <v>6</v>
      </c>
      <c r="AC363" t="n">
        <v>6</v>
      </c>
      <c r="AD363" t="n">
        <v>6</v>
      </c>
      <c r="AE363" t="n">
        <v>12</v>
      </c>
      <c r="AF363" t="n">
        <v>2</v>
      </c>
      <c r="AG363" t="n">
        <v>6</v>
      </c>
      <c r="AH363" t="n">
        <v>2</v>
      </c>
      <c r="AI363" t="n">
        <v>4</v>
      </c>
      <c r="AJ363" t="n">
        <v>0</v>
      </c>
      <c r="AK363" t="n">
        <v>2</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HYPERLINK("https://creighton-primo.hosted.exlibrisgroup.com/primo-explore/search?tab=default_tab&amp;search_scope=EVERYTHING&amp;vid=01CRU&amp;lang=en_US&amp;offset=0&amp;query=any,contains,991000566659702656","Catalog Record")</f>
        <v/>
      </c>
      <c r="AT363">
        <f>HYPERLINK("http://www.worldcat.org/oclc/94327","WorldCat Record")</f>
        <v/>
      </c>
      <c r="AU363" t="inlineStr">
        <is>
          <t>1313588:eng</t>
        </is>
      </c>
      <c r="AV363" t="inlineStr">
        <is>
          <t>94327</t>
        </is>
      </c>
      <c r="AW363" t="inlineStr">
        <is>
          <t>991000566659702656</t>
        </is>
      </c>
      <c r="AX363" t="inlineStr">
        <is>
          <t>991000566659702656</t>
        </is>
      </c>
      <c r="AY363" t="inlineStr">
        <is>
          <t>2266117530002656</t>
        </is>
      </c>
      <c r="AZ363" t="inlineStr">
        <is>
          <t>BOOK</t>
        </is>
      </c>
      <c r="BC363" t="inlineStr">
        <is>
          <t>32285001431898</t>
        </is>
      </c>
      <c r="BD363" t="inlineStr">
        <is>
          <t>893333587</t>
        </is>
      </c>
    </row>
    <row r="364">
      <c r="A364" t="inlineStr">
        <is>
          <t>No</t>
        </is>
      </c>
      <c r="B364" t="inlineStr">
        <is>
          <t>QB63 .P5</t>
        </is>
      </c>
      <c r="C364" t="inlineStr">
        <is>
          <t>0                      QB 0063000P  5</t>
        </is>
      </c>
      <c r="D364" t="inlineStr">
        <is>
          <t>The stars are yours.</t>
        </is>
      </c>
      <c r="F364" t="inlineStr">
        <is>
          <t>No</t>
        </is>
      </c>
      <c r="G364" t="inlineStr">
        <is>
          <t>1</t>
        </is>
      </c>
      <c r="H364" t="inlineStr">
        <is>
          <t>No</t>
        </is>
      </c>
      <c r="I364" t="inlineStr">
        <is>
          <t>No</t>
        </is>
      </c>
      <c r="J364" t="inlineStr">
        <is>
          <t>0</t>
        </is>
      </c>
      <c r="K364" t="inlineStr">
        <is>
          <t>Pickering, James S. (James Sayre)</t>
        </is>
      </c>
      <c r="L364" t="inlineStr">
        <is>
          <t>New York : Macmillan Co., 1948.</t>
        </is>
      </c>
      <c r="M364" t="inlineStr">
        <is>
          <t>1948</t>
        </is>
      </c>
      <c r="O364" t="inlineStr">
        <is>
          <t>eng</t>
        </is>
      </c>
      <c r="P364" t="inlineStr">
        <is>
          <t>nyu</t>
        </is>
      </c>
      <c r="R364" t="inlineStr">
        <is>
          <t xml:space="preserve">QB </t>
        </is>
      </c>
      <c r="S364" t="n">
        <v>2</v>
      </c>
      <c r="T364" t="n">
        <v>2</v>
      </c>
      <c r="U364" t="inlineStr">
        <is>
          <t>2005-02-16</t>
        </is>
      </c>
      <c r="V364" t="inlineStr">
        <is>
          <t>2005-02-16</t>
        </is>
      </c>
      <c r="W364" t="inlineStr">
        <is>
          <t>1992-12-10</t>
        </is>
      </c>
      <c r="X364" t="inlineStr">
        <is>
          <t>1992-12-10</t>
        </is>
      </c>
      <c r="Y364" t="n">
        <v>169</v>
      </c>
      <c r="Z364" t="n">
        <v>159</v>
      </c>
      <c r="AA364" t="n">
        <v>251</v>
      </c>
      <c r="AB364" t="n">
        <v>1</v>
      </c>
      <c r="AC364" t="n">
        <v>2</v>
      </c>
      <c r="AD364" t="n">
        <v>3</v>
      </c>
      <c r="AE364" t="n">
        <v>4</v>
      </c>
      <c r="AF364" t="n">
        <v>2</v>
      </c>
      <c r="AG364" t="n">
        <v>2</v>
      </c>
      <c r="AH364" t="n">
        <v>0</v>
      </c>
      <c r="AI364" t="n">
        <v>0</v>
      </c>
      <c r="AJ364" t="n">
        <v>1</v>
      </c>
      <c r="AK364" t="n">
        <v>1</v>
      </c>
      <c r="AL364" t="n">
        <v>0</v>
      </c>
      <c r="AM364" t="n">
        <v>1</v>
      </c>
      <c r="AN364" t="n">
        <v>0</v>
      </c>
      <c r="AO364" t="n">
        <v>0</v>
      </c>
      <c r="AP364" t="inlineStr">
        <is>
          <t>Yes</t>
        </is>
      </c>
      <c r="AQ364" t="inlineStr">
        <is>
          <t>No</t>
        </is>
      </c>
      <c r="AR364">
        <f>HYPERLINK("http://catalog.hathitrust.org/Record/001476076","HathiTrust Record")</f>
        <v/>
      </c>
      <c r="AS364">
        <f>HYPERLINK("https://creighton-primo.hosted.exlibrisgroup.com/primo-explore/search?tab=default_tab&amp;search_scope=EVERYTHING&amp;vid=01CRU&amp;lang=en_US&amp;offset=0&amp;query=any,contains,991003643839702656","Catalog Record")</f>
        <v/>
      </c>
      <c r="AT364">
        <f>HYPERLINK("http://www.worldcat.org/oclc/1242865","WorldCat Record")</f>
        <v/>
      </c>
      <c r="AU364" t="inlineStr">
        <is>
          <t>1569345:eng</t>
        </is>
      </c>
      <c r="AV364" t="inlineStr">
        <is>
          <t>1242865</t>
        </is>
      </c>
      <c r="AW364" t="inlineStr">
        <is>
          <t>991003643839702656</t>
        </is>
      </c>
      <c r="AX364" t="inlineStr">
        <is>
          <t>991003643839702656</t>
        </is>
      </c>
      <c r="AY364" t="inlineStr">
        <is>
          <t>2261493260002656</t>
        </is>
      </c>
      <c r="AZ364" t="inlineStr">
        <is>
          <t>BOOK</t>
        </is>
      </c>
      <c r="BC364" t="inlineStr">
        <is>
          <t>32285001440030</t>
        </is>
      </c>
      <c r="BD364" t="inlineStr">
        <is>
          <t>893893948</t>
        </is>
      </c>
    </row>
    <row r="365">
      <c r="A365" t="inlineStr">
        <is>
          <t>No</t>
        </is>
      </c>
      <c r="B365" t="inlineStr">
        <is>
          <t>QB63 .R527 2001</t>
        </is>
      </c>
      <c r="C365" t="inlineStr">
        <is>
          <t>0                      QB 0063000R  527         2001</t>
        </is>
      </c>
      <c r="D365" t="inlineStr">
        <is>
          <t>Stars and planets / Ian Ridpath ; illustrated by Wil Tirion.</t>
        </is>
      </c>
      <c r="F365" t="inlineStr">
        <is>
          <t>No</t>
        </is>
      </c>
      <c r="G365" t="inlineStr">
        <is>
          <t>1</t>
        </is>
      </c>
      <c r="H365" t="inlineStr">
        <is>
          <t>No</t>
        </is>
      </c>
      <c r="I365" t="inlineStr">
        <is>
          <t>Yes</t>
        </is>
      </c>
      <c r="J365" t="inlineStr">
        <is>
          <t>0</t>
        </is>
      </c>
      <c r="K365" t="inlineStr">
        <is>
          <t>Ridpath, Ian.</t>
        </is>
      </c>
      <c r="L365" t="inlineStr">
        <is>
          <t>Princeton, N.J. : Princeton University Press, 2001.</t>
        </is>
      </c>
      <c r="M365" t="inlineStr">
        <is>
          <t>2001</t>
        </is>
      </c>
      <c r="N365" t="inlineStr">
        <is>
          <t>3rd ed.</t>
        </is>
      </c>
      <c r="O365" t="inlineStr">
        <is>
          <t>eng</t>
        </is>
      </c>
      <c r="P365" t="inlineStr">
        <is>
          <t>nju</t>
        </is>
      </c>
      <c r="Q365" t="inlineStr">
        <is>
          <t>Princeton field guides</t>
        </is>
      </c>
      <c r="R365" t="inlineStr">
        <is>
          <t xml:space="preserve">QB </t>
        </is>
      </c>
      <c r="S365" t="n">
        <v>2</v>
      </c>
      <c r="T365" t="n">
        <v>2</v>
      </c>
      <c r="U365" t="inlineStr">
        <is>
          <t>2009-01-14</t>
        </is>
      </c>
      <c r="V365" t="inlineStr">
        <is>
          <t>2009-01-14</t>
        </is>
      </c>
      <c r="W365" t="inlineStr">
        <is>
          <t>2009-01-14</t>
        </is>
      </c>
      <c r="X365" t="inlineStr">
        <is>
          <t>2009-01-14</t>
        </is>
      </c>
      <c r="Y365" t="n">
        <v>529</v>
      </c>
      <c r="Z365" t="n">
        <v>505</v>
      </c>
      <c r="AA365" t="n">
        <v>1440</v>
      </c>
      <c r="AB365" t="n">
        <v>2</v>
      </c>
      <c r="AC365" t="n">
        <v>13</v>
      </c>
      <c r="AD365" t="n">
        <v>7</v>
      </c>
      <c r="AE365" t="n">
        <v>11</v>
      </c>
      <c r="AF365" t="n">
        <v>0</v>
      </c>
      <c r="AG365" t="n">
        <v>1</v>
      </c>
      <c r="AH365" t="n">
        <v>1</v>
      </c>
      <c r="AI365" t="n">
        <v>2</v>
      </c>
      <c r="AJ365" t="n">
        <v>6</v>
      </c>
      <c r="AK365" t="n">
        <v>7</v>
      </c>
      <c r="AL365" t="n">
        <v>1</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HYPERLINK("https://creighton-primo.hosted.exlibrisgroup.com/primo-explore/search?tab=default_tab&amp;search_scope=EVERYTHING&amp;vid=01CRU&amp;lang=en_US&amp;offset=0&amp;query=any,contains,991005290469702656","Catalog Record")</f>
        <v/>
      </c>
      <c r="AT365">
        <f>HYPERLINK("http://www.worldcat.org/oclc/45895238","WorldCat Record")</f>
        <v/>
      </c>
      <c r="AU365" t="inlineStr">
        <is>
          <t>582067:eng</t>
        </is>
      </c>
      <c r="AV365" t="inlineStr">
        <is>
          <t>45895238</t>
        </is>
      </c>
      <c r="AW365" t="inlineStr">
        <is>
          <t>991005290469702656</t>
        </is>
      </c>
      <c r="AX365" t="inlineStr">
        <is>
          <t>991005290469702656</t>
        </is>
      </c>
      <c r="AY365" t="inlineStr">
        <is>
          <t>2266550850002656</t>
        </is>
      </c>
      <c r="AZ365" t="inlineStr">
        <is>
          <t>BOOK</t>
        </is>
      </c>
      <c r="BB365" t="inlineStr">
        <is>
          <t>9780691089126</t>
        </is>
      </c>
      <c r="BC365" t="inlineStr">
        <is>
          <t>32285005470132</t>
        </is>
      </c>
      <c r="BD365" t="inlineStr">
        <is>
          <t>893707596</t>
        </is>
      </c>
    </row>
    <row r="366">
      <c r="A366" t="inlineStr">
        <is>
          <t>No</t>
        </is>
      </c>
      <c r="B366" t="inlineStr">
        <is>
          <t>QB631 .A385 1993</t>
        </is>
      </c>
      <c r="C366" t="inlineStr">
        <is>
          <t>0                      QB 0631000A  385         1993</t>
        </is>
      </c>
      <c r="D366" t="inlineStr">
        <is>
          <t>Earth, our planet and its resources / Michael Allaby.</t>
        </is>
      </c>
      <c r="F366" t="inlineStr">
        <is>
          <t>No</t>
        </is>
      </c>
      <c r="G366" t="inlineStr">
        <is>
          <t>1</t>
        </is>
      </c>
      <c r="H366" t="inlineStr">
        <is>
          <t>No</t>
        </is>
      </c>
      <c r="I366" t="inlineStr">
        <is>
          <t>No</t>
        </is>
      </c>
      <c r="J366" t="inlineStr">
        <is>
          <t>0</t>
        </is>
      </c>
      <c r="K366" t="inlineStr">
        <is>
          <t>Allaby, Michael.</t>
        </is>
      </c>
      <c r="L366" t="inlineStr">
        <is>
          <t>New York : Facts on File, c1993.</t>
        </is>
      </c>
      <c r="M366" t="inlineStr">
        <is>
          <t>1993</t>
        </is>
      </c>
      <c r="O366" t="inlineStr">
        <is>
          <t>eng</t>
        </is>
      </c>
      <c r="P366" t="inlineStr">
        <is>
          <t>nyu</t>
        </is>
      </c>
      <c r="Q366" t="inlineStr">
        <is>
          <t>Elements</t>
        </is>
      </c>
      <c r="R366" t="inlineStr">
        <is>
          <t xml:space="preserve">QB </t>
        </is>
      </c>
      <c r="S366" t="n">
        <v>1</v>
      </c>
      <c r="T366" t="n">
        <v>1</v>
      </c>
      <c r="U366" t="inlineStr">
        <is>
          <t>1994-11-26</t>
        </is>
      </c>
      <c r="V366" t="inlineStr">
        <is>
          <t>1994-11-26</t>
        </is>
      </c>
      <c r="W366" t="inlineStr">
        <is>
          <t>1994-08-08</t>
        </is>
      </c>
      <c r="X366" t="inlineStr">
        <is>
          <t>1994-08-08</t>
        </is>
      </c>
      <c r="Y366" t="n">
        <v>248</v>
      </c>
      <c r="Z366" t="n">
        <v>202</v>
      </c>
      <c r="AA366" t="n">
        <v>207</v>
      </c>
      <c r="AB366" t="n">
        <v>3</v>
      </c>
      <c r="AC366" t="n">
        <v>3</v>
      </c>
      <c r="AD366" t="n">
        <v>3</v>
      </c>
      <c r="AE366" t="n">
        <v>3</v>
      </c>
      <c r="AF366" t="n">
        <v>2</v>
      </c>
      <c r="AG366" t="n">
        <v>2</v>
      </c>
      <c r="AH366" t="n">
        <v>0</v>
      </c>
      <c r="AI366" t="n">
        <v>0</v>
      </c>
      <c r="AJ366" t="n">
        <v>0</v>
      </c>
      <c r="AK366" t="n">
        <v>0</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HYPERLINK("https://creighton-primo.hosted.exlibrisgroup.com/primo-explore/search?tab=default_tab&amp;search_scope=EVERYTHING&amp;vid=01CRU&amp;lang=en_US&amp;offset=0&amp;query=any,contains,991002136169702656","Catalog Record")</f>
        <v/>
      </c>
      <c r="AT366">
        <f>HYPERLINK("http://www.worldcat.org/oclc/27388756","WorldCat Record")</f>
        <v/>
      </c>
      <c r="AU366" t="inlineStr">
        <is>
          <t>354721:eng</t>
        </is>
      </c>
      <c r="AV366" t="inlineStr">
        <is>
          <t>27388756</t>
        </is>
      </c>
      <c r="AW366" t="inlineStr">
        <is>
          <t>991002136169702656</t>
        </is>
      </c>
      <c r="AX366" t="inlineStr">
        <is>
          <t>991002136169702656</t>
        </is>
      </c>
      <c r="AY366" t="inlineStr">
        <is>
          <t>2257203360002656</t>
        </is>
      </c>
      <c r="AZ366" t="inlineStr">
        <is>
          <t>BOOK</t>
        </is>
      </c>
      <c r="BB366" t="inlineStr">
        <is>
          <t>9780816027132</t>
        </is>
      </c>
      <c r="BC366" t="inlineStr">
        <is>
          <t>32285001942126</t>
        </is>
      </c>
      <c r="BD366" t="inlineStr">
        <is>
          <t>893709908</t>
        </is>
      </c>
    </row>
    <row r="367">
      <c r="A367" t="inlineStr">
        <is>
          <t>No</t>
        </is>
      </c>
      <c r="B367" t="inlineStr">
        <is>
          <t>QB631 .A753 1982</t>
        </is>
      </c>
      <c r="C367" t="inlineStr">
        <is>
          <t>0                      QB 0631000A  753         1982</t>
        </is>
      </c>
      <c r="D367" t="inlineStr">
        <is>
          <t>Exploring the earth and the cosmos : the growth and future of human knowledge / Isaac Asimov.</t>
        </is>
      </c>
      <c r="F367" t="inlineStr">
        <is>
          <t>No</t>
        </is>
      </c>
      <c r="G367" t="inlineStr">
        <is>
          <t>1</t>
        </is>
      </c>
      <c r="H367" t="inlineStr">
        <is>
          <t>No</t>
        </is>
      </c>
      <c r="I367" t="inlineStr">
        <is>
          <t>No</t>
        </is>
      </c>
      <c r="J367" t="inlineStr">
        <is>
          <t>0</t>
        </is>
      </c>
      <c r="K367" t="inlineStr">
        <is>
          <t>Asimov, Isaac, 1920-1992.</t>
        </is>
      </c>
      <c r="L367" t="inlineStr">
        <is>
          <t>New York : Crown, c1982.</t>
        </is>
      </c>
      <c r="M367" t="inlineStr">
        <is>
          <t>1982</t>
        </is>
      </c>
      <c r="N367" t="inlineStr">
        <is>
          <t>1st ed.</t>
        </is>
      </c>
      <c r="O367" t="inlineStr">
        <is>
          <t>eng</t>
        </is>
      </c>
      <c r="P367" t="inlineStr">
        <is>
          <t>nyu</t>
        </is>
      </c>
      <c r="R367" t="inlineStr">
        <is>
          <t xml:space="preserve">QB </t>
        </is>
      </c>
      <c r="S367" t="n">
        <v>4</v>
      </c>
      <c r="T367" t="n">
        <v>4</v>
      </c>
      <c r="U367" t="inlineStr">
        <is>
          <t>2007-04-02</t>
        </is>
      </c>
      <c r="V367" t="inlineStr">
        <is>
          <t>2007-04-02</t>
        </is>
      </c>
      <c r="W367" t="inlineStr">
        <is>
          <t>1990-06-07</t>
        </is>
      </c>
      <c r="X367" t="inlineStr">
        <is>
          <t>1990-06-07</t>
        </is>
      </c>
      <c r="Y367" t="n">
        <v>1226</v>
      </c>
      <c r="Z367" t="n">
        <v>1151</v>
      </c>
      <c r="AA367" t="n">
        <v>1152</v>
      </c>
      <c r="AB367" t="n">
        <v>4</v>
      </c>
      <c r="AC367" t="n">
        <v>4</v>
      </c>
      <c r="AD367" t="n">
        <v>20</v>
      </c>
      <c r="AE367" t="n">
        <v>20</v>
      </c>
      <c r="AF367" t="n">
        <v>11</v>
      </c>
      <c r="AG367" t="n">
        <v>11</v>
      </c>
      <c r="AH367" t="n">
        <v>3</v>
      </c>
      <c r="AI367" t="n">
        <v>3</v>
      </c>
      <c r="AJ367" t="n">
        <v>9</v>
      </c>
      <c r="AK367" t="n">
        <v>9</v>
      </c>
      <c r="AL367" t="n">
        <v>3</v>
      </c>
      <c r="AM367" t="n">
        <v>3</v>
      </c>
      <c r="AN367" t="n">
        <v>0</v>
      </c>
      <c r="AO367" t="n">
        <v>0</v>
      </c>
      <c r="AP367" t="inlineStr">
        <is>
          <t>No</t>
        </is>
      </c>
      <c r="AQ367" t="inlineStr">
        <is>
          <t>Yes</t>
        </is>
      </c>
      <c r="AR367">
        <f>HYPERLINK("http://catalog.hathitrust.org/Record/000269955","HathiTrust Record")</f>
        <v/>
      </c>
      <c r="AS367">
        <f>HYPERLINK("https://creighton-primo.hosted.exlibrisgroup.com/primo-explore/search?tab=default_tab&amp;search_scope=EVERYTHING&amp;vid=01CRU&amp;lang=en_US&amp;offset=0&amp;query=any,contains,991005213549702656","Catalog Record")</f>
        <v/>
      </c>
      <c r="AT367">
        <f>HYPERLINK("http://www.worldcat.org/oclc/8171208","WorldCat Record")</f>
        <v/>
      </c>
      <c r="AU367" t="inlineStr">
        <is>
          <t>222799128:eng</t>
        </is>
      </c>
      <c r="AV367" t="inlineStr">
        <is>
          <t>8171208</t>
        </is>
      </c>
      <c r="AW367" t="inlineStr">
        <is>
          <t>991005213549702656</t>
        </is>
      </c>
      <c r="AX367" t="inlineStr">
        <is>
          <t>991005213549702656</t>
        </is>
      </c>
      <c r="AY367" t="inlineStr">
        <is>
          <t>2257166860002656</t>
        </is>
      </c>
      <c r="AZ367" t="inlineStr">
        <is>
          <t>BOOK</t>
        </is>
      </c>
      <c r="BB367" t="inlineStr">
        <is>
          <t>9780517546673</t>
        </is>
      </c>
      <c r="BC367" t="inlineStr">
        <is>
          <t>32285000184183</t>
        </is>
      </c>
      <c r="BD367" t="inlineStr">
        <is>
          <t>893437345</t>
        </is>
      </c>
    </row>
    <row r="368">
      <c r="A368" t="inlineStr">
        <is>
          <t>No</t>
        </is>
      </c>
      <c r="B368" t="inlineStr">
        <is>
          <t>QB631 .B4</t>
        </is>
      </c>
      <c r="C368" t="inlineStr">
        <is>
          <t>0                      QB 0631000B  4</t>
        </is>
      </c>
      <c r="D368" t="inlineStr">
        <is>
          <t>Our earth; the properties of our planet, how they were discovered, and how they came into being.</t>
        </is>
      </c>
      <c r="F368" t="inlineStr">
        <is>
          <t>No</t>
        </is>
      </c>
      <c r="G368" t="inlineStr">
        <is>
          <t>1</t>
        </is>
      </c>
      <c r="H368" t="inlineStr">
        <is>
          <t>No</t>
        </is>
      </c>
      <c r="I368" t="inlineStr">
        <is>
          <t>No</t>
        </is>
      </c>
      <c r="J368" t="inlineStr">
        <is>
          <t>0</t>
        </is>
      </c>
      <c r="K368" t="inlineStr">
        <is>
          <t>Beiser, Arthur.</t>
        </is>
      </c>
      <c r="L368" t="inlineStr">
        <is>
          <t>New York, Dutton, 1959.</t>
        </is>
      </c>
      <c r="M368" t="inlineStr">
        <is>
          <t>1959</t>
        </is>
      </c>
      <c r="N368" t="inlineStr">
        <is>
          <t>[1st ed.]</t>
        </is>
      </c>
      <c r="O368" t="inlineStr">
        <is>
          <t>eng</t>
        </is>
      </c>
      <c r="P368" t="inlineStr">
        <is>
          <t xml:space="preserve">xx </t>
        </is>
      </c>
      <c r="R368" t="inlineStr">
        <is>
          <t xml:space="preserve">QB </t>
        </is>
      </c>
      <c r="S368" t="n">
        <v>1</v>
      </c>
      <c r="T368" t="n">
        <v>1</v>
      </c>
      <c r="U368" t="inlineStr">
        <is>
          <t>2007-04-02</t>
        </is>
      </c>
      <c r="V368" t="inlineStr">
        <is>
          <t>2007-04-02</t>
        </is>
      </c>
      <c r="W368" t="inlineStr">
        <is>
          <t>1997-05-05</t>
        </is>
      </c>
      <c r="X368" t="inlineStr">
        <is>
          <t>1997-05-05</t>
        </is>
      </c>
      <c r="Y368" t="n">
        <v>201</v>
      </c>
      <c r="Z368" t="n">
        <v>194</v>
      </c>
      <c r="AA368" t="n">
        <v>204</v>
      </c>
      <c r="AB368" t="n">
        <v>2</v>
      </c>
      <c r="AC368" t="n">
        <v>3</v>
      </c>
      <c r="AD368" t="n">
        <v>4</v>
      </c>
      <c r="AE368" t="n">
        <v>5</v>
      </c>
      <c r="AF368" t="n">
        <v>2</v>
      </c>
      <c r="AG368" t="n">
        <v>2</v>
      </c>
      <c r="AH368" t="n">
        <v>0</v>
      </c>
      <c r="AI368" t="n">
        <v>0</v>
      </c>
      <c r="AJ368" t="n">
        <v>4</v>
      </c>
      <c r="AK368" t="n">
        <v>4</v>
      </c>
      <c r="AL368" t="n">
        <v>0</v>
      </c>
      <c r="AM368" t="n">
        <v>1</v>
      </c>
      <c r="AN368" t="n">
        <v>0</v>
      </c>
      <c r="AO368" t="n">
        <v>0</v>
      </c>
      <c r="AP368" t="inlineStr">
        <is>
          <t>No</t>
        </is>
      </c>
      <c r="AQ368" t="inlineStr">
        <is>
          <t>Yes</t>
        </is>
      </c>
      <c r="AR368">
        <f>HYPERLINK("http://catalog.hathitrust.org/Record/001991274","HathiTrust Record")</f>
        <v/>
      </c>
      <c r="AS368">
        <f>HYPERLINK("https://creighton-primo.hosted.exlibrisgroup.com/primo-explore/search?tab=default_tab&amp;search_scope=EVERYTHING&amp;vid=01CRU&amp;lang=en_US&amp;offset=0&amp;query=any,contains,991002929839702656","Catalog Record")</f>
        <v/>
      </c>
      <c r="AT368">
        <f>HYPERLINK("http://www.worldcat.org/oclc/530568","WorldCat Record")</f>
        <v/>
      </c>
      <c r="AU368" t="inlineStr">
        <is>
          <t>1543490:eng</t>
        </is>
      </c>
      <c r="AV368" t="inlineStr">
        <is>
          <t>530568</t>
        </is>
      </c>
      <c r="AW368" t="inlineStr">
        <is>
          <t>991002929839702656</t>
        </is>
      </c>
      <c r="AX368" t="inlineStr">
        <is>
          <t>991002929839702656</t>
        </is>
      </c>
      <c r="AY368" t="inlineStr">
        <is>
          <t>2266594170002656</t>
        </is>
      </c>
      <c r="AZ368" t="inlineStr">
        <is>
          <t>BOOK</t>
        </is>
      </c>
      <c r="BC368" t="inlineStr">
        <is>
          <t>32285002642394</t>
        </is>
      </c>
      <c r="BD368" t="inlineStr">
        <is>
          <t>893874195</t>
        </is>
      </c>
    </row>
    <row r="369">
      <c r="A369" t="inlineStr">
        <is>
          <t>No</t>
        </is>
      </c>
      <c r="B369" t="inlineStr">
        <is>
          <t>QB631 .E55 1992</t>
        </is>
      </c>
      <c r="C369" t="inlineStr">
        <is>
          <t>0                      QB 0631000E  55          1992</t>
        </is>
      </c>
      <c r="D369" t="inlineStr">
        <is>
          <t>Planet earth : cosmology, geology, and the evolution of life and environment / Cesare Emiliani.</t>
        </is>
      </c>
      <c r="F369" t="inlineStr">
        <is>
          <t>No</t>
        </is>
      </c>
      <c r="G369" t="inlineStr">
        <is>
          <t>1</t>
        </is>
      </c>
      <c r="H369" t="inlineStr">
        <is>
          <t>No</t>
        </is>
      </c>
      <c r="I369" t="inlineStr">
        <is>
          <t>No</t>
        </is>
      </c>
      <c r="J369" t="inlineStr">
        <is>
          <t>0</t>
        </is>
      </c>
      <c r="K369" t="inlineStr">
        <is>
          <t>Emiliani, Cesare.</t>
        </is>
      </c>
      <c r="L369" t="inlineStr">
        <is>
          <t>Cambridge [England] ; New York : Cambridge University Press, 1992.</t>
        </is>
      </c>
      <c r="M369" t="inlineStr">
        <is>
          <t>1992</t>
        </is>
      </c>
      <c r="O369" t="inlineStr">
        <is>
          <t>eng</t>
        </is>
      </c>
      <c r="P369" t="inlineStr">
        <is>
          <t>enk</t>
        </is>
      </c>
      <c r="R369" t="inlineStr">
        <is>
          <t xml:space="preserve">QB </t>
        </is>
      </c>
      <c r="S369" t="n">
        <v>8</v>
      </c>
      <c r="T369" t="n">
        <v>8</v>
      </c>
      <c r="U369" t="inlineStr">
        <is>
          <t>2006-03-17</t>
        </is>
      </c>
      <c r="V369" t="inlineStr">
        <is>
          <t>2006-03-17</t>
        </is>
      </c>
      <c r="W369" t="inlineStr">
        <is>
          <t>1993-08-17</t>
        </is>
      </c>
      <c r="X369" t="inlineStr">
        <is>
          <t>1993-08-17</t>
        </is>
      </c>
      <c r="Y369" t="n">
        <v>635</v>
      </c>
      <c r="Z369" t="n">
        <v>455</v>
      </c>
      <c r="AA369" t="n">
        <v>469</v>
      </c>
      <c r="AB369" t="n">
        <v>4</v>
      </c>
      <c r="AC369" t="n">
        <v>4</v>
      </c>
      <c r="AD369" t="n">
        <v>16</v>
      </c>
      <c r="AE369" t="n">
        <v>17</v>
      </c>
      <c r="AF369" t="n">
        <v>4</v>
      </c>
      <c r="AG369" t="n">
        <v>4</v>
      </c>
      <c r="AH369" t="n">
        <v>5</v>
      </c>
      <c r="AI369" t="n">
        <v>5</v>
      </c>
      <c r="AJ369" t="n">
        <v>7</v>
      </c>
      <c r="AK369" t="n">
        <v>8</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HYPERLINK("https://creighton-primo.hosted.exlibrisgroup.com/primo-explore/search?tab=default_tab&amp;search_scope=EVERYTHING&amp;vid=01CRU&amp;lang=en_US&amp;offset=0&amp;query=any,contains,991002016929702656","Catalog Record")</f>
        <v/>
      </c>
      <c r="AT369">
        <f>HYPERLINK("http://www.worldcat.org/oclc/25632865","WorldCat Record")</f>
        <v/>
      </c>
      <c r="AU369" t="inlineStr">
        <is>
          <t>28310815:eng</t>
        </is>
      </c>
      <c r="AV369" t="inlineStr">
        <is>
          <t>25632865</t>
        </is>
      </c>
      <c r="AW369" t="inlineStr">
        <is>
          <t>991002016929702656</t>
        </is>
      </c>
      <c r="AX369" t="inlineStr">
        <is>
          <t>991002016929702656</t>
        </is>
      </c>
      <c r="AY369" t="inlineStr">
        <is>
          <t>2268203320002656</t>
        </is>
      </c>
      <c r="AZ369" t="inlineStr">
        <is>
          <t>BOOK</t>
        </is>
      </c>
      <c r="BB369" t="inlineStr">
        <is>
          <t>9780521401234</t>
        </is>
      </c>
      <c r="BC369" t="inlineStr">
        <is>
          <t>32285001727063</t>
        </is>
      </c>
      <c r="BD369" t="inlineStr">
        <is>
          <t>893322474</t>
        </is>
      </c>
    </row>
    <row r="370">
      <c r="A370" t="inlineStr">
        <is>
          <t>No</t>
        </is>
      </c>
      <c r="B370" t="inlineStr">
        <is>
          <t>QB631 .H87 1983</t>
        </is>
      </c>
      <c r="C370" t="inlineStr">
        <is>
          <t>0                      QB 0631000H  87          1983</t>
        </is>
      </c>
      <c r="D370" t="inlineStr">
        <is>
          <t>The search for our beginning : an enquiry, based on meteorite research, into the origin of our planet and of life / Robert Hutchison.</t>
        </is>
      </c>
      <c r="F370" t="inlineStr">
        <is>
          <t>No</t>
        </is>
      </c>
      <c r="G370" t="inlineStr">
        <is>
          <t>1</t>
        </is>
      </c>
      <c r="H370" t="inlineStr">
        <is>
          <t>No</t>
        </is>
      </c>
      <c r="I370" t="inlineStr">
        <is>
          <t>No</t>
        </is>
      </c>
      <c r="J370" t="inlineStr">
        <is>
          <t>0</t>
        </is>
      </c>
      <c r="K370" t="inlineStr">
        <is>
          <t>Hutchison, Robert, 1938-2007.</t>
        </is>
      </c>
      <c r="L370" t="inlineStr">
        <is>
          <t>London : British Museum (Natural History) ; New York : Oxford University Press, 1983.</t>
        </is>
      </c>
      <c r="M370" t="inlineStr">
        <is>
          <t>1983</t>
        </is>
      </c>
      <c r="O370" t="inlineStr">
        <is>
          <t>eng</t>
        </is>
      </c>
      <c r="P370" t="inlineStr">
        <is>
          <t>enk</t>
        </is>
      </c>
      <c r="R370" t="inlineStr">
        <is>
          <t xml:space="preserve">QB </t>
        </is>
      </c>
      <c r="S370" t="n">
        <v>2</v>
      </c>
      <c r="T370" t="n">
        <v>2</v>
      </c>
      <c r="U370" t="inlineStr">
        <is>
          <t>1995-09-23</t>
        </is>
      </c>
      <c r="V370" t="inlineStr">
        <is>
          <t>1995-09-23</t>
        </is>
      </c>
      <c r="W370" t="inlineStr">
        <is>
          <t>1992-04-26</t>
        </is>
      </c>
      <c r="X370" t="inlineStr">
        <is>
          <t>1992-04-26</t>
        </is>
      </c>
      <c r="Y370" t="n">
        <v>655</v>
      </c>
      <c r="Z370" t="n">
        <v>543</v>
      </c>
      <c r="AA370" t="n">
        <v>555</v>
      </c>
      <c r="AB370" t="n">
        <v>3</v>
      </c>
      <c r="AC370" t="n">
        <v>3</v>
      </c>
      <c r="AD370" t="n">
        <v>14</v>
      </c>
      <c r="AE370" t="n">
        <v>14</v>
      </c>
      <c r="AF370" t="n">
        <v>7</v>
      </c>
      <c r="AG370" t="n">
        <v>7</v>
      </c>
      <c r="AH370" t="n">
        <v>1</v>
      </c>
      <c r="AI370" t="n">
        <v>1</v>
      </c>
      <c r="AJ370" t="n">
        <v>5</v>
      </c>
      <c r="AK370" t="n">
        <v>5</v>
      </c>
      <c r="AL370" t="n">
        <v>2</v>
      </c>
      <c r="AM370" t="n">
        <v>2</v>
      </c>
      <c r="AN370" t="n">
        <v>0</v>
      </c>
      <c r="AO370" t="n">
        <v>0</v>
      </c>
      <c r="AP370" t="inlineStr">
        <is>
          <t>No</t>
        </is>
      </c>
      <c r="AQ370" t="inlineStr">
        <is>
          <t>Yes</t>
        </is>
      </c>
      <c r="AR370">
        <f>HYPERLINK("http://catalog.hathitrust.org/Record/000775376","HathiTrust Record")</f>
        <v/>
      </c>
      <c r="AS370">
        <f>HYPERLINK("https://creighton-primo.hosted.exlibrisgroup.com/primo-explore/search?tab=default_tab&amp;search_scope=EVERYTHING&amp;vid=01CRU&amp;lang=en_US&amp;offset=0&amp;query=any,contains,991000233919702656","Catalog Record")</f>
        <v/>
      </c>
      <c r="AT370">
        <f>HYPERLINK("http://www.worldcat.org/oclc/9645856","WorldCat Record")</f>
        <v/>
      </c>
      <c r="AU370" t="inlineStr">
        <is>
          <t>43732700:eng</t>
        </is>
      </c>
      <c r="AV370" t="inlineStr">
        <is>
          <t>9645856</t>
        </is>
      </c>
      <c r="AW370" t="inlineStr">
        <is>
          <t>991000233919702656</t>
        </is>
      </c>
      <c r="AX370" t="inlineStr">
        <is>
          <t>991000233919702656</t>
        </is>
      </c>
      <c r="AY370" t="inlineStr">
        <is>
          <t>2269294260002656</t>
        </is>
      </c>
      <c r="AZ370" t="inlineStr">
        <is>
          <t>BOOK</t>
        </is>
      </c>
      <c r="BC370" t="inlineStr">
        <is>
          <t>32285001087419</t>
        </is>
      </c>
      <c r="BD370" t="inlineStr">
        <is>
          <t>893502360</t>
        </is>
      </c>
    </row>
    <row r="371">
      <c r="A371" t="inlineStr">
        <is>
          <t>No</t>
        </is>
      </c>
      <c r="B371" t="inlineStr">
        <is>
          <t>QB631 .R38 1986</t>
        </is>
      </c>
      <c r="C371" t="inlineStr">
        <is>
          <t>0                      QB 0631000R  38          1986</t>
        </is>
      </c>
      <c r="D371" t="inlineStr">
        <is>
          <t>The nemesis affair : a story of the death of dinosaurs and the ways of science / David M. Raup.</t>
        </is>
      </c>
      <c r="F371" t="inlineStr">
        <is>
          <t>No</t>
        </is>
      </c>
      <c r="G371" t="inlineStr">
        <is>
          <t>1</t>
        </is>
      </c>
      <c r="H371" t="inlineStr">
        <is>
          <t>No</t>
        </is>
      </c>
      <c r="I371" t="inlineStr">
        <is>
          <t>No</t>
        </is>
      </c>
      <c r="J371" t="inlineStr">
        <is>
          <t>0</t>
        </is>
      </c>
      <c r="K371" t="inlineStr">
        <is>
          <t>Raup, David M.</t>
        </is>
      </c>
      <c r="L371" t="inlineStr">
        <is>
          <t>New York, N.Y. : Norton, 1986.</t>
        </is>
      </c>
      <c r="M371" t="inlineStr">
        <is>
          <t>1986</t>
        </is>
      </c>
      <c r="N371" t="inlineStr">
        <is>
          <t>1st ed.</t>
        </is>
      </c>
      <c r="O371" t="inlineStr">
        <is>
          <t>eng</t>
        </is>
      </c>
      <c r="P371" t="inlineStr">
        <is>
          <t>nyu</t>
        </is>
      </c>
      <c r="R371" t="inlineStr">
        <is>
          <t xml:space="preserve">QB </t>
        </is>
      </c>
      <c r="S371" t="n">
        <v>9</v>
      </c>
      <c r="T371" t="n">
        <v>9</v>
      </c>
      <c r="U371" t="inlineStr">
        <is>
          <t>1996-02-18</t>
        </is>
      </c>
      <c r="V371" t="inlineStr">
        <is>
          <t>1996-02-18</t>
        </is>
      </c>
      <c r="W371" t="inlineStr">
        <is>
          <t>1992-11-23</t>
        </is>
      </c>
      <c r="X371" t="inlineStr">
        <is>
          <t>1992-11-23</t>
        </is>
      </c>
      <c r="Y371" t="n">
        <v>1104</v>
      </c>
      <c r="Z371" t="n">
        <v>1003</v>
      </c>
      <c r="AA371" t="n">
        <v>1136</v>
      </c>
      <c r="AB371" t="n">
        <v>5</v>
      </c>
      <c r="AC371" t="n">
        <v>6</v>
      </c>
      <c r="AD371" t="n">
        <v>25</v>
      </c>
      <c r="AE371" t="n">
        <v>30</v>
      </c>
      <c r="AF371" t="n">
        <v>10</v>
      </c>
      <c r="AG371" t="n">
        <v>11</v>
      </c>
      <c r="AH371" t="n">
        <v>3</v>
      </c>
      <c r="AI371" t="n">
        <v>6</v>
      </c>
      <c r="AJ371" t="n">
        <v>14</v>
      </c>
      <c r="AK371" t="n">
        <v>15</v>
      </c>
      <c r="AL371" t="n">
        <v>3</v>
      </c>
      <c r="AM371" t="n">
        <v>4</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HYPERLINK("https://creighton-primo.hosted.exlibrisgroup.com/primo-explore/search?tab=default_tab&amp;search_scope=EVERYTHING&amp;vid=01CRU&amp;lang=en_US&amp;offset=0&amp;query=any,contains,991000779159702656","Catalog Record")</f>
        <v/>
      </c>
      <c r="AT371">
        <f>HYPERLINK("http://www.worldcat.org/oclc/13093867","WorldCat Record")</f>
        <v/>
      </c>
      <c r="AU371" t="inlineStr">
        <is>
          <t>1151299581:eng</t>
        </is>
      </c>
      <c r="AV371" t="inlineStr">
        <is>
          <t>13093867</t>
        </is>
      </c>
      <c r="AW371" t="inlineStr">
        <is>
          <t>991000779159702656</t>
        </is>
      </c>
      <c r="AX371" t="inlineStr">
        <is>
          <t>991000779159702656</t>
        </is>
      </c>
      <c r="AY371" t="inlineStr">
        <is>
          <t>2269785320002656</t>
        </is>
      </c>
      <c r="AZ371" t="inlineStr">
        <is>
          <t>BOOK</t>
        </is>
      </c>
      <c r="BB371" t="inlineStr">
        <is>
          <t>9780393023428</t>
        </is>
      </c>
      <c r="BC371" t="inlineStr">
        <is>
          <t>32285001433696</t>
        </is>
      </c>
      <c r="BD371" t="inlineStr">
        <is>
          <t>893339883</t>
        </is>
      </c>
    </row>
    <row r="372">
      <c r="A372" t="inlineStr">
        <is>
          <t>No</t>
        </is>
      </c>
      <c r="B372" t="inlineStr">
        <is>
          <t>QB631 .W66 2004</t>
        </is>
      </c>
      <c r="C372" t="inlineStr">
        <is>
          <t>0                      QB 0631000W  66          2004</t>
        </is>
      </c>
      <c r="D372" t="inlineStr">
        <is>
          <t>Five billion years of global change : a history of the land / Denis Wood.</t>
        </is>
      </c>
      <c r="F372" t="inlineStr">
        <is>
          <t>No</t>
        </is>
      </c>
      <c r="G372" t="inlineStr">
        <is>
          <t>1</t>
        </is>
      </c>
      <c r="H372" t="inlineStr">
        <is>
          <t>No</t>
        </is>
      </c>
      <c r="I372" t="inlineStr">
        <is>
          <t>No</t>
        </is>
      </c>
      <c r="J372" t="inlineStr">
        <is>
          <t>0</t>
        </is>
      </c>
      <c r="K372" t="inlineStr">
        <is>
          <t>Wood, Denis.</t>
        </is>
      </c>
      <c r="L372" t="inlineStr">
        <is>
          <t>New York : Guilford Press, c2004.</t>
        </is>
      </c>
      <c r="M372" t="inlineStr">
        <is>
          <t>2004</t>
        </is>
      </c>
      <c r="O372" t="inlineStr">
        <is>
          <t>eng</t>
        </is>
      </c>
      <c r="P372" t="inlineStr">
        <is>
          <t>nyu</t>
        </is>
      </c>
      <c r="R372" t="inlineStr">
        <is>
          <t xml:space="preserve">QB </t>
        </is>
      </c>
      <c r="S372" t="n">
        <v>2</v>
      </c>
      <c r="T372" t="n">
        <v>2</v>
      </c>
      <c r="U372" t="inlineStr">
        <is>
          <t>2008-10-15</t>
        </is>
      </c>
      <c r="V372" t="inlineStr">
        <is>
          <t>2008-10-15</t>
        </is>
      </c>
      <c r="W372" t="inlineStr">
        <is>
          <t>2004-03-16</t>
        </is>
      </c>
      <c r="X372" t="inlineStr">
        <is>
          <t>2004-03-16</t>
        </is>
      </c>
      <c r="Y372" t="n">
        <v>437</v>
      </c>
      <c r="Z372" t="n">
        <v>355</v>
      </c>
      <c r="AA372" t="n">
        <v>356</v>
      </c>
      <c r="AB372" t="n">
        <v>3</v>
      </c>
      <c r="AC372" t="n">
        <v>3</v>
      </c>
      <c r="AD372" t="n">
        <v>12</v>
      </c>
      <c r="AE372" t="n">
        <v>12</v>
      </c>
      <c r="AF372" t="n">
        <v>5</v>
      </c>
      <c r="AG372" t="n">
        <v>5</v>
      </c>
      <c r="AH372" t="n">
        <v>3</v>
      </c>
      <c r="AI372" t="n">
        <v>3</v>
      </c>
      <c r="AJ372" t="n">
        <v>4</v>
      </c>
      <c r="AK372" t="n">
        <v>4</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HYPERLINK("https://creighton-primo.hosted.exlibrisgroup.com/primo-explore/search?tab=default_tab&amp;search_scope=EVERYTHING&amp;vid=01CRU&amp;lang=en_US&amp;offset=0&amp;query=any,contains,991004237789702656","Catalog Record")</f>
        <v/>
      </c>
      <c r="AT372">
        <f>HYPERLINK("http://www.worldcat.org/oclc/53253778","WorldCat Record")</f>
        <v/>
      </c>
      <c r="AU372" t="inlineStr">
        <is>
          <t>783297:eng</t>
        </is>
      </c>
      <c r="AV372" t="inlineStr">
        <is>
          <t>53253778</t>
        </is>
      </c>
      <c r="AW372" t="inlineStr">
        <is>
          <t>991004237789702656</t>
        </is>
      </c>
      <c r="AX372" t="inlineStr">
        <is>
          <t>991004237789702656</t>
        </is>
      </c>
      <c r="AY372" t="inlineStr">
        <is>
          <t>2265331940002656</t>
        </is>
      </c>
      <c r="AZ372" t="inlineStr">
        <is>
          <t>BOOK</t>
        </is>
      </c>
      <c r="BB372" t="inlineStr">
        <is>
          <t>9781572309586</t>
        </is>
      </c>
      <c r="BC372" t="inlineStr">
        <is>
          <t>32285004893722</t>
        </is>
      </c>
      <c r="BD372" t="inlineStr">
        <is>
          <t>893900984</t>
        </is>
      </c>
    </row>
    <row r="373">
      <c r="A373" t="inlineStr">
        <is>
          <t>No</t>
        </is>
      </c>
      <c r="B373" t="inlineStr">
        <is>
          <t>QB632 .M42 1997</t>
        </is>
      </c>
      <c r="C373" t="inlineStr">
        <is>
          <t>0                      QB 0632000M  42          1997</t>
        </is>
      </c>
      <c r="D373" t="inlineStr">
        <is>
          <t>Fanfare for earth : the origin of our planet and life / Harry Y. McSween, Jr.</t>
        </is>
      </c>
      <c r="F373" t="inlineStr">
        <is>
          <t>No</t>
        </is>
      </c>
      <c r="G373" t="inlineStr">
        <is>
          <t>1</t>
        </is>
      </c>
      <c r="H373" t="inlineStr">
        <is>
          <t>No</t>
        </is>
      </c>
      <c r="I373" t="inlineStr">
        <is>
          <t>No</t>
        </is>
      </c>
      <c r="J373" t="inlineStr">
        <is>
          <t>0</t>
        </is>
      </c>
      <c r="K373" t="inlineStr">
        <is>
          <t>McSween, Harry Y.</t>
        </is>
      </c>
      <c r="L373" t="inlineStr">
        <is>
          <t>New York : St. Martin's Press, 1997.</t>
        </is>
      </c>
      <c r="M373" t="inlineStr">
        <is>
          <t>1997</t>
        </is>
      </c>
      <c r="N373" t="inlineStr">
        <is>
          <t>1st ed.</t>
        </is>
      </c>
      <c r="O373" t="inlineStr">
        <is>
          <t>eng</t>
        </is>
      </c>
      <c r="P373" t="inlineStr">
        <is>
          <t>nyu</t>
        </is>
      </c>
      <c r="R373" t="inlineStr">
        <is>
          <t xml:space="preserve">QB </t>
        </is>
      </c>
      <c r="S373" t="n">
        <v>1</v>
      </c>
      <c r="T373" t="n">
        <v>1</v>
      </c>
      <c r="U373" t="inlineStr">
        <is>
          <t>2002-09-04</t>
        </is>
      </c>
      <c r="V373" t="inlineStr">
        <is>
          <t>2002-09-04</t>
        </is>
      </c>
      <c r="W373" t="inlineStr">
        <is>
          <t>1997-05-06</t>
        </is>
      </c>
      <c r="X373" t="inlineStr">
        <is>
          <t>1997-05-06</t>
        </is>
      </c>
      <c r="Y373" t="n">
        <v>349</v>
      </c>
      <c r="Z373" t="n">
        <v>325</v>
      </c>
      <c r="AA373" t="n">
        <v>338</v>
      </c>
      <c r="AB373" t="n">
        <v>3</v>
      </c>
      <c r="AC373" t="n">
        <v>3</v>
      </c>
      <c r="AD373" t="n">
        <v>6</v>
      </c>
      <c r="AE373" t="n">
        <v>6</v>
      </c>
      <c r="AF373" t="n">
        <v>2</v>
      </c>
      <c r="AG373" t="n">
        <v>2</v>
      </c>
      <c r="AH373" t="n">
        <v>1</v>
      </c>
      <c r="AI373" t="n">
        <v>1</v>
      </c>
      <c r="AJ373" t="n">
        <v>3</v>
      </c>
      <c r="AK373" t="n">
        <v>3</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HYPERLINK("https://creighton-primo.hosted.exlibrisgroup.com/primo-explore/search?tab=default_tab&amp;search_scope=EVERYTHING&amp;vid=01CRU&amp;lang=en_US&amp;offset=0&amp;query=any,contains,991002670879702656","Catalog Record")</f>
        <v/>
      </c>
      <c r="AT373">
        <f>HYPERLINK("http://www.worldcat.org/oclc/34932718","WorldCat Record")</f>
        <v/>
      </c>
      <c r="AU373" t="inlineStr">
        <is>
          <t>364497465:eng</t>
        </is>
      </c>
      <c r="AV373" t="inlineStr">
        <is>
          <t>34932718</t>
        </is>
      </c>
      <c r="AW373" t="inlineStr">
        <is>
          <t>991002670879702656</t>
        </is>
      </c>
      <c r="AX373" t="inlineStr">
        <is>
          <t>991002670879702656</t>
        </is>
      </c>
      <c r="AY373" t="inlineStr">
        <is>
          <t>2270547930002656</t>
        </is>
      </c>
      <c r="AZ373" t="inlineStr">
        <is>
          <t>BOOK</t>
        </is>
      </c>
      <c r="BB373" t="inlineStr">
        <is>
          <t>9780312146016</t>
        </is>
      </c>
      <c r="BC373" t="inlineStr">
        <is>
          <t>32285002544939</t>
        </is>
      </c>
      <c r="BD373" t="inlineStr">
        <is>
          <t>893498398</t>
        </is>
      </c>
    </row>
    <row r="374">
      <c r="A374" t="inlineStr">
        <is>
          <t>No</t>
        </is>
      </c>
      <c r="B374" t="inlineStr">
        <is>
          <t>QB632 .O75 1990</t>
        </is>
      </c>
      <c r="C374" t="inlineStr">
        <is>
          <t>0                      QB 0632000O  75          1990</t>
        </is>
      </c>
      <c r="D374" t="inlineStr">
        <is>
          <t>Origin of the earth / edited by Horton E. Newsom and John H. Jones.</t>
        </is>
      </c>
      <c r="F374" t="inlineStr">
        <is>
          <t>No</t>
        </is>
      </c>
      <c r="G374" t="inlineStr">
        <is>
          <t>1</t>
        </is>
      </c>
      <c r="H374" t="inlineStr">
        <is>
          <t>No</t>
        </is>
      </c>
      <c r="I374" t="inlineStr">
        <is>
          <t>No</t>
        </is>
      </c>
      <c r="J374" t="inlineStr">
        <is>
          <t>0</t>
        </is>
      </c>
      <c r="L374" t="inlineStr">
        <is>
          <t>New York : Oxford University Press ; Houston : Lunar and Planetary Institute, 1990.</t>
        </is>
      </c>
      <c r="M374" t="inlineStr">
        <is>
          <t>1990</t>
        </is>
      </c>
      <c r="O374" t="inlineStr">
        <is>
          <t>eng</t>
        </is>
      </c>
      <c r="P374" t="inlineStr">
        <is>
          <t>nyu</t>
        </is>
      </c>
      <c r="R374" t="inlineStr">
        <is>
          <t xml:space="preserve">QB </t>
        </is>
      </c>
      <c r="S374" t="n">
        <v>1</v>
      </c>
      <c r="T374" t="n">
        <v>1</v>
      </c>
      <c r="U374" t="inlineStr">
        <is>
          <t>2002-09-04</t>
        </is>
      </c>
      <c r="V374" t="inlineStr">
        <is>
          <t>2002-09-04</t>
        </is>
      </c>
      <c r="W374" t="inlineStr">
        <is>
          <t>1991-11-07</t>
        </is>
      </c>
      <c r="X374" t="inlineStr">
        <is>
          <t>1991-11-07</t>
        </is>
      </c>
      <c r="Y374" t="n">
        <v>438</v>
      </c>
      <c r="Z374" t="n">
        <v>360</v>
      </c>
      <c r="AA374" t="n">
        <v>366</v>
      </c>
      <c r="AB374" t="n">
        <v>3</v>
      </c>
      <c r="AC374" t="n">
        <v>3</v>
      </c>
      <c r="AD374" t="n">
        <v>11</v>
      </c>
      <c r="AE374" t="n">
        <v>11</v>
      </c>
      <c r="AF374" t="n">
        <v>3</v>
      </c>
      <c r="AG374" t="n">
        <v>3</v>
      </c>
      <c r="AH374" t="n">
        <v>4</v>
      </c>
      <c r="AI374" t="n">
        <v>4</v>
      </c>
      <c r="AJ374" t="n">
        <v>4</v>
      </c>
      <c r="AK374" t="n">
        <v>4</v>
      </c>
      <c r="AL374" t="n">
        <v>2</v>
      </c>
      <c r="AM374" t="n">
        <v>2</v>
      </c>
      <c r="AN374" t="n">
        <v>0</v>
      </c>
      <c r="AO374" t="n">
        <v>0</v>
      </c>
      <c r="AP374" t="inlineStr">
        <is>
          <t>No</t>
        </is>
      </c>
      <c r="AQ374" t="inlineStr">
        <is>
          <t>Yes</t>
        </is>
      </c>
      <c r="AR374">
        <f>HYPERLINK("http://catalog.hathitrust.org/Record/002230820","HathiTrust Record")</f>
        <v/>
      </c>
      <c r="AS374">
        <f>HYPERLINK("https://creighton-primo.hosted.exlibrisgroup.com/primo-explore/search?tab=default_tab&amp;search_scope=EVERYTHING&amp;vid=01CRU&amp;lang=en_US&amp;offset=0&amp;query=any,contains,991001727799702656","Catalog Record")</f>
        <v/>
      </c>
      <c r="AT374">
        <f>HYPERLINK("http://www.worldcat.org/oclc/21905280","WorldCat Record")</f>
        <v/>
      </c>
      <c r="AU374" t="inlineStr">
        <is>
          <t>364430531:eng</t>
        </is>
      </c>
      <c r="AV374" t="inlineStr">
        <is>
          <t>21905280</t>
        </is>
      </c>
      <c r="AW374" t="inlineStr">
        <is>
          <t>991001727799702656</t>
        </is>
      </c>
      <c r="AX374" t="inlineStr">
        <is>
          <t>991001727799702656</t>
        </is>
      </c>
      <c r="AY374" t="inlineStr">
        <is>
          <t>2267384850002656</t>
        </is>
      </c>
      <c r="AZ374" t="inlineStr">
        <is>
          <t>BOOK</t>
        </is>
      </c>
      <c r="BB374" t="inlineStr">
        <is>
          <t>9780195066197</t>
        </is>
      </c>
      <c r="BC374" t="inlineStr">
        <is>
          <t>32285000729946</t>
        </is>
      </c>
      <c r="BD374" t="inlineStr">
        <is>
          <t>893684571</t>
        </is>
      </c>
    </row>
    <row r="375">
      <c r="A375" t="inlineStr">
        <is>
          <t>No</t>
        </is>
      </c>
      <c r="B375" t="inlineStr">
        <is>
          <t>QB637 .B6313 1974b</t>
        </is>
      </c>
      <c r="C375" t="inlineStr">
        <is>
          <t>0                      QB 0637000B  6313        1974b</t>
        </is>
      </c>
      <c r="D375" t="inlineStr">
        <is>
          <t>The Earth from space / Johann Bodechtel and Hans-Gunter Gierloff-Emden ; translated by Hildegard Mayhew and Lotte Evans.</t>
        </is>
      </c>
      <c r="F375" t="inlineStr">
        <is>
          <t>No</t>
        </is>
      </c>
      <c r="G375" t="inlineStr">
        <is>
          <t>1</t>
        </is>
      </c>
      <c r="H375" t="inlineStr">
        <is>
          <t>No</t>
        </is>
      </c>
      <c r="I375" t="inlineStr">
        <is>
          <t>No</t>
        </is>
      </c>
      <c r="J375" t="inlineStr">
        <is>
          <t>0</t>
        </is>
      </c>
      <c r="K375" t="inlineStr">
        <is>
          <t>Bodechtel, Johann.</t>
        </is>
      </c>
      <c r="L375" t="inlineStr">
        <is>
          <t>New York : Arco Pub. Co., 1974, c1969.</t>
        </is>
      </c>
      <c r="M375" t="inlineStr">
        <is>
          <t>1974</t>
        </is>
      </c>
      <c r="O375" t="inlineStr">
        <is>
          <t>eng</t>
        </is>
      </c>
      <c r="P375" t="inlineStr">
        <is>
          <t>nyu</t>
        </is>
      </c>
      <c r="R375" t="inlineStr">
        <is>
          <t xml:space="preserve">QB </t>
        </is>
      </c>
      <c r="S375" t="n">
        <v>2</v>
      </c>
      <c r="T375" t="n">
        <v>2</v>
      </c>
      <c r="U375" t="inlineStr">
        <is>
          <t>1993-11-09</t>
        </is>
      </c>
      <c r="V375" t="inlineStr">
        <is>
          <t>1993-11-09</t>
        </is>
      </c>
      <c r="W375" t="inlineStr">
        <is>
          <t>1992-11-23</t>
        </is>
      </c>
      <c r="X375" t="inlineStr">
        <is>
          <t>1992-11-23</t>
        </is>
      </c>
      <c r="Y375" t="n">
        <v>594</v>
      </c>
      <c r="Z375" t="n">
        <v>552</v>
      </c>
      <c r="AA375" t="n">
        <v>580</v>
      </c>
      <c r="AB375" t="n">
        <v>6</v>
      </c>
      <c r="AC375" t="n">
        <v>6</v>
      </c>
      <c r="AD375" t="n">
        <v>18</v>
      </c>
      <c r="AE375" t="n">
        <v>19</v>
      </c>
      <c r="AF375" t="n">
        <v>9</v>
      </c>
      <c r="AG375" t="n">
        <v>9</v>
      </c>
      <c r="AH375" t="n">
        <v>1</v>
      </c>
      <c r="AI375" t="n">
        <v>1</v>
      </c>
      <c r="AJ375" t="n">
        <v>7</v>
      </c>
      <c r="AK375" t="n">
        <v>8</v>
      </c>
      <c r="AL375" t="n">
        <v>5</v>
      </c>
      <c r="AM375" t="n">
        <v>5</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HYPERLINK("https://creighton-primo.hosted.exlibrisgroup.com/primo-explore/search?tab=default_tab&amp;search_scope=EVERYTHING&amp;vid=01CRU&amp;lang=en_US&amp;offset=0&amp;query=any,contains,991003347839702656","Catalog Record")</f>
        <v/>
      </c>
      <c r="AT375">
        <f>HYPERLINK("http://www.worldcat.org/oclc/879909","WorldCat Record")</f>
        <v/>
      </c>
      <c r="AU375" t="inlineStr">
        <is>
          <t>514244:eng</t>
        </is>
      </c>
      <c r="AV375" t="inlineStr">
        <is>
          <t>879909</t>
        </is>
      </c>
      <c r="AW375" t="inlineStr">
        <is>
          <t>991003347839702656</t>
        </is>
      </c>
      <c r="AX375" t="inlineStr">
        <is>
          <t>991003347839702656</t>
        </is>
      </c>
      <c r="AY375" t="inlineStr">
        <is>
          <t>2271690790002656</t>
        </is>
      </c>
      <c r="AZ375" t="inlineStr">
        <is>
          <t>BOOK</t>
        </is>
      </c>
      <c r="BB375" t="inlineStr">
        <is>
          <t>9780668029605</t>
        </is>
      </c>
      <c r="BC375" t="inlineStr">
        <is>
          <t>32285001433712</t>
        </is>
      </c>
      <c r="BD375" t="inlineStr">
        <is>
          <t>893604707</t>
        </is>
      </c>
    </row>
    <row r="376">
      <c r="A376" t="inlineStr">
        <is>
          <t>No</t>
        </is>
      </c>
      <c r="B376" t="inlineStr">
        <is>
          <t>QB637 .F73 1984</t>
        </is>
      </c>
      <c r="C376" t="inlineStr">
        <is>
          <t>0                      QB 0637000F  73          1984</t>
        </is>
      </c>
      <c r="D376" t="inlineStr">
        <is>
          <t>Images of earth / Peter Francis and Pat Jones.</t>
        </is>
      </c>
      <c r="F376" t="inlineStr">
        <is>
          <t>No</t>
        </is>
      </c>
      <c r="G376" t="inlineStr">
        <is>
          <t>1</t>
        </is>
      </c>
      <c r="H376" t="inlineStr">
        <is>
          <t>No</t>
        </is>
      </c>
      <c r="I376" t="inlineStr">
        <is>
          <t>No</t>
        </is>
      </c>
      <c r="J376" t="inlineStr">
        <is>
          <t>0</t>
        </is>
      </c>
      <c r="K376" t="inlineStr">
        <is>
          <t>Francis, Peter, 1944-1999.</t>
        </is>
      </c>
      <c r="L376" t="inlineStr">
        <is>
          <t>Englewood Cliffs, N.J. : Prentice-Hall, c1984.</t>
        </is>
      </c>
      <c r="M376" t="inlineStr">
        <is>
          <t>1984</t>
        </is>
      </c>
      <c r="O376" t="inlineStr">
        <is>
          <t>eng</t>
        </is>
      </c>
      <c r="P376" t="inlineStr">
        <is>
          <t>nju</t>
        </is>
      </c>
      <c r="R376" t="inlineStr">
        <is>
          <t xml:space="preserve">QB </t>
        </is>
      </c>
      <c r="S376" t="n">
        <v>4</v>
      </c>
      <c r="T376" t="n">
        <v>4</v>
      </c>
      <c r="U376" t="inlineStr">
        <is>
          <t>1993-11-09</t>
        </is>
      </c>
      <c r="V376" t="inlineStr">
        <is>
          <t>1993-11-09</t>
        </is>
      </c>
      <c r="W376" t="inlineStr">
        <is>
          <t>1992-11-23</t>
        </is>
      </c>
      <c r="X376" t="inlineStr">
        <is>
          <t>1992-11-23</t>
        </is>
      </c>
      <c r="Y376" t="n">
        <v>723</v>
      </c>
      <c r="Z376" t="n">
        <v>679</v>
      </c>
      <c r="AA376" t="n">
        <v>705</v>
      </c>
      <c r="AB376" t="n">
        <v>4</v>
      </c>
      <c r="AC376" t="n">
        <v>5</v>
      </c>
      <c r="AD376" t="n">
        <v>9</v>
      </c>
      <c r="AE376" t="n">
        <v>10</v>
      </c>
      <c r="AF376" t="n">
        <v>4</v>
      </c>
      <c r="AG376" t="n">
        <v>4</v>
      </c>
      <c r="AH376" t="n">
        <v>0</v>
      </c>
      <c r="AI376" t="n">
        <v>0</v>
      </c>
      <c r="AJ376" t="n">
        <v>2</v>
      </c>
      <c r="AK376" t="n">
        <v>2</v>
      </c>
      <c r="AL376" t="n">
        <v>3</v>
      </c>
      <c r="AM376" t="n">
        <v>4</v>
      </c>
      <c r="AN376" t="n">
        <v>0</v>
      </c>
      <c r="AO376" t="n">
        <v>0</v>
      </c>
      <c r="AP376" t="inlineStr">
        <is>
          <t>No</t>
        </is>
      </c>
      <c r="AQ376" t="inlineStr">
        <is>
          <t>Yes</t>
        </is>
      </c>
      <c r="AR376">
        <f>HYPERLINK("http://catalog.hathitrust.org/Record/000416430","HathiTrust Record")</f>
        <v/>
      </c>
      <c r="AS376">
        <f>HYPERLINK("https://creighton-primo.hosted.exlibrisgroup.com/primo-explore/search?tab=default_tab&amp;search_scope=EVERYTHING&amp;vid=01CRU&amp;lang=en_US&amp;offset=0&amp;query=any,contains,991000450529702656","Catalog Record")</f>
        <v/>
      </c>
      <c r="AT376">
        <f>HYPERLINK("http://www.worldcat.org/oclc/10878696","WorldCat Record")</f>
        <v/>
      </c>
      <c r="AU376" t="inlineStr">
        <is>
          <t>3448568:eng</t>
        </is>
      </c>
      <c r="AV376" t="inlineStr">
        <is>
          <t>10878696</t>
        </is>
      </c>
      <c r="AW376" t="inlineStr">
        <is>
          <t>991000450529702656</t>
        </is>
      </c>
      <c r="AX376" t="inlineStr">
        <is>
          <t>991000450529702656</t>
        </is>
      </c>
      <c r="AY376" t="inlineStr">
        <is>
          <t>2272591490002656</t>
        </is>
      </c>
      <c r="AZ376" t="inlineStr">
        <is>
          <t>BOOK</t>
        </is>
      </c>
      <c r="BB376" t="inlineStr">
        <is>
          <t>9780134513942</t>
        </is>
      </c>
      <c r="BC376" t="inlineStr">
        <is>
          <t>32285001433720</t>
        </is>
      </c>
      <c r="BD376" t="inlineStr">
        <is>
          <t>893595552</t>
        </is>
      </c>
    </row>
    <row r="377">
      <c r="A377" t="inlineStr">
        <is>
          <t>No</t>
        </is>
      </c>
      <c r="B377" t="inlineStr">
        <is>
          <t>QB637 .S48 1981</t>
        </is>
      </c>
      <c r="C377" t="inlineStr">
        <is>
          <t>0                      QB 0637000S  48          1981</t>
        </is>
      </c>
      <c r="D377" t="inlineStr">
        <is>
          <t>Earthwatch, a survey of the world from space / Charles Sheffield.</t>
        </is>
      </c>
      <c r="F377" t="inlineStr">
        <is>
          <t>No</t>
        </is>
      </c>
      <c r="G377" t="inlineStr">
        <is>
          <t>1</t>
        </is>
      </c>
      <c r="H377" t="inlineStr">
        <is>
          <t>No</t>
        </is>
      </c>
      <c r="I377" t="inlineStr">
        <is>
          <t>No</t>
        </is>
      </c>
      <c r="J377" t="inlineStr">
        <is>
          <t>0</t>
        </is>
      </c>
      <c r="K377" t="inlineStr">
        <is>
          <t>Sheffield, Charles.</t>
        </is>
      </c>
      <c r="L377" t="inlineStr">
        <is>
          <t>New York : Macmillan, 1981.</t>
        </is>
      </c>
      <c r="M377" t="inlineStr">
        <is>
          <t>1981</t>
        </is>
      </c>
      <c r="N377" t="inlineStr">
        <is>
          <t>1st American ed.</t>
        </is>
      </c>
      <c r="O377" t="inlineStr">
        <is>
          <t>eng</t>
        </is>
      </c>
      <c r="P377" t="inlineStr">
        <is>
          <t>nyu</t>
        </is>
      </c>
      <c r="R377" t="inlineStr">
        <is>
          <t xml:space="preserve">QB </t>
        </is>
      </c>
      <c r="S377" t="n">
        <v>2</v>
      </c>
      <c r="T377" t="n">
        <v>2</v>
      </c>
      <c r="U377" t="inlineStr">
        <is>
          <t>1993-11-09</t>
        </is>
      </c>
      <c r="V377" t="inlineStr">
        <is>
          <t>1993-11-09</t>
        </is>
      </c>
      <c r="W377" t="inlineStr">
        <is>
          <t>1992-11-23</t>
        </is>
      </c>
      <c r="X377" t="inlineStr">
        <is>
          <t>1992-11-23</t>
        </is>
      </c>
      <c r="Y377" t="n">
        <v>716</v>
      </c>
      <c r="Z377" t="n">
        <v>673</v>
      </c>
      <c r="AA377" t="n">
        <v>686</v>
      </c>
      <c r="AB377" t="n">
        <v>5</v>
      </c>
      <c r="AC377" t="n">
        <v>5</v>
      </c>
      <c r="AD377" t="n">
        <v>12</v>
      </c>
      <c r="AE377" t="n">
        <v>12</v>
      </c>
      <c r="AF377" t="n">
        <v>4</v>
      </c>
      <c r="AG377" t="n">
        <v>4</v>
      </c>
      <c r="AH377" t="n">
        <v>0</v>
      </c>
      <c r="AI377" t="n">
        <v>0</v>
      </c>
      <c r="AJ377" t="n">
        <v>5</v>
      </c>
      <c r="AK377" t="n">
        <v>5</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HYPERLINK("https://creighton-primo.hosted.exlibrisgroup.com/primo-explore/search?tab=default_tab&amp;search_scope=EVERYTHING&amp;vid=01CRU&amp;lang=en_US&amp;offset=0&amp;query=any,contains,991005114509702656","Catalog Record")</f>
        <v/>
      </c>
      <c r="AT377">
        <f>HYPERLINK("http://www.worldcat.org/oclc/7461059","WorldCat Record")</f>
        <v/>
      </c>
      <c r="AU377" t="inlineStr">
        <is>
          <t>836657484:eng</t>
        </is>
      </c>
      <c r="AV377" t="inlineStr">
        <is>
          <t>7461059</t>
        </is>
      </c>
      <c r="AW377" t="inlineStr">
        <is>
          <t>991005114509702656</t>
        </is>
      </c>
      <c r="AX377" t="inlineStr">
        <is>
          <t>991005114509702656</t>
        </is>
      </c>
      <c r="AY377" t="inlineStr">
        <is>
          <t>2265722740002656</t>
        </is>
      </c>
      <c r="AZ377" t="inlineStr">
        <is>
          <t>BOOK</t>
        </is>
      </c>
      <c r="BB377" t="inlineStr">
        <is>
          <t>9780026100908</t>
        </is>
      </c>
      <c r="BC377" t="inlineStr">
        <is>
          <t>32285001433738</t>
        </is>
      </c>
      <c r="BD377" t="inlineStr">
        <is>
          <t>893783037</t>
        </is>
      </c>
    </row>
    <row r="378">
      <c r="A378" t="inlineStr">
        <is>
          <t>No</t>
        </is>
      </c>
      <c r="B378" t="inlineStr">
        <is>
          <t>QB638.8 .M85 1988</t>
        </is>
      </c>
      <c r="C378" t="inlineStr">
        <is>
          <t>0                      QB 0638800M  85          1988</t>
        </is>
      </c>
      <c r="D378" t="inlineStr">
        <is>
          <t>Nemesis / Richard Muller.</t>
        </is>
      </c>
      <c r="F378" t="inlineStr">
        <is>
          <t>No</t>
        </is>
      </c>
      <c r="G378" t="inlineStr">
        <is>
          <t>1</t>
        </is>
      </c>
      <c r="H378" t="inlineStr">
        <is>
          <t>No</t>
        </is>
      </c>
      <c r="I378" t="inlineStr">
        <is>
          <t>No</t>
        </is>
      </c>
      <c r="J378" t="inlineStr">
        <is>
          <t>0</t>
        </is>
      </c>
      <c r="K378" t="inlineStr">
        <is>
          <t>Muller, R. (Richard)</t>
        </is>
      </c>
      <c r="L378" t="inlineStr">
        <is>
          <t>New York : Weidenfeld &amp; Nicolson, c1988.</t>
        </is>
      </c>
      <c r="M378" t="inlineStr">
        <is>
          <t>1988</t>
        </is>
      </c>
      <c r="N378" t="inlineStr">
        <is>
          <t>1st ed.</t>
        </is>
      </c>
      <c r="O378" t="inlineStr">
        <is>
          <t>eng</t>
        </is>
      </c>
      <c r="P378" t="inlineStr">
        <is>
          <t>nyu</t>
        </is>
      </c>
      <c r="R378" t="inlineStr">
        <is>
          <t xml:space="preserve">QB </t>
        </is>
      </c>
      <c r="S378" t="n">
        <v>2</v>
      </c>
      <c r="T378" t="n">
        <v>2</v>
      </c>
      <c r="U378" t="inlineStr">
        <is>
          <t>1996-02-18</t>
        </is>
      </c>
      <c r="V378" t="inlineStr">
        <is>
          <t>1996-02-18</t>
        </is>
      </c>
      <c r="W378" t="inlineStr">
        <is>
          <t>1992-02-04</t>
        </is>
      </c>
      <c r="X378" t="inlineStr">
        <is>
          <t>1992-02-04</t>
        </is>
      </c>
      <c r="Y378" t="n">
        <v>702</v>
      </c>
      <c r="Z378" t="n">
        <v>666</v>
      </c>
      <c r="AA378" t="n">
        <v>672</v>
      </c>
      <c r="AB378" t="n">
        <v>4</v>
      </c>
      <c r="AC378" t="n">
        <v>4</v>
      </c>
      <c r="AD378" t="n">
        <v>15</v>
      </c>
      <c r="AE378" t="n">
        <v>15</v>
      </c>
      <c r="AF378" t="n">
        <v>3</v>
      </c>
      <c r="AG378" t="n">
        <v>3</v>
      </c>
      <c r="AH378" t="n">
        <v>2</v>
      </c>
      <c r="AI378" t="n">
        <v>2</v>
      </c>
      <c r="AJ378" t="n">
        <v>9</v>
      </c>
      <c r="AK378" t="n">
        <v>9</v>
      </c>
      <c r="AL378" t="n">
        <v>3</v>
      </c>
      <c r="AM378" t="n">
        <v>3</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HYPERLINK("https://creighton-primo.hosted.exlibrisgroup.com/primo-explore/search?tab=default_tab&amp;search_scope=EVERYTHING&amp;vid=01CRU&amp;lang=en_US&amp;offset=0&amp;query=any,contains,991001190879702656","Catalog Record")</f>
        <v/>
      </c>
      <c r="AT378">
        <f>HYPERLINK("http://www.worldcat.org/oclc/17258361","WorldCat Record")</f>
        <v/>
      </c>
      <c r="AU378" t="inlineStr">
        <is>
          <t>5090638462:eng</t>
        </is>
      </c>
      <c r="AV378" t="inlineStr">
        <is>
          <t>17258361</t>
        </is>
      </c>
      <c r="AW378" t="inlineStr">
        <is>
          <t>991001190879702656</t>
        </is>
      </c>
      <c r="AX378" t="inlineStr">
        <is>
          <t>991001190879702656</t>
        </is>
      </c>
      <c r="AY378" t="inlineStr">
        <is>
          <t>2264114450002656</t>
        </is>
      </c>
      <c r="AZ378" t="inlineStr">
        <is>
          <t>BOOK</t>
        </is>
      </c>
      <c r="BB378" t="inlineStr">
        <is>
          <t>9781555841737</t>
        </is>
      </c>
      <c r="BC378" t="inlineStr">
        <is>
          <t>32285000934033</t>
        </is>
      </c>
      <c r="BD378" t="inlineStr">
        <is>
          <t>893696549</t>
        </is>
      </c>
    </row>
    <row r="379">
      <c r="A379" t="inlineStr">
        <is>
          <t>No</t>
        </is>
      </c>
      <c r="B379" t="inlineStr">
        <is>
          <t>QB64 .B83</t>
        </is>
      </c>
      <c r="C379" t="inlineStr">
        <is>
          <t>0                      QB 0064000B  83</t>
        </is>
      </c>
      <c r="D379" t="inlineStr">
        <is>
          <t>What star is that?</t>
        </is>
      </c>
      <c r="F379" t="inlineStr">
        <is>
          <t>No</t>
        </is>
      </c>
      <c r="G379" t="inlineStr">
        <is>
          <t>1</t>
        </is>
      </c>
      <c r="H379" t="inlineStr">
        <is>
          <t>No</t>
        </is>
      </c>
      <c r="I379" t="inlineStr">
        <is>
          <t>No</t>
        </is>
      </c>
      <c r="J379" t="inlineStr">
        <is>
          <t>0</t>
        </is>
      </c>
      <c r="K379" t="inlineStr">
        <is>
          <t>Lancaster Brown, Peter, 1927-</t>
        </is>
      </c>
      <c r="L379" t="inlineStr">
        <is>
          <t>New York, Viking Press [1971]</t>
        </is>
      </c>
      <c r="M379" t="inlineStr">
        <is>
          <t>1971</t>
        </is>
      </c>
      <c r="O379" t="inlineStr">
        <is>
          <t>eng</t>
        </is>
      </c>
      <c r="P379" t="inlineStr">
        <is>
          <t>nyu</t>
        </is>
      </c>
      <c r="Q379" t="inlineStr">
        <is>
          <t>A Studio book</t>
        </is>
      </c>
      <c r="R379" t="inlineStr">
        <is>
          <t xml:space="preserve">QB </t>
        </is>
      </c>
      <c r="S379" t="n">
        <v>4</v>
      </c>
      <c r="T379" t="n">
        <v>4</v>
      </c>
      <c r="U379" t="inlineStr">
        <is>
          <t>2008-04-28</t>
        </is>
      </c>
      <c r="V379" t="inlineStr">
        <is>
          <t>2008-04-28</t>
        </is>
      </c>
      <c r="W379" t="inlineStr">
        <is>
          <t>1997-04-29</t>
        </is>
      </c>
      <c r="X379" t="inlineStr">
        <is>
          <t>1997-04-29</t>
        </is>
      </c>
      <c r="Y379" t="n">
        <v>265</v>
      </c>
      <c r="Z379" t="n">
        <v>251</v>
      </c>
      <c r="AA379" t="n">
        <v>266</v>
      </c>
      <c r="AB379" t="n">
        <v>4</v>
      </c>
      <c r="AC379" t="n">
        <v>4</v>
      </c>
      <c r="AD379" t="n">
        <v>6</v>
      </c>
      <c r="AE379" t="n">
        <v>6</v>
      </c>
      <c r="AF379" t="n">
        <v>2</v>
      </c>
      <c r="AG379" t="n">
        <v>2</v>
      </c>
      <c r="AH379" t="n">
        <v>1</v>
      </c>
      <c r="AI379" t="n">
        <v>1</v>
      </c>
      <c r="AJ379" t="n">
        <v>2</v>
      </c>
      <c r="AK379" t="n">
        <v>2</v>
      </c>
      <c r="AL379" t="n">
        <v>3</v>
      </c>
      <c r="AM379" t="n">
        <v>3</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HYPERLINK("https://creighton-primo.hosted.exlibrisgroup.com/primo-explore/search?tab=default_tab&amp;search_scope=EVERYTHING&amp;vid=01CRU&amp;lang=en_US&amp;offset=0&amp;query=any,contains,991001222379702656","Catalog Record")</f>
        <v/>
      </c>
      <c r="AT379">
        <f>HYPERLINK("http://www.worldcat.org/oclc/197462","WorldCat Record")</f>
        <v/>
      </c>
      <c r="AU379" t="inlineStr">
        <is>
          <t>1088591195:eng</t>
        </is>
      </c>
      <c r="AV379" t="inlineStr">
        <is>
          <t>197462</t>
        </is>
      </c>
      <c r="AW379" t="inlineStr">
        <is>
          <t>991001222379702656</t>
        </is>
      </c>
      <c r="AX379" t="inlineStr">
        <is>
          <t>991001222379702656</t>
        </is>
      </c>
      <c r="AY379" t="inlineStr">
        <is>
          <t>2272500310002656</t>
        </is>
      </c>
      <c r="AZ379" t="inlineStr">
        <is>
          <t>BOOK</t>
        </is>
      </c>
      <c r="BB379" t="inlineStr">
        <is>
          <t>9780670758654</t>
        </is>
      </c>
      <c r="BC379" t="inlineStr">
        <is>
          <t>32285002584752</t>
        </is>
      </c>
      <c r="BD379" t="inlineStr">
        <is>
          <t>893237950</t>
        </is>
      </c>
    </row>
    <row r="380">
      <c r="A380" t="inlineStr">
        <is>
          <t>No</t>
        </is>
      </c>
      <c r="B380" t="inlineStr">
        <is>
          <t>QB64 .L48 1994</t>
        </is>
      </c>
      <c r="C380" t="inlineStr">
        <is>
          <t>0                      QB 0064000L  48          1994</t>
        </is>
      </c>
      <c r="D380" t="inlineStr">
        <is>
          <t>Skywatching / David H. Levy ; consultant editor John O'Byrne.</t>
        </is>
      </c>
      <c r="F380" t="inlineStr">
        <is>
          <t>No</t>
        </is>
      </c>
      <c r="G380" t="inlineStr">
        <is>
          <t>1</t>
        </is>
      </c>
      <c r="H380" t="inlineStr">
        <is>
          <t>No</t>
        </is>
      </c>
      <c r="I380" t="inlineStr">
        <is>
          <t>No</t>
        </is>
      </c>
      <c r="J380" t="inlineStr">
        <is>
          <t>0</t>
        </is>
      </c>
      <c r="K380" t="inlineStr">
        <is>
          <t>Levy, David H., 1948-</t>
        </is>
      </c>
      <c r="L380" t="inlineStr">
        <is>
          <t>Alexandria, VA : Time-Life Books, 1994.</t>
        </is>
      </c>
      <c r="M380" t="inlineStr">
        <is>
          <t>1994</t>
        </is>
      </c>
      <c r="O380" t="inlineStr">
        <is>
          <t>eng</t>
        </is>
      </c>
      <c r="P380" t="inlineStr">
        <is>
          <t>vau</t>
        </is>
      </c>
      <c r="Q380" t="inlineStr">
        <is>
          <t>A Nature Company guide</t>
        </is>
      </c>
      <c r="R380" t="inlineStr">
        <is>
          <t xml:space="preserve">QB </t>
        </is>
      </c>
      <c r="S380" t="n">
        <v>9</v>
      </c>
      <c r="T380" t="n">
        <v>9</v>
      </c>
      <c r="U380" t="inlineStr">
        <is>
          <t>2003-04-30</t>
        </is>
      </c>
      <c r="V380" t="inlineStr">
        <is>
          <t>2003-04-30</t>
        </is>
      </c>
      <c r="W380" t="inlineStr">
        <is>
          <t>1996-05-21</t>
        </is>
      </c>
      <c r="X380" t="inlineStr">
        <is>
          <t>1996-05-21</t>
        </is>
      </c>
      <c r="Y380" t="n">
        <v>1042</v>
      </c>
      <c r="Z380" t="n">
        <v>1013</v>
      </c>
      <c r="AA380" t="n">
        <v>1183</v>
      </c>
      <c r="AB380" t="n">
        <v>5</v>
      </c>
      <c r="AC380" t="n">
        <v>5</v>
      </c>
      <c r="AD380" t="n">
        <v>7</v>
      </c>
      <c r="AE380" t="n">
        <v>8</v>
      </c>
      <c r="AF380" t="n">
        <v>2</v>
      </c>
      <c r="AG380" t="n">
        <v>3</v>
      </c>
      <c r="AH380" t="n">
        <v>1</v>
      </c>
      <c r="AI380" t="n">
        <v>1</v>
      </c>
      <c r="AJ380" t="n">
        <v>7</v>
      </c>
      <c r="AK380" t="n">
        <v>7</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HYPERLINK("https://creighton-primo.hosted.exlibrisgroup.com/primo-explore/search?tab=default_tab&amp;search_scope=EVERYTHING&amp;vid=01CRU&amp;lang=en_US&amp;offset=0&amp;query=any,contains,991002483179702656","Catalog Record")</f>
        <v/>
      </c>
      <c r="AT380">
        <f>HYPERLINK("http://www.worldcat.org/oclc/32313955","WorldCat Record")</f>
        <v/>
      </c>
      <c r="AU380" t="inlineStr">
        <is>
          <t>13442018:eng</t>
        </is>
      </c>
      <c r="AV380" t="inlineStr">
        <is>
          <t>32313955</t>
        </is>
      </c>
      <c r="AW380" t="inlineStr">
        <is>
          <t>991002483179702656</t>
        </is>
      </c>
      <c r="AX380" t="inlineStr">
        <is>
          <t>991002483179702656</t>
        </is>
      </c>
      <c r="AY380" t="inlineStr">
        <is>
          <t>2268219450002656</t>
        </is>
      </c>
      <c r="AZ380" t="inlineStr">
        <is>
          <t>BOOK</t>
        </is>
      </c>
      <c r="BB380" t="inlineStr">
        <is>
          <t>9780783547510</t>
        </is>
      </c>
      <c r="BC380" t="inlineStr">
        <is>
          <t>32285002176351</t>
        </is>
      </c>
      <c r="BD380" t="inlineStr">
        <is>
          <t>893257352</t>
        </is>
      </c>
    </row>
    <row r="381">
      <c r="A381" t="inlineStr">
        <is>
          <t>No</t>
        </is>
      </c>
      <c r="B381" t="inlineStr">
        <is>
          <t>QB64 .R375 2001</t>
        </is>
      </c>
      <c r="C381" t="inlineStr">
        <is>
          <t>0                      QB 0064000R  375         2001</t>
        </is>
      </c>
      <c r="D381" t="inlineStr">
        <is>
          <t>An intimate look at the night sky / Chet Raymo.</t>
        </is>
      </c>
      <c r="F381" t="inlineStr">
        <is>
          <t>No</t>
        </is>
      </c>
      <c r="G381" t="inlineStr">
        <is>
          <t>1</t>
        </is>
      </c>
      <c r="H381" t="inlineStr">
        <is>
          <t>No</t>
        </is>
      </c>
      <c r="I381" t="inlineStr">
        <is>
          <t>No</t>
        </is>
      </c>
      <c r="J381" t="inlineStr">
        <is>
          <t>0</t>
        </is>
      </c>
      <c r="K381" t="inlineStr">
        <is>
          <t>Raymo, Chet.</t>
        </is>
      </c>
      <c r="L381" t="inlineStr">
        <is>
          <t>New York, NY : Walker &amp; Company, c2001.</t>
        </is>
      </c>
      <c r="M381" t="inlineStr">
        <is>
          <t>2001</t>
        </is>
      </c>
      <c r="O381" t="inlineStr">
        <is>
          <t>eng</t>
        </is>
      </c>
      <c r="P381" t="inlineStr">
        <is>
          <t>nyu</t>
        </is>
      </c>
      <c r="R381" t="inlineStr">
        <is>
          <t xml:space="preserve">QB </t>
        </is>
      </c>
      <c r="S381" t="n">
        <v>2</v>
      </c>
      <c r="T381" t="n">
        <v>2</v>
      </c>
      <c r="U381" t="inlineStr">
        <is>
          <t>2002-03-19</t>
        </is>
      </c>
      <c r="V381" t="inlineStr">
        <is>
          <t>2002-03-19</t>
        </is>
      </c>
      <c r="W381" t="inlineStr">
        <is>
          <t>2001-10-15</t>
        </is>
      </c>
      <c r="X381" t="inlineStr">
        <is>
          <t>2001-10-15</t>
        </is>
      </c>
      <c r="Y381" t="n">
        <v>810</v>
      </c>
      <c r="Z381" t="n">
        <v>784</v>
      </c>
      <c r="AA381" t="n">
        <v>824</v>
      </c>
      <c r="AB381" t="n">
        <v>9</v>
      </c>
      <c r="AC381" t="n">
        <v>9</v>
      </c>
      <c r="AD381" t="n">
        <v>16</v>
      </c>
      <c r="AE381" t="n">
        <v>16</v>
      </c>
      <c r="AF381" t="n">
        <v>6</v>
      </c>
      <c r="AG381" t="n">
        <v>6</v>
      </c>
      <c r="AH381" t="n">
        <v>2</v>
      </c>
      <c r="AI381" t="n">
        <v>2</v>
      </c>
      <c r="AJ381" t="n">
        <v>6</v>
      </c>
      <c r="AK381" t="n">
        <v>6</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HYPERLINK("https://creighton-primo.hosted.exlibrisgroup.com/primo-explore/search?tab=default_tab&amp;search_scope=EVERYTHING&amp;vid=01CRU&amp;lang=en_US&amp;offset=0&amp;query=any,contains,991003581419702656","Catalog Record")</f>
        <v/>
      </c>
      <c r="AT381">
        <f>HYPERLINK("http://www.worldcat.org/oclc/47109610","WorldCat Record")</f>
        <v/>
      </c>
      <c r="AU381" t="inlineStr">
        <is>
          <t>781855:eng</t>
        </is>
      </c>
      <c r="AV381" t="inlineStr">
        <is>
          <t>47109610</t>
        </is>
      </c>
      <c r="AW381" t="inlineStr">
        <is>
          <t>991003581419702656</t>
        </is>
      </c>
      <c r="AX381" t="inlineStr">
        <is>
          <t>991003581419702656</t>
        </is>
      </c>
      <c r="AY381" t="inlineStr">
        <is>
          <t>2254789780002656</t>
        </is>
      </c>
      <c r="AZ381" t="inlineStr">
        <is>
          <t>BOOK</t>
        </is>
      </c>
      <c r="BB381" t="inlineStr">
        <is>
          <t>9780802713698</t>
        </is>
      </c>
      <c r="BC381" t="inlineStr">
        <is>
          <t>32285004396239</t>
        </is>
      </c>
      <c r="BD381" t="inlineStr">
        <is>
          <t>893531328</t>
        </is>
      </c>
    </row>
    <row r="382">
      <c r="A382" t="inlineStr">
        <is>
          <t>No</t>
        </is>
      </c>
      <c r="B382" t="inlineStr">
        <is>
          <t>QB64 .R38 1982</t>
        </is>
      </c>
      <c r="C382" t="inlineStr">
        <is>
          <t>0                      QB 0064000R  38          1982</t>
        </is>
      </c>
      <c r="D382" t="inlineStr">
        <is>
          <t>365 starry nights : an introduction to astronomy for every night of the year / text and illustrations by Chet Raymo.</t>
        </is>
      </c>
      <c r="F382" t="inlineStr">
        <is>
          <t>No</t>
        </is>
      </c>
      <c r="G382" t="inlineStr">
        <is>
          <t>1</t>
        </is>
      </c>
      <c r="H382" t="inlineStr">
        <is>
          <t>No</t>
        </is>
      </c>
      <c r="I382" t="inlineStr">
        <is>
          <t>No</t>
        </is>
      </c>
      <c r="J382" t="inlineStr">
        <is>
          <t>0</t>
        </is>
      </c>
      <c r="K382" t="inlineStr">
        <is>
          <t>Raymo, Chet.</t>
        </is>
      </c>
      <c r="L382" t="inlineStr">
        <is>
          <t>Englewood Cliffs, N.J. : Prentice-Hall, c1982.</t>
        </is>
      </c>
      <c r="M382" t="inlineStr">
        <is>
          <t>1982</t>
        </is>
      </c>
      <c r="O382" t="inlineStr">
        <is>
          <t>eng</t>
        </is>
      </c>
      <c r="P382" t="inlineStr">
        <is>
          <t>nju</t>
        </is>
      </c>
      <c r="Q382" t="inlineStr">
        <is>
          <t>PHalarope books</t>
        </is>
      </c>
      <c r="R382" t="inlineStr">
        <is>
          <t xml:space="preserve">QB </t>
        </is>
      </c>
      <c r="S382" t="n">
        <v>3</v>
      </c>
      <c r="T382" t="n">
        <v>3</v>
      </c>
      <c r="U382" t="inlineStr">
        <is>
          <t>2004-09-29</t>
        </is>
      </c>
      <c r="V382" t="inlineStr">
        <is>
          <t>2004-09-29</t>
        </is>
      </c>
      <c r="W382" t="inlineStr">
        <is>
          <t>1992-11-17</t>
        </is>
      </c>
      <c r="X382" t="inlineStr">
        <is>
          <t>1992-11-17</t>
        </is>
      </c>
      <c r="Y382" t="n">
        <v>874</v>
      </c>
      <c r="Z382" t="n">
        <v>834</v>
      </c>
      <c r="AA382" t="n">
        <v>1084</v>
      </c>
      <c r="AB382" t="n">
        <v>11</v>
      </c>
      <c r="AC382" t="n">
        <v>13</v>
      </c>
      <c r="AD382" t="n">
        <v>18</v>
      </c>
      <c r="AE382" t="n">
        <v>22</v>
      </c>
      <c r="AF382" t="n">
        <v>9</v>
      </c>
      <c r="AG382" t="n">
        <v>10</v>
      </c>
      <c r="AH382" t="n">
        <v>4</v>
      </c>
      <c r="AI382" t="n">
        <v>4</v>
      </c>
      <c r="AJ382" t="n">
        <v>7</v>
      </c>
      <c r="AK382" t="n">
        <v>11</v>
      </c>
      <c r="AL382" t="n">
        <v>2</v>
      </c>
      <c r="AM382" t="n">
        <v>2</v>
      </c>
      <c r="AN382" t="n">
        <v>0</v>
      </c>
      <c r="AO382" t="n">
        <v>0</v>
      </c>
      <c r="AP382" t="inlineStr">
        <is>
          <t>No</t>
        </is>
      </c>
      <c r="AQ382" t="inlineStr">
        <is>
          <t>Yes</t>
        </is>
      </c>
      <c r="AR382">
        <f>HYPERLINK("http://catalog.hathitrust.org/Record/000271869","HathiTrust Record")</f>
        <v/>
      </c>
      <c r="AS382">
        <f>HYPERLINK("https://creighton-primo.hosted.exlibrisgroup.com/primo-explore/search?tab=default_tab&amp;search_scope=EVERYTHING&amp;vid=01CRU&amp;lang=en_US&amp;offset=0&amp;query=any,contains,991005236699702656","Catalog Record")</f>
        <v/>
      </c>
      <c r="AT382">
        <f>HYPERLINK("http://www.worldcat.org/oclc/8387225","WorldCat Record")</f>
        <v/>
      </c>
      <c r="AU382" t="inlineStr">
        <is>
          <t>1033288:eng</t>
        </is>
      </c>
      <c r="AV382" t="inlineStr">
        <is>
          <t>8387225</t>
        </is>
      </c>
      <c r="AW382" t="inlineStr">
        <is>
          <t>991005236699702656</t>
        </is>
      </c>
      <c r="AX382" t="inlineStr">
        <is>
          <t>991005236699702656</t>
        </is>
      </c>
      <c r="AY382" t="inlineStr">
        <is>
          <t>2266685990002656</t>
        </is>
      </c>
      <c r="AZ382" t="inlineStr">
        <is>
          <t>BOOK</t>
        </is>
      </c>
      <c r="BB382" t="inlineStr">
        <is>
          <t>9780139205125</t>
        </is>
      </c>
      <c r="BC382" t="inlineStr">
        <is>
          <t>32285001432052</t>
        </is>
      </c>
      <c r="BD382" t="inlineStr">
        <is>
          <t>893720037</t>
        </is>
      </c>
    </row>
    <row r="383">
      <c r="A383" t="inlineStr">
        <is>
          <t>No</t>
        </is>
      </c>
      <c r="B383" t="inlineStr">
        <is>
          <t>QB64 .S47</t>
        </is>
      </c>
      <c r="C383" t="inlineStr">
        <is>
          <t>0                      QB 0064000S  47</t>
        </is>
      </c>
      <c r="D383" t="inlineStr">
        <is>
          <t>A complete manual of amateur astronomy : tools and techniques for astronomical observations / P. Clay Sherrod, with Thomas L. Koed ; foreword by Leif Robinson.</t>
        </is>
      </c>
      <c r="F383" t="inlineStr">
        <is>
          <t>No</t>
        </is>
      </c>
      <c r="G383" t="inlineStr">
        <is>
          <t>1</t>
        </is>
      </c>
      <c r="H383" t="inlineStr">
        <is>
          <t>No</t>
        </is>
      </c>
      <c r="I383" t="inlineStr">
        <is>
          <t>No</t>
        </is>
      </c>
      <c r="J383" t="inlineStr">
        <is>
          <t>0</t>
        </is>
      </c>
      <c r="K383" t="inlineStr">
        <is>
          <t>Sherrod, P. Clay.</t>
        </is>
      </c>
      <c r="L383" t="inlineStr">
        <is>
          <t>Englewood Cliffs, N.J. : Prentice-Hall, c1981.</t>
        </is>
      </c>
      <c r="M383" t="inlineStr">
        <is>
          <t>1981</t>
        </is>
      </c>
      <c r="O383" t="inlineStr">
        <is>
          <t>eng</t>
        </is>
      </c>
      <c r="P383" t="inlineStr">
        <is>
          <t>nju</t>
        </is>
      </c>
      <c r="Q383" t="inlineStr">
        <is>
          <t>A Spectrum book</t>
        </is>
      </c>
      <c r="R383" t="inlineStr">
        <is>
          <t xml:space="preserve">QB </t>
        </is>
      </c>
      <c r="S383" t="n">
        <v>2</v>
      </c>
      <c r="T383" t="n">
        <v>2</v>
      </c>
      <c r="U383" t="inlineStr">
        <is>
          <t>2009-01-07</t>
        </is>
      </c>
      <c r="V383" t="inlineStr">
        <is>
          <t>2009-01-07</t>
        </is>
      </c>
      <c r="W383" t="inlineStr">
        <is>
          <t>1992-11-17</t>
        </is>
      </c>
      <c r="X383" t="inlineStr">
        <is>
          <t>1992-11-17</t>
        </is>
      </c>
      <c r="Y383" t="n">
        <v>776</v>
      </c>
      <c r="Z383" t="n">
        <v>722</v>
      </c>
      <c r="AA383" t="n">
        <v>777</v>
      </c>
      <c r="AB383" t="n">
        <v>6</v>
      </c>
      <c r="AC383" t="n">
        <v>6</v>
      </c>
      <c r="AD383" t="n">
        <v>16</v>
      </c>
      <c r="AE383" t="n">
        <v>20</v>
      </c>
      <c r="AF383" t="n">
        <v>4</v>
      </c>
      <c r="AG383" t="n">
        <v>7</v>
      </c>
      <c r="AH383" t="n">
        <v>3</v>
      </c>
      <c r="AI383" t="n">
        <v>5</v>
      </c>
      <c r="AJ383" t="n">
        <v>7</v>
      </c>
      <c r="AK383" t="n">
        <v>8</v>
      </c>
      <c r="AL383" t="n">
        <v>4</v>
      </c>
      <c r="AM383" t="n">
        <v>4</v>
      </c>
      <c r="AN383" t="n">
        <v>0</v>
      </c>
      <c r="AO383" t="n">
        <v>0</v>
      </c>
      <c r="AP383" t="inlineStr">
        <is>
          <t>No</t>
        </is>
      </c>
      <c r="AQ383" t="inlineStr">
        <is>
          <t>Yes</t>
        </is>
      </c>
      <c r="AR383">
        <f>HYPERLINK("http://catalog.hathitrust.org/Record/000267511","HathiTrust Record")</f>
        <v/>
      </c>
      <c r="AS383">
        <f>HYPERLINK("https://creighton-primo.hosted.exlibrisgroup.com/primo-explore/search?tab=default_tab&amp;search_scope=EVERYTHING&amp;vid=01CRU&amp;lang=en_US&amp;offset=0&amp;query=any,contains,991005098539702656","Catalog Record")</f>
        <v/>
      </c>
      <c r="AT383">
        <f>HYPERLINK("http://www.worldcat.org/oclc/7277892","WorldCat Record")</f>
        <v/>
      </c>
      <c r="AU383" t="inlineStr">
        <is>
          <t>836670024:eng</t>
        </is>
      </c>
      <c r="AV383" t="inlineStr">
        <is>
          <t>7277892</t>
        </is>
      </c>
      <c r="AW383" t="inlineStr">
        <is>
          <t>991005098539702656</t>
        </is>
      </c>
      <c r="AX383" t="inlineStr">
        <is>
          <t>991005098539702656</t>
        </is>
      </c>
      <c r="AY383" t="inlineStr">
        <is>
          <t>2263844970002656</t>
        </is>
      </c>
      <c r="AZ383" t="inlineStr">
        <is>
          <t>BOOK</t>
        </is>
      </c>
      <c r="BB383" t="inlineStr">
        <is>
          <t>9780131621077</t>
        </is>
      </c>
      <c r="BC383" t="inlineStr">
        <is>
          <t>32285001432060</t>
        </is>
      </c>
      <c r="BD383" t="inlineStr">
        <is>
          <t>893248349</t>
        </is>
      </c>
    </row>
    <row r="384">
      <c r="A384" t="inlineStr">
        <is>
          <t>No</t>
        </is>
      </c>
      <c r="B384" t="inlineStr">
        <is>
          <t>QB64 .W3</t>
        </is>
      </c>
      <c r="C384" t="inlineStr">
        <is>
          <t>0                      QB 0064000W  3</t>
        </is>
      </c>
      <c r="D384" t="inlineStr">
        <is>
          <t>Celestial objects for common telescopes / by T.W. Webb.</t>
        </is>
      </c>
      <c r="F384" t="inlineStr">
        <is>
          <t>No</t>
        </is>
      </c>
      <c r="G384" t="inlineStr">
        <is>
          <t>1</t>
        </is>
      </c>
      <c r="H384" t="inlineStr">
        <is>
          <t>No</t>
        </is>
      </c>
      <c r="I384" t="inlineStr">
        <is>
          <t>No</t>
        </is>
      </c>
      <c r="J384" t="inlineStr">
        <is>
          <t>0</t>
        </is>
      </c>
      <c r="K384" t="inlineStr">
        <is>
          <t>Webb, T. W. (Thomas William), 1807-1885.</t>
        </is>
      </c>
      <c r="L384" t="inlineStr">
        <is>
          <t>London : Longmans, Green, 1881.</t>
        </is>
      </c>
      <c r="M384" t="inlineStr">
        <is>
          <t>1881</t>
        </is>
      </c>
      <c r="N384" t="inlineStr">
        <is>
          <t>4th ed., rev. and greatly enl.</t>
        </is>
      </c>
      <c r="O384" t="inlineStr">
        <is>
          <t>eng</t>
        </is>
      </c>
      <c r="P384" t="inlineStr">
        <is>
          <t>enk</t>
        </is>
      </c>
      <c r="R384" t="inlineStr">
        <is>
          <t xml:space="preserve">QB </t>
        </is>
      </c>
      <c r="S384" t="n">
        <v>2</v>
      </c>
      <c r="T384" t="n">
        <v>2</v>
      </c>
      <c r="U384" t="inlineStr">
        <is>
          <t>1999-06-09</t>
        </is>
      </c>
      <c r="V384" t="inlineStr">
        <is>
          <t>1999-06-09</t>
        </is>
      </c>
      <c r="W384" t="inlineStr">
        <is>
          <t>1997-04-29</t>
        </is>
      </c>
      <c r="X384" t="inlineStr">
        <is>
          <t>1997-04-29</t>
        </is>
      </c>
      <c r="Y384" t="n">
        <v>47</v>
      </c>
      <c r="Z384" t="n">
        <v>28</v>
      </c>
      <c r="AA384" t="n">
        <v>536</v>
      </c>
      <c r="AB384" t="n">
        <v>1</v>
      </c>
      <c r="AC384" t="n">
        <v>5</v>
      </c>
      <c r="AD384" t="n">
        <v>0</v>
      </c>
      <c r="AE384" t="n">
        <v>18</v>
      </c>
      <c r="AF384" t="n">
        <v>0</v>
      </c>
      <c r="AG384" t="n">
        <v>4</v>
      </c>
      <c r="AH384" t="n">
        <v>0</v>
      </c>
      <c r="AI384" t="n">
        <v>3</v>
      </c>
      <c r="AJ384" t="n">
        <v>0</v>
      </c>
      <c r="AK384" t="n">
        <v>9</v>
      </c>
      <c r="AL384" t="n">
        <v>0</v>
      </c>
      <c r="AM384" t="n">
        <v>4</v>
      </c>
      <c r="AN384" t="n">
        <v>0</v>
      </c>
      <c r="AO384" t="n">
        <v>0</v>
      </c>
      <c r="AP384" t="inlineStr">
        <is>
          <t>Yes</t>
        </is>
      </c>
      <c r="AQ384" t="inlineStr">
        <is>
          <t>No</t>
        </is>
      </c>
      <c r="AR384">
        <f>HYPERLINK("http://catalog.hathitrust.org/Record/001988119","HathiTrust Record")</f>
        <v/>
      </c>
      <c r="AS384">
        <f>HYPERLINK("https://creighton-primo.hosted.exlibrisgroup.com/primo-explore/search?tab=default_tab&amp;search_scope=EVERYTHING&amp;vid=01CRU&amp;lang=en_US&amp;offset=0&amp;query=any,contains,991000481889702656","Catalog Record")</f>
        <v/>
      </c>
      <c r="AT384">
        <f>HYPERLINK("http://www.worldcat.org/oclc/11052963","WorldCat Record")</f>
        <v/>
      </c>
      <c r="AU384" t="inlineStr">
        <is>
          <t>4927458457:eng</t>
        </is>
      </c>
      <c r="AV384" t="inlineStr">
        <is>
          <t>11052963</t>
        </is>
      </c>
      <c r="AW384" t="inlineStr">
        <is>
          <t>991000481889702656</t>
        </is>
      </c>
      <c r="AX384" t="inlineStr">
        <is>
          <t>991000481889702656</t>
        </is>
      </c>
      <c r="AY384" t="inlineStr">
        <is>
          <t>2259892770002656</t>
        </is>
      </c>
      <c r="AZ384" t="inlineStr">
        <is>
          <t>BOOK</t>
        </is>
      </c>
      <c r="BC384" t="inlineStr">
        <is>
          <t>32285002584836</t>
        </is>
      </c>
      <c r="BD384" t="inlineStr">
        <is>
          <t>893607945</t>
        </is>
      </c>
    </row>
    <row r="385">
      <c r="A385" t="inlineStr">
        <is>
          <t>No</t>
        </is>
      </c>
      <c r="B385" t="inlineStr">
        <is>
          <t>QB641 .C425 2008</t>
        </is>
      </c>
      <c r="C385" t="inlineStr">
        <is>
          <t>0                      QB 0641000C  425         2008</t>
        </is>
      </c>
      <c r="D385" t="inlineStr">
        <is>
          <t>A passion for Mars : intrepid explorers of the Red Planet / Andrew Chaikin ; foreword by James Cameron.</t>
        </is>
      </c>
      <c r="F385" t="inlineStr">
        <is>
          <t>No</t>
        </is>
      </c>
      <c r="G385" t="inlineStr">
        <is>
          <t>1</t>
        </is>
      </c>
      <c r="H385" t="inlineStr">
        <is>
          <t>No</t>
        </is>
      </c>
      <c r="I385" t="inlineStr">
        <is>
          <t>No</t>
        </is>
      </c>
      <c r="J385" t="inlineStr">
        <is>
          <t>0</t>
        </is>
      </c>
      <c r="K385" t="inlineStr">
        <is>
          <t>Chaikin, Andrew, 1956-</t>
        </is>
      </c>
      <c r="L385" t="inlineStr">
        <is>
          <t>New York : Abrams, 2008.</t>
        </is>
      </c>
      <c r="M385" t="inlineStr">
        <is>
          <t>2008</t>
        </is>
      </c>
      <c r="O385" t="inlineStr">
        <is>
          <t>eng</t>
        </is>
      </c>
      <c r="P385" t="inlineStr">
        <is>
          <t>nyu</t>
        </is>
      </c>
      <c r="R385" t="inlineStr">
        <is>
          <t xml:space="preserve">QB </t>
        </is>
      </c>
      <c r="S385" t="n">
        <v>2</v>
      </c>
      <c r="T385" t="n">
        <v>2</v>
      </c>
      <c r="U385" t="inlineStr">
        <is>
          <t>2009-02-06</t>
        </is>
      </c>
      <c r="V385" t="inlineStr">
        <is>
          <t>2009-02-06</t>
        </is>
      </c>
      <c r="W385" t="inlineStr">
        <is>
          <t>2009-01-21</t>
        </is>
      </c>
      <c r="X385" t="inlineStr">
        <is>
          <t>2009-01-21</t>
        </is>
      </c>
      <c r="Y385" t="n">
        <v>360</v>
      </c>
      <c r="Z385" t="n">
        <v>298</v>
      </c>
      <c r="AA385" t="n">
        <v>305</v>
      </c>
      <c r="AB385" t="n">
        <v>3</v>
      </c>
      <c r="AC385" t="n">
        <v>3</v>
      </c>
      <c r="AD385" t="n">
        <v>7</v>
      </c>
      <c r="AE385" t="n">
        <v>7</v>
      </c>
      <c r="AF385" t="n">
        <v>2</v>
      </c>
      <c r="AG385" t="n">
        <v>2</v>
      </c>
      <c r="AH385" t="n">
        <v>1</v>
      </c>
      <c r="AI385" t="n">
        <v>1</v>
      </c>
      <c r="AJ385" t="n">
        <v>4</v>
      </c>
      <c r="AK385" t="n">
        <v>4</v>
      </c>
      <c r="AL385" t="n">
        <v>2</v>
      </c>
      <c r="AM385" t="n">
        <v>2</v>
      </c>
      <c r="AN385" t="n">
        <v>0</v>
      </c>
      <c r="AO385" t="n">
        <v>0</v>
      </c>
      <c r="AP385" t="inlineStr">
        <is>
          <t>No</t>
        </is>
      </c>
      <c r="AQ385" t="inlineStr">
        <is>
          <t>Yes</t>
        </is>
      </c>
      <c r="AR385">
        <f>HYPERLINK("http://catalog.hathitrust.org/Record/008514269","HathiTrust Record")</f>
        <v/>
      </c>
      <c r="AS385">
        <f>HYPERLINK("https://creighton-primo.hosted.exlibrisgroup.com/primo-explore/search?tab=default_tab&amp;search_scope=EVERYTHING&amp;vid=01CRU&amp;lang=en_US&amp;offset=0&amp;query=any,contains,991005288519702656","Catalog Record")</f>
        <v/>
      </c>
      <c r="AT385">
        <f>HYPERLINK("http://www.worldcat.org/oclc/182779576","WorldCat Record")</f>
        <v/>
      </c>
      <c r="AU385" t="inlineStr">
        <is>
          <t>816851349:eng</t>
        </is>
      </c>
      <c r="AV385" t="inlineStr">
        <is>
          <t>182779576</t>
        </is>
      </c>
      <c r="AW385" t="inlineStr">
        <is>
          <t>991005288519702656</t>
        </is>
      </c>
      <c r="AX385" t="inlineStr">
        <is>
          <t>991005288519702656</t>
        </is>
      </c>
      <c r="AY385" t="inlineStr">
        <is>
          <t>2262291580002656</t>
        </is>
      </c>
      <c r="AZ385" t="inlineStr">
        <is>
          <t>BOOK</t>
        </is>
      </c>
      <c r="BB385" t="inlineStr">
        <is>
          <t>9780810972742</t>
        </is>
      </c>
      <c r="BC385" t="inlineStr">
        <is>
          <t>32285005500052</t>
        </is>
      </c>
      <c r="BD385" t="inlineStr">
        <is>
          <t>893713813</t>
        </is>
      </c>
    </row>
    <row r="386">
      <c r="A386" t="inlineStr">
        <is>
          <t>No</t>
        </is>
      </c>
      <c r="B386" t="inlineStr">
        <is>
          <t>QB641 .C48 1979</t>
        </is>
      </c>
      <c r="C386" t="inlineStr">
        <is>
          <t>0                      QB 0641000C  48          1979</t>
        </is>
      </c>
      <c r="D386" t="inlineStr">
        <is>
          <t>Life on Mars / by David L. Chandler.</t>
        </is>
      </c>
      <c r="F386" t="inlineStr">
        <is>
          <t>No</t>
        </is>
      </c>
      <c r="G386" t="inlineStr">
        <is>
          <t>1</t>
        </is>
      </c>
      <c r="H386" t="inlineStr">
        <is>
          <t>No</t>
        </is>
      </c>
      <c r="I386" t="inlineStr">
        <is>
          <t>No</t>
        </is>
      </c>
      <c r="J386" t="inlineStr">
        <is>
          <t>0</t>
        </is>
      </c>
      <c r="K386" t="inlineStr">
        <is>
          <t>Chandler, David Leon.</t>
        </is>
      </c>
      <c r="L386" t="inlineStr">
        <is>
          <t>New York : E. P. Dutton, c1979.</t>
        </is>
      </c>
      <c r="M386" t="inlineStr">
        <is>
          <t>1979</t>
        </is>
      </c>
      <c r="N386" t="inlineStr">
        <is>
          <t>1st ed.</t>
        </is>
      </c>
      <c r="O386" t="inlineStr">
        <is>
          <t>eng</t>
        </is>
      </c>
      <c r="P386" t="inlineStr">
        <is>
          <t>nyu</t>
        </is>
      </c>
      <c r="R386" t="inlineStr">
        <is>
          <t xml:space="preserve">QB </t>
        </is>
      </c>
      <c r="S386" t="n">
        <v>10</v>
      </c>
      <c r="T386" t="n">
        <v>10</v>
      </c>
      <c r="U386" t="inlineStr">
        <is>
          <t>1999-01-29</t>
        </is>
      </c>
      <c r="V386" t="inlineStr">
        <is>
          <t>1999-01-29</t>
        </is>
      </c>
      <c r="W386" t="inlineStr">
        <is>
          <t>1990-04-04</t>
        </is>
      </c>
      <c r="X386" t="inlineStr">
        <is>
          <t>1990-04-04</t>
        </is>
      </c>
      <c r="Y386" t="n">
        <v>330</v>
      </c>
      <c r="Z386" t="n">
        <v>307</v>
      </c>
      <c r="AA386" t="n">
        <v>313</v>
      </c>
      <c r="AB386" t="n">
        <v>5</v>
      </c>
      <c r="AC386" t="n">
        <v>5</v>
      </c>
      <c r="AD386" t="n">
        <v>5</v>
      </c>
      <c r="AE386" t="n">
        <v>5</v>
      </c>
      <c r="AF386" t="n">
        <v>1</v>
      </c>
      <c r="AG386" t="n">
        <v>1</v>
      </c>
      <c r="AH386" t="n">
        <v>0</v>
      </c>
      <c r="AI386" t="n">
        <v>0</v>
      </c>
      <c r="AJ386" t="n">
        <v>1</v>
      </c>
      <c r="AK386" t="n">
        <v>1</v>
      </c>
      <c r="AL386" t="n">
        <v>4</v>
      </c>
      <c r="AM386" t="n">
        <v>4</v>
      </c>
      <c r="AN386" t="n">
        <v>0</v>
      </c>
      <c r="AO386" t="n">
        <v>0</v>
      </c>
      <c r="AP386" t="inlineStr">
        <is>
          <t>No</t>
        </is>
      </c>
      <c r="AQ386" t="inlineStr">
        <is>
          <t>Yes</t>
        </is>
      </c>
      <c r="AR386">
        <f>HYPERLINK("http://catalog.hathitrust.org/Record/000022019","HathiTrust Record")</f>
        <v/>
      </c>
      <c r="AS386">
        <f>HYPERLINK("https://creighton-primo.hosted.exlibrisgroup.com/primo-explore/search?tab=default_tab&amp;search_scope=EVERYTHING&amp;vid=01CRU&amp;lang=en_US&amp;offset=0&amp;query=any,contains,991004565819702656","Catalog Record")</f>
        <v/>
      </c>
      <c r="AT386">
        <f>HYPERLINK("http://www.worldcat.org/oclc/4004524","WorldCat Record")</f>
        <v/>
      </c>
      <c r="AU386" t="inlineStr">
        <is>
          <t>506869:eng</t>
        </is>
      </c>
      <c r="AV386" t="inlineStr">
        <is>
          <t>4004524</t>
        </is>
      </c>
      <c r="AW386" t="inlineStr">
        <is>
          <t>991004565819702656</t>
        </is>
      </c>
      <c r="AX386" t="inlineStr">
        <is>
          <t>991004565819702656</t>
        </is>
      </c>
      <c r="AY386" t="inlineStr">
        <is>
          <t>2264898680002656</t>
        </is>
      </c>
      <c r="AZ386" t="inlineStr">
        <is>
          <t>BOOK</t>
        </is>
      </c>
      <c r="BC386" t="inlineStr">
        <is>
          <t>32285000109974</t>
        </is>
      </c>
      <c r="BD386" t="inlineStr">
        <is>
          <t>893807225</t>
        </is>
      </c>
    </row>
    <row r="387">
      <c r="A387" t="inlineStr">
        <is>
          <t>No</t>
        </is>
      </c>
      <c r="B387" t="inlineStr">
        <is>
          <t>QB641 .C53 1995</t>
        </is>
      </c>
      <c r="C387" t="inlineStr">
        <is>
          <t>0                      QB 0641000C  53          1995</t>
        </is>
      </c>
      <c r="D387" t="inlineStr">
        <is>
          <t>The snows of Olympus : a garden on Mars / Arthur C. Clarke.</t>
        </is>
      </c>
      <c r="F387" t="inlineStr">
        <is>
          <t>No</t>
        </is>
      </c>
      <c r="G387" t="inlineStr">
        <is>
          <t>1</t>
        </is>
      </c>
      <c r="H387" t="inlineStr">
        <is>
          <t>No</t>
        </is>
      </c>
      <c r="I387" t="inlineStr">
        <is>
          <t>No</t>
        </is>
      </c>
      <c r="J387" t="inlineStr">
        <is>
          <t>0</t>
        </is>
      </c>
      <c r="K387" t="inlineStr">
        <is>
          <t>Clarke, Arthur C. (Arthur Charles), 1917-2008.</t>
        </is>
      </c>
      <c r="L387" t="inlineStr">
        <is>
          <t>New York : W. W. Norton, 1995.</t>
        </is>
      </c>
      <c r="M387" t="inlineStr">
        <is>
          <t>1995</t>
        </is>
      </c>
      <c r="N387" t="inlineStr">
        <is>
          <t>First American edition</t>
        </is>
      </c>
      <c r="O387" t="inlineStr">
        <is>
          <t>eng</t>
        </is>
      </c>
      <c r="P387" t="inlineStr">
        <is>
          <t>nyu</t>
        </is>
      </c>
      <c r="R387" t="inlineStr">
        <is>
          <t xml:space="preserve">QB </t>
        </is>
      </c>
      <c r="S387" t="n">
        <v>6</v>
      </c>
      <c r="T387" t="n">
        <v>6</v>
      </c>
      <c r="U387" t="inlineStr">
        <is>
          <t>1998-02-23</t>
        </is>
      </c>
      <c r="V387" t="inlineStr">
        <is>
          <t>1998-02-23</t>
        </is>
      </c>
      <c r="W387" t="inlineStr">
        <is>
          <t>1996-09-03</t>
        </is>
      </c>
      <c r="X387" t="inlineStr">
        <is>
          <t>1996-09-03</t>
        </is>
      </c>
      <c r="Y387" t="n">
        <v>517</v>
      </c>
      <c r="Z387" t="n">
        <v>496</v>
      </c>
      <c r="AA387" t="n">
        <v>529</v>
      </c>
      <c r="AB387" t="n">
        <v>5</v>
      </c>
      <c r="AC387" t="n">
        <v>5</v>
      </c>
      <c r="AD387" t="n">
        <v>7</v>
      </c>
      <c r="AE387" t="n">
        <v>8</v>
      </c>
      <c r="AF387" t="n">
        <v>2</v>
      </c>
      <c r="AG387" t="n">
        <v>2</v>
      </c>
      <c r="AH387" t="n">
        <v>2</v>
      </c>
      <c r="AI387" t="n">
        <v>2</v>
      </c>
      <c r="AJ387" t="n">
        <v>6</v>
      </c>
      <c r="AK387" t="n">
        <v>7</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HYPERLINK("https://creighton-primo.hosted.exlibrisgroup.com/primo-explore/search?tab=default_tab&amp;search_scope=EVERYTHING&amp;vid=01CRU&amp;lang=en_US&amp;offset=0&amp;query=any,contains,991002555739702656","Catalog Record")</f>
        <v/>
      </c>
      <c r="AT387">
        <f>HYPERLINK("http://www.worldcat.org/oclc/33231041","WorldCat Record")</f>
        <v/>
      </c>
      <c r="AU387" t="inlineStr">
        <is>
          <t>198990199:eng</t>
        </is>
      </c>
      <c r="AV387" t="inlineStr">
        <is>
          <t>33231041</t>
        </is>
      </c>
      <c r="AW387" t="inlineStr">
        <is>
          <t>991002555739702656</t>
        </is>
      </c>
      <c r="AX387" t="inlineStr">
        <is>
          <t>991002555739702656</t>
        </is>
      </c>
      <c r="AY387" t="inlineStr">
        <is>
          <t>2258500440002656</t>
        </is>
      </c>
      <c r="AZ387" t="inlineStr">
        <is>
          <t>BOOK</t>
        </is>
      </c>
      <c r="BB387" t="inlineStr">
        <is>
          <t>9780393039115</t>
        </is>
      </c>
      <c r="BC387" t="inlineStr">
        <is>
          <t>32285002098019</t>
        </is>
      </c>
      <c r="BD387" t="inlineStr">
        <is>
          <t>893903961</t>
        </is>
      </c>
    </row>
    <row r="388">
      <c r="A388" t="inlineStr">
        <is>
          <t>No</t>
        </is>
      </c>
      <c r="B388" t="inlineStr">
        <is>
          <t>QB641 .G46</t>
        </is>
      </c>
      <c r="C388" t="inlineStr">
        <is>
          <t>0                      QB 0641000G  46</t>
        </is>
      </c>
      <c r="D388" t="inlineStr">
        <is>
          <t>Geology of the planet Mars / edited by Vivien Gornitz.</t>
        </is>
      </c>
      <c r="F388" t="inlineStr">
        <is>
          <t>No</t>
        </is>
      </c>
      <c r="G388" t="inlineStr">
        <is>
          <t>1</t>
        </is>
      </c>
      <c r="H388" t="inlineStr">
        <is>
          <t>No</t>
        </is>
      </c>
      <c r="I388" t="inlineStr">
        <is>
          <t>No</t>
        </is>
      </c>
      <c r="J388" t="inlineStr">
        <is>
          <t>0</t>
        </is>
      </c>
      <c r="L388" t="inlineStr">
        <is>
          <t>Stroudsburg, Pa. : Dowden, Hutchinson, and Ross, [1979] c1978.</t>
        </is>
      </c>
      <c r="M388" t="inlineStr">
        <is>
          <t>1979</t>
        </is>
      </c>
      <c r="O388" t="inlineStr">
        <is>
          <t>eng</t>
        </is>
      </c>
      <c r="P388" t="inlineStr">
        <is>
          <t>pau</t>
        </is>
      </c>
      <c r="Q388" t="inlineStr">
        <is>
          <t>Benchmark papers in geology ; v. 48</t>
        </is>
      </c>
      <c r="R388" t="inlineStr">
        <is>
          <t xml:space="preserve">QB </t>
        </is>
      </c>
      <c r="S388" t="n">
        <v>2</v>
      </c>
      <c r="T388" t="n">
        <v>2</v>
      </c>
      <c r="U388" t="inlineStr">
        <is>
          <t>2001-02-15</t>
        </is>
      </c>
      <c r="V388" t="inlineStr">
        <is>
          <t>2001-02-15</t>
        </is>
      </c>
      <c r="W388" t="inlineStr">
        <is>
          <t>1992-11-23</t>
        </is>
      </c>
      <c r="X388" t="inlineStr">
        <is>
          <t>1992-11-23</t>
        </is>
      </c>
      <c r="Y388" t="n">
        <v>341</v>
      </c>
      <c r="Z388" t="n">
        <v>261</v>
      </c>
      <c r="AA388" t="n">
        <v>262</v>
      </c>
      <c r="AB388" t="n">
        <v>3</v>
      </c>
      <c r="AC388" t="n">
        <v>3</v>
      </c>
      <c r="AD388" t="n">
        <v>6</v>
      </c>
      <c r="AE388" t="n">
        <v>6</v>
      </c>
      <c r="AF388" t="n">
        <v>1</v>
      </c>
      <c r="AG388" t="n">
        <v>1</v>
      </c>
      <c r="AH388" t="n">
        <v>0</v>
      </c>
      <c r="AI388" t="n">
        <v>0</v>
      </c>
      <c r="AJ388" t="n">
        <v>3</v>
      </c>
      <c r="AK388" t="n">
        <v>3</v>
      </c>
      <c r="AL388" t="n">
        <v>2</v>
      </c>
      <c r="AM388" t="n">
        <v>2</v>
      </c>
      <c r="AN388" t="n">
        <v>0</v>
      </c>
      <c r="AO388" t="n">
        <v>0</v>
      </c>
      <c r="AP388" t="inlineStr">
        <is>
          <t>No</t>
        </is>
      </c>
      <c r="AQ388" t="inlineStr">
        <is>
          <t>Yes</t>
        </is>
      </c>
      <c r="AR388">
        <f>HYPERLINK("http://catalog.hathitrust.org/Record/000180474","HathiTrust Record")</f>
        <v/>
      </c>
      <c r="AS388">
        <f>HYPERLINK("https://creighton-primo.hosted.exlibrisgroup.com/primo-explore/search?tab=default_tab&amp;search_scope=EVERYTHING&amp;vid=01CRU&amp;lang=en_US&amp;offset=0&amp;query=any,contains,991004594569702656","Catalog Record")</f>
        <v/>
      </c>
      <c r="AT388">
        <f>HYPERLINK("http://www.worldcat.org/oclc/4136195","WorldCat Record")</f>
        <v/>
      </c>
      <c r="AU388" t="inlineStr">
        <is>
          <t>14590256:eng</t>
        </is>
      </c>
      <c r="AV388" t="inlineStr">
        <is>
          <t>4136195</t>
        </is>
      </c>
      <c r="AW388" t="inlineStr">
        <is>
          <t>991004594569702656</t>
        </is>
      </c>
      <c r="AX388" t="inlineStr">
        <is>
          <t>991004594569702656</t>
        </is>
      </c>
      <c r="AY388" t="inlineStr">
        <is>
          <t>2258113820002656</t>
        </is>
      </c>
      <c r="AZ388" t="inlineStr">
        <is>
          <t>BOOK</t>
        </is>
      </c>
      <c r="BB388" t="inlineStr">
        <is>
          <t>9780879333997</t>
        </is>
      </c>
      <c r="BC388" t="inlineStr">
        <is>
          <t>32285001433753</t>
        </is>
      </c>
      <c r="BD388" t="inlineStr">
        <is>
          <t>893507017</t>
        </is>
      </c>
    </row>
    <row r="389">
      <c r="A389" t="inlineStr">
        <is>
          <t>No</t>
        </is>
      </c>
      <c r="B389" t="inlineStr">
        <is>
          <t>QB641 .H69</t>
        </is>
      </c>
      <c r="C389" t="inlineStr">
        <is>
          <t>0                      QB 0641000H  69</t>
        </is>
      </c>
      <c r="D389" t="inlineStr">
        <is>
          <t>Lowell and Mars / William Graves Hoyt.</t>
        </is>
      </c>
      <c r="F389" t="inlineStr">
        <is>
          <t>No</t>
        </is>
      </c>
      <c r="G389" t="inlineStr">
        <is>
          <t>1</t>
        </is>
      </c>
      <c r="H389" t="inlineStr">
        <is>
          <t>No</t>
        </is>
      </c>
      <c r="I389" t="inlineStr">
        <is>
          <t>No</t>
        </is>
      </c>
      <c r="J389" t="inlineStr">
        <is>
          <t>0</t>
        </is>
      </c>
      <c r="K389" t="inlineStr">
        <is>
          <t>Hoyt, William Graves.</t>
        </is>
      </c>
      <c r="L389" t="inlineStr">
        <is>
          <t>Tucson : University of Arizona Press, c1976.</t>
        </is>
      </c>
      <c r="M389" t="inlineStr">
        <is>
          <t>1976</t>
        </is>
      </c>
      <c r="O389" t="inlineStr">
        <is>
          <t>eng</t>
        </is>
      </c>
      <c r="P389" t="inlineStr">
        <is>
          <t>azu</t>
        </is>
      </c>
      <c r="R389" t="inlineStr">
        <is>
          <t xml:space="preserve">QB </t>
        </is>
      </c>
      <c r="S389" t="n">
        <v>1</v>
      </c>
      <c r="T389" t="n">
        <v>1</v>
      </c>
      <c r="U389" t="inlineStr">
        <is>
          <t>2005-11-20</t>
        </is>
      </c>
      <c r="V389" t="inlineStr">
        <is>
          <t>2005-11-20</t>
        </is>
      </c>
      <c r="W389" t="inlineStr">
        <is>
          <t>1997-05-05</t>
        </is>
      </c>
      <c r="X389" t="inlineStr">
        <is>
          <t>1997-05-05</t>
        </is>
      </c>
      <c r="Y389" t="n">
        <v>381</v>
      </c>
      <c r="Z389" t="n">
        <v>323</v>
      </c>
      <c r="AA389" t="n">
        <v>330</v>
      </c>
      <c r="AB389" t="n">
        <v>4</v>
      </c>
      <c r="AC389" t="n">
        <v>4</v>
      </c>
      <c r="AD389" t="n">
        <v>15</v>
      </c>
      <c r="AE389" t="n">
        <v>15</v>
      </c>
      <c r="AF389" t="n">
        <v>4</v>
      </c>
      <c r="AG389" t="n">
        <v>4</v>
      </c>
      <c r="AH389" t="n">
        <v>4</v>
      </c>
      <c r="AI389" t="n">
        <v>4</v>
      </c>
      <c r="AJ389" t="n">
        <v>8</v>
      </c>
      <c r="AK389" t="n">
        <v>8</v>
      </c>
      <c r="AL389" t="n">
        <v>3</v>
      </c>
      <c r="AM389" t="n">
        <v>3</v>
      </c>
      <c r="AN389" t="n">
        <v>0</v>
      </c>
      <c r="AO389" t="n">
        <v>0</v>
      </c>
      <c r="AP389" t="inlineStr">
        <is>
          <t>No</t>
        </is>
      </c>
      <c r="AQ389" t="inlineStr">
        <is>
          <t>Yes</t>
        </is>
      </c>
      <c r="AR389">
        <f>HYPERLINK("http://catalog.hathitrust.org/Record/000740933","HathiTrust Record")</f>
        <v/>
      </c>
      <c r="AS389">
        <f>HYPERLINK("https://creighton-primo.hosted.exlibrisgroup.com/primo-explore/search?tab=default_tab&amp;search_scope=EVERYTHING&amp;vid=01CRU&amp;lang=en_US&amp;offset=0&amp;query=any,contains,991004109059702656","Catalog Record")</f>
        <v/>
      </c>
      <c r="AT389">
        <f>HYPERLINK("http://www.worldcat.org/oclc/2390580","WorldCat Record")</f>
        <v/>
      </c>
      <c r="AU389" t="inlineStr">
        <is>
          <t>4986802:eng</t>
        </is>
      </c>
      <c r="AV389" t="inlineStr">
        <is>
          <t>2390580</t>
        </is>
      </c>
      <c r="AW389" t="inlineStr">
        <is>
          <t>991004109059702656</t>
        </is>
      </c>
      <c r="AX389" t="inlineStr">
        <is>
          <t>991004109059702656</t>
        </is>
      </c>
      <c r="AY389" t="inlineStr">
        <is>
          <t>2269034230002656</t>
        </is>
      </c>
      <c r="AZ389" t="inlineStr">
        <is>
          <t>BOOK</t>
        </is>
      </c>
      <c r="BB389" t="inlineStr">
        <is>
          <t>9780816504350</t>
        </is>
      </c>
      <c r="BC389" t="inlineStr">
        <is>
          <t>32285002642402</t>
        </is>
      </c>
      <c r="BD389" t="inlineStr">
        <is>
          <t>893353212</t>
        </is>
      </c>
    </row>
    <row r="390">
      <c r="A390" t="inlineStr">
        <is>
          <t>No</t>
        </is>
      </c>
      <c r="B390" t="inlineStr">
        <is>
          <t>QB641 .K23 2004</t>
        </is>
      </c>
      <c r="C390" t="inlineStr">
        <is>
          <t>0                      QB 0641000K  23          2004</t>
        </is>
      </c>
      <c r="D390" t="inlineStr">
        <is>
          <t>Mars : a warmer, wetter planet / Jeffrey S. Kargel.</t>
        </is>
      </c>
      <c r="F390" t="inlineStr">
        <is>
          <t>No</t>
        </is>
      </c>
      <c r="G390" t="inlineStr">
        <is>
          <t>1</t>
        </is>
      </c>
      <c r="H390" t="inlineStr">
        <is>
          <t>No</t>
        </is>
      </c>
      <c r="I390" t="inlineStr">
        <is>
          <t>No</t>
        </is>
      </c>
      <c r="J390" t="inlineStr">
        <is>
          <t>0</t>
        </is>
      </c>
      <c r="K390" t="inlineStr">
        <is>
          <t>Kargel, J. S. (Jeffrey Stuart), 1958-</t>
        </is>
      </c>
      <c r="L390" t="inlineStr">
        <is>
          <t>London ; New York : Springer ; Chichester : Praxis, c2004.</t>
        </is>
      </c>
      <c r="M390" t="inlineStr">
        <is>
          <t>2004</t>
        </is>
      </c>
      <c r="O390" t="inlineStr">
        <is>
          <t>eng</t>
        </is>
      </c>
      <c r="P390" t="inlineStr">
        <is>
          <t>enk</t>
        </is>
      </c>
      <c r="Q390" t="inlineStr">
        <is>
          <t>Springer-Praxis books in astronomy and space sciences</t>
        </is>
      </c>
      <c r="R390" t="inlineStr">
        <is>
          <t xml:space="preserve">QB </t>
        </is>
      </c>
      <c r="S390" t="n">
        <v>1</v>
      </c>
      <c r="T390" t="n">
        <v>1</v>
      </c>
      <c r="U390" t="inlineStr">
        <is>
          <t>2005-04-07</t>
        </is>
      </c>
      <c r="V390" t="inlineStr">
        <is>
          <t>2005-04-07</t>
        </is>
      </c>
      <c r="W390" t="inlineStr">
        <is>
          <t>2005-04-07</t>
        </is>
      </c>
      <c r="X390" t="inlineStr">
        <is>
          <t>2005-04-07</t>
        </is>
      </c>
      <c r="Y390" t="n">
        <v>602</v>
      </c>
      <c r="Z390" t="n">
        <v>536</v>
      </c>
      <c r="AA390" t="n">
        <v>543</v>
      </c>
      <c r="AB390" t="n">
        <v>4</v>
      </c>
      <c r="AC390" t="n">
        <v>4</v>
      </c>
      <c r="AD390" t="n">
        <v>21</v>
      </c>
      <c r="AE390" t="n">
        <v>21</v>
      </c>
      <c r="AF390" t="n">
        <v>10</v>
      </c>
      <c r="AG390" t="n">
        <v>10</v>
      </c>
      <c r="AH390" t="n">
        <v>4</v>
      </c>
      <c r="AI390" t="n">
        <v>4</v>
      </c>
      <c r="AJ390" t="n">
        <v>10</v>
      </c>
      <c r="AK390" t="n">
        <v>10</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HYPERLINK("https://creighton-primo.hosted.exlibrisgroup.com/primo-explore/search?tab=default_tab&amp;search_scope=EVERYTHING&amp;vid=01CRU&amp;lang=en_US&amp;offset=0&amp;query=any,contains,991004495529702656","Catalog Record")</f>
        <v/>
      </c>
      <c r="AT390">
        <f>HYPERLINK("http://www.worldcat.org/oclc/53170166","WorldCat Record")</f>
        <v/>
      </c>
      <c r="AU390" t="inlineStr">
        <is>
          <t>840509738:eng</t>
        </is>
      </c>
      <c r="AV390" t="inlineStr">
        <is>
          <t>53170166</t>
        </is>
      </c>
      <c r="AW390" t="inlineStr">
        <is>
          <t>991004495529702656</t>
        </is>
      </c>
      <c r="AX390" t="inlineStr">
        <is>
          <t>991004495529702656</t>
        </is>
      </c>
      <c r="AY390" t="inlineStr">
        <is>
          <t>2255382610002656</t>
        </is>
      </c>
      <c r="AZ390" t="inlineStr">
        <is>
          <t>BOOK</t>
        </is>
      </c>
      <c r="BB390" t="inlineStr">
        <is>
          <t>9781852335687</t>
        </is>
      </c>
      <c r="BC390" t="inlineStr">
        <is>
          <t>32285005048631</t>
        </is>
      </c>
      <c r="BD390" t="inlineStr">
        <is>
          <t>893500645</t>
        </is>
      </c>
    </row>
    <row r="391">
      <c r="A391" t="inlineStr">
        <is>
          <t>No</t>
        </is>
      </c>
      <c r="B391" t="inlineStr">
        <is>
          <t>QB641 .R34 1998</t>
        </is>
      </c>
      <c r="C391" t="inlineStr">
        <is>
          <t>0                      QB 0641000R  34          1998</t>
        </is>
      </c>
      <c r="D391" t="inlineStr">
        <is>
          <t>Mars : uncovering the secrets of the red planet / Paul Raeburn ; foreword and commentary by Matt Golombek.</t>
        </is>
      </c>
      <c r="F391" t="inlineStr">
        <is>
          <t>No</t>
        </is>
      </c>
      <c r="G391" t="inlineStr">
        <is>
          <t>1</t>
        </is>
      </c>
      <c r="H391" t="inlineStr">
        <is>
          <t>No</t>
        </is>
      </c>
      <c r="I391" t="inlineStr">
        <is>
          <t>No</t>
        </is>
      </c>
      <c r="J391" t="inlineStr">
        <is>
          <t>0</t>
        </is>
      </c>
      <c r="K391" t="inlineStr">
        <is>
          <t>Raeburn, Paul.</t>
        </is>
      </c>
      <c r="L391" t="inlineStr">
        <is>
          <t>Washington, D.C. : National Georgaphic Society, c1998.</t>
        </is>
      </c>
      <c r="M391" t="inlineStr">
        <is>
          <t>1998</t>
        </is>
      </c>
      <c r="O391" t="inlineStr">
        <is>
          <t>eng</t>
        </is>
      </c>
      <c r="P391" t="inlineStr">
        <is>
          <t>dcu</t>
        </is>
      </c>
      <c r="R391" t="inlineStr">
        <is>
          <t xml:space="preserve">QB </t>
        </is>
      </c>
      <c r="S391" t="n">
        <v>1</v>
      </c>
      <c r="T391" t="n">
        <v>1</v>
      </c>
      <c r="U391" t="inlineStr">
        <is>
          <t>2000-12-12</t>
        </is>
      </c>
      <c r="V391" t="inlineStr">
        <is>
          <t>2000-12-12</t>
        </is>
      </c>
      <c r="W391" t="inlineStr">
        <is>
          <t>2000-12-12</t>
        </is>
      </c>
      <c r="X391" t="inlineStr">
        <is>
          <t>2000-12-12</t>
        </is>
      </c>
      <c r="Y391" t="n">
        <v>1237</v>
      </c>
      <c r="Z391" t="n">
        <v>1136</v>
      </c>
      <c r="AA391" t="n">
        <v>1163</v>
      </c>
      <c r="AB391" t="n">
        <v>10</v>
      </c>
      <c r="AC391" t="n">
        <v>10</v>
      </c>
      <c r="AD391" t="n">
        <v>18</v>
      </c>
      <c r="AE391" t="n">
        <v>18</v>
      </c>
      <c r="AF391" t="n">
        <v>5</v>
      </c>
      <c r="AG391" t="n">
        <v>5</v>
      </c>
      <c r="AH391" t="n">
        <v>3</v>
      </c>
      <c r="AI391" t="n">
        <v>3</v>
      </c>
      <c r="AJ391" t="n">
        <v>6</v>
      </c>
      <c r="AK391" t="n">
        <v>6</v>
      </c>
      <c r="AL391" t="n">
        <v>6</v>
      </c>
      <c r="AM391" t="n">
        <v>6</v>
      </c>
      <c r="AN391" t="n">
        <v>0</v>
      </c>
      <c r="AO391" t="n">
        <v>0</v>
      </c>
      <c r="AP391" t="inlineStr">
        <is>
          <t>No</t>
        </is>
      </c>
      <c r="AQ391" t="inlineStr">
        <is>
          <t>Yes</t>
        </is>
      </c>
      <c r="AR391">
        <f>HYPERLINK("http://catalog.hathitrust.org/Record/003984565","HathiTrust Record")</f>
        <v/>
      </c>
      <c r="AS391">
        <f>HYPERLINK("https://creighton-primo.hosted.exlibrisgroup.com/primo-explore/search?tab=default_tab&amp;search_scope=EVERYTHING&amp;vid=01CRU&amp;lang=en_US&amp;offset=0&amp;query=any,contains,991003316009702656","Catalog Record")</f>
        <v/>
      </c>
      <c r="AT391">
        <f>HYPERLINK("http://www.worldcat.org/oclc/38580175","WorldCat Record")</f>
        <v/>
      </c>
      <c r="AU391" t="inlineStr">
        <is>
          <t>366319105:eng</t>
        </is>
      </c>
      <c r="AV391" t="inlineStr">
        <is>
          <t>38580175</t>
        </is>
      </c>
      <c r="AW391" t="inlineStr">
        <is>
          <t>991003316009702656</t>
        </is>
      </c>
      <c r="AX391" t="inlineStr">
        <is>
          <t>991003316009702656</t>
        </is>
      </c>
      <c r="AY391" t="inlineStr">
        <is>
          <t>2256551730002656</t>
        </is>
      </c>
      <c r="AZ391" t="inlineStr">
        <is>
          <t>BOOK</t>
        </is>
      </c>
      <c r="BB391" t="inlineStr">
        <is>
          <t>9780792270317</t>
        </is>
      </c>
      <c r="BC391" t="inlineStr">
        <is>
          <t>32285004276233</t>
        </is>
      </c>
      <c r="BD391" t="inlineStr">
        <is>
          <t>893352778</t>
        </is>
      </c>
    </row>
    <row r="392">
      <c r="A392" t="inlineStr">
        <is>
          <t>No</t>
        </is>
      </c>
      <c r="B392" t="inlineStr">
        <is>
          <t>QB641 .R355 2004</t>
        </is>
      </c>
      <c r="C392" t="inlineStr">
        <is>
          <t>0                      QB 0641000R  355         2004</t>
        </is>
      </c>
      <c r="D392" t="inlineStr">
        <is>
          <t>The Martian climate revisited : atmosphere and environment of a desert planet / Peter L. Read and Stephen R. Lewis.</t>
        </is>
      </c>
      <c r="F392" t="inlineStr">
        <is>
          <t>No</t>
        </is>
      </c>
      <c r="G392" t="inlineStr">
        <is>
          <t>1</t>
        </is>
      </c>
      <c r="H392" t="inlineStr">
        <is>
          <t>No</t>
        </is>
      </c>
      <c r="I392" t="inlineStr">
        <is>
          <t>No</t>
        </is>
      </c>
      <c r="J392" t="inlineStr">
        <is>
          <t>0</t>
        </is>
      </c>
      <c r="K392" t="inlineStr">
        <is>
          <t>Read, Peter L., 1953-</t>
        </is>
      </c>
      <c r="L392" t="inlineStr">
        <is>
          <t>Berlin ; New York : Springer ; Chichester, UK : Praxis Pub., c2004.</t>
        </is>
      </c>
      <c r="M392" t="inlineStr">
        <is>
          <t>2004</t>
        </is>
      </c>
      <c r="O392" t="inlineStr">
        <is>
          <t>eng</t>
        </is>
      </c>
      <c r="P392" t="inlineStr">
        <is>
          <t xml:space="preserve">gw </t>
        </is>
      </c>
      <c r="Q392" t="inlineStr">
        <is>
          <t>Springer-Praxis books in geophysical sciences</t>
        </is>
      </c>
      <c r="R392" t="inlineStr">
        <is>
          <t xml:space="preserve">QB </t>
        </is>
      </c>
      <c r="S392" t="n">
        <v>2</v>
      </c>
      <c r="T392" t="n">
        <v>2</v>
      </c>
      <c r="U392" t="inlineStr">
        <is>
          <t>2005-11-20</t>
        </is>
      </c>
      <c r="V392" t="inlineStr">
        <is>
          <t>2005-11-20</t>
        </is>
      </c>
      <c r="W392" t="inlineStr">
        <is>
          <t>2005-05-19</t>
        </is>
      </c>
      <c r="X392" t="inlineStr">
        <is>
          <t>2005-05-19</t>
        </is>
      </c>
      <c r="Y392" t="n">
        <v>322</v>
      </c>
      <c r="Z392" t="n">
        <v>272</v>
      </c>
      <c r="AA392" t="n">
        <v>273</v>
      </c>
      <c r="AB392" t="n">
        <v>2</v>
      </c>
      <c r="AC392" t="n">
        <v>2</v>
      </c>
      <c r="AD392" t="n">
        <v>10</v>
      </c>
      <c r="AE392" t="n">
        <v>10</v>
      </c>
      <c r="AF392" t="n">
        <v>5</v>
      </c>
      <c r="AG392" t="n">
        <v>5</v>
      </c>
      <c r="AH392" t="n">
        <v>2</v>
      </c>
      <c r="AI392" t="n">
        <v>2</v>
      </c>
      <c r="AJ392" t="n">
        <v>6</v>
      </c>
      <c r="AK392" t="n">
        <v>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HYPERLINK("https://creighton-primo.hosted.exlibrisgroup.com/primo-explore/search?tab=default_tab&amp;search_scope=EVERYTHING&amp;vid=01CRU&amp;lang=en_US&amp;offset=0&amp;query=any,contains,991004540449702656","Catalog Record")</f>
        <v/>
      </c>
      <c r="AT392">
        <f>HYPERLINK("http://www.worldcat.org/oclc/52853981","WorldCat Record")</f>
        <v/>
      </c>
      <c r="AU392" t="inlineStr">
        <is>
          <t>899099610:eng</t>
        </is>
      </c>
      <c r="AV392" t="inlineStr">
        <is>
          <t>52853981</t>
        </is>
      </c>
      <c r="AW392" t="inlineStr">
        <is>
          <t>991004540449702656</t>
        </is>
      </c>
      <c r="AX392" t="inlineStr">
        <is>
          <t>991004540449702656</t>
        </is>
      </c>
      <c r="AY392" t="inlineStr">
        <is>
          <t>2258272910002656</t>
        </is>
      </c>
      <c r="AZ392" t="inlineStr">
        <is>
          <t>BOOK</t>
        </is>
      </c>
      <c r="BB392" t="inlineStr">
        <is>
          <t>9783540407430</t>
        </is>
      </c>
      <c r="BC392" t="inlineStr">
        <is>
          <t>32285005038574</t>
        </is>
      </c>
      <c r="BD392" t="inlineStr">
        <is>
          <t>893229481</t>
        </is>
      </c>
    </row>
    <row r="393">
      <c r="A393" t="inlineStr">
        <is>
          <t>No</t>
        </is>
      </c>
      <c r="B393" t="inlineStr">
        <is>
          <t>QB641 .S416 1977</t>
        </is>
      </c>
      <c r="C393" t="inlineStr">
        <is>
          <t>0                      QB 0641000S  416         1977</t>
        </is>
      </c>
      <c r="D393" t="inlineStr">
        <is>
          <t>Scientific results of the Viking project / [Edward A. Flinn, editor].</t>
        </is>
      </c>
      <c r="F393" t="inlineStr">
        <is>
          <t>No</t>
        </is>
      </c>
      <c r="G393" t="inlineStr">
        <is>
          <t>1</t>
        </is>
      </c>
      <c r="H393" t="inlineStr">
        <is>
          <t>No</t>
        </is>
      </c>
      <c r="I393" t="inlineStr">
        <is>
          <t>No</t>
        </is>
      </c>
      <c r="J393" t="inlineStr">
        <is>
          <t>0</t>
        </is>
      </c>
      <c r="L393" t="inlineStr">
        <is>
          <t>Washington : American Geophysical Union, [1977]</t>
        </is>
      </c>
      <c r="M393" t="inlineStr">
        <is>
          <t>1977</t>
        </is>
      </c>
      <c r="O393" t="inlineStr">
        <is>
          <t>eng</t>
        </is>
      </c>
      <c r="P393" t="inlineStr">
        <is>
          <t>dcu</t>
        </is>
      </c>
      <c r="R393" t="inlineStr">
        <is>
          <t xml:space="preserve">QB </t>
        </is>
      </c>
      <c r="S393" t="n">
        <v>2</v>
      </c>
      <c r="T393" t="n">
        <v>2</v>
      </c>
      <c r="U393" t="inlineStr">
        <is>
          <t>1994-12-06</t>
        </is>
      </c>
      <c r="V393" t="inlineStr">
        <is>
          <t>1994-12-06</t>
        </is>
      </c>
      <c r="W393" t="inlineStr">
        <is>
          <t>1992-11-23</t>
        </is>
      </c>
      <c r="X393" t="inlineStr">
        <is>
          <t>1992-11-23</t>
        </is>
      </c>
      <c r="Y393" t="n">
        <v>983</v>
      </c>
      <c r="Z393" t="n">
        <v>943</v>
      </c>
      <c r="AA393" t="n">
        <v>953</v>
      </c>
      <c r="AB393" t="n">
        <v>11</v>
      </c>
      <c r="AC393" t="n">
        <v>11</v>
      </c>
      <c r="AD393" t="n">
        <v>42</v>
      </c>
      <c r="AE393" t="n">
        <v>43</v>
      </c>
      <c r="AF393" t="n">
        <v>13</v>
      </c>
      <c r="AG393" t="n">
        <v>14</v>
      </c>
      <c r="AH393" t="n">
        <v>7</v>
      </c>
      <c r="AI393" t="n">
        <v>7</v>
      </c>
      <c r="AJ393" t="n">
        <v>20</v>
      </c>
      <c r="AK393" t="n">
        <v>21</v>
      </c>
      <c r="AL393" t="n">
        <v>9</v>
      </c>
      <c r="AM393" t="n">
        <v>9</v>
      </c>
      <c r="AN393" t="n">
        <v>0</v>
      </c>
      <c r="AO393" t="n">
        <v>0</v>
      </c>
      <c r="AP393" t="inlineStr">
        <is>
          <t>No</t>
        </is>
      </c>
      <c r="AQ393" t="inlineStr">
        <is>
          <t>Yes</t>
        </is>
      </c>
      <c r="AR393">
        <f>HYPERLINK("http://catalog.hathitrust.org/Record/000090380","HathiTrust Record")</f>
        <v/>
      </c>
      <c r="AS393">
        <f>HYPERLINK("https://creighton-primo.hosted.exlibrisgroup.com/primo-explore/search?tab=default_tab&amp;search_scope=EVERYTHING&amp;vid=01CRU&amp;lang=en_US&amp;offset=0&amp;query=any,contains,991004465599702656","Catalog Record")</f>
        <v/>
      </c>
      <c r="AT393">
        <f>HYPERLINK("http://www.worldcat.org/oclc/3567860","WorldCat Record")</f>
        <v/>
      </c>
      <c r="AU393" t="inlineStr">
        <is>
          <t>3769570175:eng</t>
        </is>
      </c>
      <c r="AV393" t="inlineStr">
        <is>
          <t>3567860</t>
        </is>
      </c>
      <c r="AW393" t="inlineStr">
        <is>
          <t>991004465599702656</t>
        </is>
      </c>
      <c r="AX393" t="inlineStr">
        <is>
          <t>991004465599702656</t>
        </is>
      </c>
      <c r="AY393" t="inlineStr">
        <is>
          <t>2272225160002656</t>
        </is>
      </c>
      <c r="AZ393" t="inlineStr">
        <is>
          <t>BOOK</t>
        </is>
      </c>
      <c r="BB393" t="inlineStr">
        <is>
          <t>9780875902074</t>
        </is>
      </c>
      <c r="BC393" t="inlineStr">
        <is>
          <t>32285001433761</t>
        </is>
      </c>
      <c r="BD393" t="inlineStr">
        <is>
          <t>893263288</t>
        </is>
      </c>
    </row>
    <row r="394">
      <c r="A394" t="inlineStr">
        <is>
          <t>No</t>
        </is>
      </c>
      <c r="B394" t="inlineStr">
        <is>
          <t>QB641 .V293 1954</t>
        </is>
      </c>
      <c r="C394" t="inlineStr">
        <is>
          <t>0                      QB 0641000V  293         1954</t>
        </is>
      </c>
      <c r="D394" t="inlineStr">
        <is>
          <t>Physics of the planet Mars : an introduction to aerophysics.</t>
        </is>
      </c>
      <c r="F394" t="inlineStr">
        <is>
          <t>No</t>
        </is>
      </c>
      <c r="G394" t="inlineStr">
        <is>
          <t>1</t>
        </is>
      </c>
      <c r="H394" t="inlineStr">
        <is>
          <t>No</t>
        </is>
      </c>
      <c r="I394" t="inlineStr">
        <is>
          <t>No</t>
        </is>
      </c>
      <c r="J394" t="inlineStr">
        <is>
          <t>0</t>
        </is>
      </c>
      <c r="K394" t="inlineStr">
        <is>
          <t>De Vaucouleurs, Gérard, 1918-1995.</t>
        </is>
      </c>
      <c r="L394" t="inlineStr">
        <is>
          <t>London : Faber and Faber, [1954]</t>
        </is>
      </c>
      <c r="M394" t="inlineStr">
        <is>
          <t>1954</t>
        </is>
      </c>
      <c r="O394" t="inlineStr">
        <is>
          <t>eng</t>
        </is>
      </c>
      <c r="P394" t="inlineStr">
        <is>
          <t>enk</t>
        </is>
      </c>
      <c r="R394" t="inlineStr">
        <is>
          <t xml:space="preserve">QB </t>
        </is>
      </c>
      <c r="S394" t="n">
        <v>4</v>
      </c>
      <c r="T394" t="n">
        <v>4</v>
      </c>
      <c r="U394" t="inlineStr">
        <is>
          <t>2005-11-20</t>
        </is>
      </c>
      <c r="V394" t="inlineStr">
        <is>
          <t>2005-11-20</t>
        </is>
      </c>
      <c r="W394" t="inlineStr">
        <is>
          <t>1992-03-16</t>
        </is>
      </c>
      <c r="X394" t="inlineStr">
        <is>
          <t>1992-03-16</t>
        </is>
      </c>
      <c r="Y394" t="n">
        <v>221</v>
      </c>
      <c r="Z394" t="n">
        <v>176</v>
      </c>
      <c r="AA394" t="n">
        <v>217</v>
      </c>
      <c r="AB394" t="n">
        <v>1</v>
      </c>
      <c r="AC394" t="n">
        <v>1</v>
      </c>
      <c r="AD394" t="n">
        <v>3</v>
      </c>
      <c r="AE394" t="n">
        <v>4</v>
      </c>
      <c r="AF394" t="n">
        <v>0</v>
      </c>
      <c r="AG394" t="n">
        <v>1</v>
      </c>
      <c r="AH394" t="n">
        <v>1</v>
      </c>
      <c r="AI394" t="n">
        <v>1</v>
      </c>
      <c r="AJ394" t="n">
        <v>3</v>
      </c>
      <c r="AK394" t="n">
        <v>3</v>
      </c>
      <c r="AL394" t="n">
        <v>0</v>
      </c>
      <c r="AM394" t="n">
        <v>0</v>
      </c>
      <c r="AN394" t="n">
        <v>0</v>
      </c>
      <c r="AO394" t="n">
        <v>0</v>
      </c>
      <c r="AP394" t="inlineStr">
        <is>
          <t>No</t>
        </is>
      </c>
      <c r="AQ394" t="inlineStr">
        <is>
          <t>Yes</t>
        </is>
      </c>
      <c r="AR394">
        <f>HYPERLINK("http://catalog.hathitrust.org/Record/006607847","HathiTrust Record")</f>
        <v/>
      </c>
      <c r="AS394">
        <f>HYPERLINK("https://creighton-primo.hosted.exlibrisgroup.com/primo-explore/search?tab=default_tab&amp;search_scope=EVERYTHING&amp;vid=01CRU&amp;lang=en_US&amp;offset=0&amp;query=any,contains,991003699569702656","Catalog Record")</f>
        <v/>
      </c>
      <c r="AT394">
        <f>HYPERLINK("http://www.worldcat.org/oclc/1334710","WorldCat Record")</f>
        <v/>
      </c>
      <c r="AU394" t="inlineStr">
        <is>
          <t>43903292:eng</t>
        </is>
      </c>
      <c r="AV394" t="inlineStr">
        <is>
          <t>1334710</t>
        </is>
      </c>
      <c r="AW394" t="inlineStr">
        <is>
          <t>991003699569702656</t>
        </is>
      </c>
      <c r="AX394" t="inlineStr">
        <is>
          <t>991003699569702656</t>
        </is>
      </c>
      <c r="AY394" t="inlineStr">
        <is>
          <t>2258720040002656</t>
        </is>
      </c>
      <c r="AZ394" t="inlineStr">
        <is>
          <t>BOOK</t>
        </is>
      </c>
      <c r="BC394" t="inlineStr">
        <is>
          <t>32285001021798</t>
        </is>
      </c>
      <c r="BD394" t="inlineStr">
        <is>
          <t>893810121</t>
        </is>
      </c>
    </row>
    <row r="395">
      <c r="A395" t="inlineStr">
        <is>
          <t>No</t>
        </is>
      </c>
      <c r="B395" t="inlineStr">
        <is>
          <t>QB641 .V545 1978</t>
        </is>
      </c>
      <c r="C395" t="inlineStr">
        <is>
          <t>0                      QB 0641000V  545         1978</t>
        </is>
      </c>
      <c r="D395" t="inlineStr">
        <is>
          <t>Viking Mars expedition, 1976.</t>
        </is>
      </c>
      <c r="F395" t="inlineStr">
        <is>
          <t>No</t>
        </is>
      </c>
      <c r="G395" t="inlineStr">
        <is>
          <t>1</t>
        </is>
      </c>
      <c r="H395" t="inlineStr">
        <is>
          <t>No</t>
        </is>
      </c>
      <c r="I395" t="inlineStr">
        <is>
          <t>No</t>
        </is>
      </c>
      <c r="J395" t="inlineStr">
        <is>
          <t>0</t>
        </is>
      </c>
      <c r="L395" t="inlineStr">
        <is>
          <t>Denver, Colo. : Martin Marietta Corporation, c1978.</t>
        </is>
      </c>
      <c r="M395" t="inlineStr">
        <is>
          <t>1978</t>
        </is>
      </c>
      <c r="O395" t="inlineStr">
        <is>
          <t>eng</t>
        </is>
      </c>
      <c r="P395" t="inlineStr">
        <is>
          <t>cou</t>
        </is>
      </c>
      <c r="R395" t="inlineStr">
        <is>
          <t xml:space="preserve">QB </t>
        </is>
      </c>
      <c r="S395" t="n">
        <v>1</v>
      </c>
      <c r="T395" t="n">
        <v>1</v>
      </c>
      <c r="U395" t="inlineStr">
        <is>
          <t>1998-11-05</t>
        </is>
      </c>
      <c r="V395" t="inlineStr">
        <is>
          <t>1998-11-05</t>
        </is>
      </c>
      <c r="W395" t="inlineStr">
        <is>
          <t>1998-11-04</t>
        </is>
      </c>
      <c r="X395" t="inlineStr">
        <is>
          <t>1998-11-04</t>
        </is>
      </c>
      <c r="Y395" t="n">
        <v>207</v>
      </c>
      <c r="Z395" t="n">
        <v>206</v>
      </c>
      <c r="AA395" t="n">
        <v>213</v>
      </c>
      <c r="AB395" t="n">
        <v>3</v>
      </c>
      <c r="AC395" t="n">
        <v>3</v>
      </c>
      <c r="AD395" t="n">
        <v>11</v>
      </c>
      <c r="AE395" t="n">
        <v>11</v>
      </c>
      <c r="AF395" t="n">
        <v>2</v>
      </c>
      <c r="AG395" t="n">
        <v>2</v>
      </c>
      <c r="AH395" t="n">
        <v>1</v>
      </c>
      <c r="AI395" t="n">
        <v>1</v>
      </c>
      <c r="AJ395" t="n">
        <v>6</v>
      </c>
      <c r="AK395" t="n">
        <v>6</v>
      </c>
      <c r="AL395" t="n">
        <v>2</v>
      </c>
      <c r="AM395" t="n">
        <v>2</v>
      </c>
      <c r="AN395" t="n">
        <v>0</v>
      </c>
      <c r="AO395" t="n">
        <v>0</v>
      </c>
      <c r="AP395" t="inlineStr">
        <is>
          <t>No</t>
        </is>
      </c>
      <c r="AQ395" t="inlineStr">
        <is>
          <t>Yes</t>
        </is>
      </c>
      <c r="AR395">
        <f>HYPERLINK("http://catalog.hathitrust.org/Record/000179110","HathiTrust Record")</f>
        <v/>
      </c>
      <c r="AS395">
        <f>HYPERLINK("https://creighton-primo.hosted.exlibrisgroup.com/primo-explore/search?tab=default_tab&amp;search_scope=EVERYTHING&amp;vid=01CRU&amp;lang=en_US&amp;offset=0&amp;query=any,contains,991000495569702656","Catalog Record")</f>
        <v/>
      </c>
      <c r="AT395">
        <f>HYPERLINK("http://www.worldcat.org/oclc/11134108","WorldCat Record")</f>
        <v/>
      </c>
      <c r="AU395" t="inlineStr">
        <is>
          <t>4071722:eng</t>
        </is>
      </c>
      <c r="AV395" t="inlineStr">
        <is>
          <t>11134108</t>
        </is>
      </c>
      <c r="AW395" t="inlineStr">
        <is>
          <t>991000495569702656</t>
        </is>
      </c>
      <c r="AX395" t="inlineStr">
        <is>
          <t>991000495569702656</t>
        </is>
      </c>
      <c r="AY395" t="inlineStr">
        <is>
          <t>2254835320002656</t>
        </is>
      </c>
      <c r="AZ395" t="inlineStr">
        <is>
          <t>BOOK</t>
        </is>
      </c>
      <c r="BC395" t="inlineStr">
        <is>
          <t>32285003485108</t>
        </is>
      </c>
      <c r="BD395" t="inlineStr">
        <is>
          <t>893321089</t>
        </is>
      </c>
    </row>
    <row r="396">
      <c r="A396" t="inlineStr">
        <is>
          <t>No</t>
        </is>
      </c>
      <c r="B396" t="inlineStr">
        <is>
          <t>QB641 .W55 1990</t>
        </is>
      </c>
      <c r="C396" t="inlineStr">
        <is>
          <t>0                      QB 0641000W  55          1990</t>
        </is>
      </c>
      <c r="D396" t="inlineStr">
        <is>
          <t>Mars beckons : the mysteries, the challenges, the expectations of our next great adventure in space / by John Noble Wilford.</t>
        </is>
      </c>
      <c r="F396" t="inlineStr">
        <is>
          <t>No</t>
        </is>
      </c>
      <c r="G396" t="inlineStr">
        <is>
          <t>1</t>
        </is>
      </c>
      <c r="H396" t="inlineStr">
        <is>
          <t>No</t>
        </is>
      </c>
      <c r="I396" t="inlineStr">
        <is>
          <t>No</t>
        </is>
      </c>
      <c r="J396" t="inlineStr">
        <is>
          <t>0</t>
        </is>
      </c>
      <c r="K396" t="inlineStr">
        <is>
          <t>Wilford, John Noble.</t>
        </is>
      </c>
      <c r="L396" t="inlineStr">
        <is>
          <t>New York : Knopf, 1990.</t>
        </is>
      </c>
      <c r="M396" t="inlineStr">
        <is>
          <t>1990</t>
        </is>
      </c>
      <c r="N396" t="inlineStr">
        <is>
          <t>1st ed.</t>
        </is>
      </c>
      <c r="O396" t="inlineStr">
        <is>
          <t>eng</t>
        </is>
      </c>
      <c r="P396" t="inlineStr">
        <is>
          <t>nyu</t>
        </is>
      </c>
      <c r="R396" t="inlineStr">
        <is>
          <t xml:space="preserve">QB </t>
        </is>
      </c>
      <c r="S396" t="n">
        <v>7</v>
      </c>
      <c r="T396" t="n">
        <v>7</v>
      </c>
      <c r="U396" t="inlineStr">
        <is>
          <t>1998-02-23</t>
        </is>
      </c>
      <c r="V396" t="inlineStr">
        <is>
          <t>1998-02-23</t>
        </is>
      </c>
      <c r="W396" t="inlineStr">
        <is>
          <t>1990-09-04</t>
        </is>
      </c>
      <c r="X396" t="inlineStr">
        <is>
          <t>1990-09-04</t>
        </is>
      </c>
      <c r="Y396" t="n">
        <v>1054</v>
      </c>
      <c r="Z396" t="n">
        <v>1005</v>
      </c>
      <c r="AA396" t="n">
        <v>1052</v>
      </c>
      <c r="AB396" t="n">
        <v>6</v>
      </c>
      <c r="AC396" t="n">
        <v>6</v>
      </c>
      <c r="AD396" t="n">
        <v>19</v>
      </c>
      <c r="AE396" t="n">
        <v>21</v>
      </c>
      <c r="AF396" t="n">
        <v>4</v>
      </c>
      <c r="AG396" t="n">
        <v>5</v>
      </c>
      <c r="AH396" t="n">
        <v>7</v>
      </c>
      <c r="AI396" t="n">
        <v>7</v>
      </c>
      <c r="AJ396" t="n">
        <v>8</v>
      </c>
      <c r="AK396" t="n">
        <v>9</v>
      </c>
      <c r="AL396" t="n">
        <v>4</v>
      </c>
      <c r="AM396" t="n">
        <v>4</v>
      </c>
      <c r="AN396" t="n">
        <v>0</v>
      </c>
      <c r="AO396" t="n">
        <v>0</v>
      </c>
      <c r="AP396" t="inlineStr">
        <is>
          <t>No</t>
        </is>
      </c>
      <c r="AQ396" t="inlineStr">
        <is>
          <t>Yes</t>
        </is>
      </c>
      <c r="AR396">
        <f>HYPERLINK("http://catalog.hathitrust.org/Record/002205125","HathiTrust Record")</f>
        <v/>
      </c>
      <c r="AS396">
        <f>HYPERLINK("https://creighton-primo.hosted.exlibrisgroup.com/primo-explore/search?tab=default_tab&amp;search_scope=EVERYTHING&amp;vid=01CRU&amp;lang=en_US&amp;offset=0&amp;query=any,contains,991001608269702656","Catalog Record")</f>
        <v/>
      </c>
      <c r="AT396">
        <f>HYPERLINK("http://www.worldcat.org/oclc/20722213","WorldCat Record")</f>
        <v/>
      </c>
      <c r="AU396" t="inlineStr">
        <is>
          <t>22348614:eng</t>
        </is>
      </c>
      <c r="AV396" t="inlineStr">
        <is>
          <t>20722213</t>
        </is>
      </c>
      <c r="AW396" t="inlineStr">
        <is>
          <t>991001608269702656</t>
        </is>
      </c>
      <c r="AX396" t="inlineStr">
        <is>
          <t>991001608269702656</t>
        </is>
      </c>
      <c r="AY396" t="inlineStr">
        <is>
          <t>2272264180002656</t>
        </is>
      </c>
      <c r="AZ396" t="inlineStr">
        <is>
          <t>BOOK</t>
        </is>
      </c>
      <c r="BB396" t="inlineStr">
        <is>
          <t>9780394583594</t>
        </is>
      </c>
      <c r="BC396" t="inlineStr">
        <is>
          <t>32285000275965</t>
        </is>
      </c>
      <c r="BD396" t="inlineStr">
        <is>
          <t>893408231</t>
        </is>
      </c>
    </row>
    <row r="397">
      <c r="A397" t="inlineStr">
        <is>
          <t>No</t>
        </is>
      </c>
      <c r="B397" t="inlineStr">
        <is>
          <t>QB641 .Z83 1996</t>
        </is>
      </c>
      <c r="C397" t="inlineStr">
        <is>
          <t>0                      QB 0641000Z  83          1996</t>
        </is>
      </c>
      <c r="D397" t="inlineStr">
        <is>
          <t>The case for Mars : the plan to settle the red planet and why we must / Robert M. Zubrin with Richard Wagner.</t>
        </is>
      </c>
      <c r="F397" t="inlineStr">
        <is>
          <t>No</t>
        </is>
      </c>
      <c r="G397" t="inlineStr">
        <is>
          <t>1</t>
        </is>
      </c>
      <c r="H397" t="inlineStr">
        <is>
          <t>No</t>
        </is>
      </c>
      <c r="I397" t="inlineStr">
        <is>
          <t>No</t>
        </is>
      </c>
      <c r="J397" t="inlineStr">
        <is>
          <t>0</t>
        </is>
      </c>
      <c r="K397" t="inlineStr">
        <is>
          <t>Zubrin, Robert.</t>
        </is>
      </c>
      <c r="L397" t="inlineStr">
        <is>
          <t>New York : The Free Press, 1996.</t>
        </is>
      </c>
      <c r="M397" t="inlineStr">
        <is>
          <t>1996</t>
        </is>
      </c>
      <c r="O397" t="inlineStr">
        <is>
          <t>eng</t>
        </is>
      </c>
      <c r="P397" t="inlineStr">
        <is>
          <t>nyu</t>
        </is>
      </c>
      <c r="R397" t="inlineStr">
        <is>
          <t xml:space="preserve">QB </t>
        </is>
      </c>
      <c r="S397" t="n">
        <v>6</v>
      </c>
      <c r="T397" t="n">
        <v>6</v>
      </c>
      <c r="U397" t="inlineStr">
        <is>
          <t>1999-04-20</t>
        </is>
      </c>
      <c r="V397" t="inlineStr">
        <is>
          <t>1999-04-20</t>
        </is>
      </c>
      <c r="W397" t="inlineStr">
        <is>
          <t>1996-11-08</t>
        </is>
      </c>
      <c r="X397" t="inlineStr">
        <is>
          <t>1996-11-08</t>
        </is>
      </c>
      <c r="Y397" t="n">
        <v>1083</v>
      </c>
      <c r="Z397" t="n">
        <v>995</v>
      </c>
      <c r="AA397" t="n">
        <v>1228</v>
      </c>
      <c r="AB397" t="n">
        <v>7</v>
      </c>
      <c r="AC397" t="n">
        <v>9</v>
      </c>
      <c r="AD397" t="n">
        <v>26</v>
      </c>
      <c r="AE397" t="n">
        <v>29</v>
      </c>
      <c r="AF397" t="n">
        <v>8</v>
      </c>
      <c r="AG397" t="n">
        <v>9</v>
      </c>
      <c r="AH397" t="n">
        <v>4</v>
      </c>
      <c r="AI397" t="n">
        <v>4</v>
      </c>
      <c r="AJ397" t="n">
        <v>11</v>
      </c>
      <c r="AK397" t="n">
        <v>12</v>
      </c>
      <c r="AL397" t="n">
        <v>5</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HYPERLINK("https://creighton-primo.hosted.exlibrisgroup.com/primo-explore/search?tab=default_tab&amp;search_scope=EVERYTHING&amp;vid=01CRU&amp;lang=en_US&amp;offset=0&amp;query=any,contains,991002668559702656","Catalog Record")</f>
        <v/>
      </c>
      <c r="AT397">
        <f>HYPERLINK("http://www.worldcat.org/oclc/34906203","WorldCat Record")</f>
        <v/>
      </c>
      <c r="AU397" t="inlineStr">
        <is>
          <t>813454081:eng</t>
        </is>
      </c>
      <c r="AV397" t="inlineStr">
        <is>
          <t>34906203</t>
        </is>
      </c>
      <c r="AW397" t="inlineStr">
        <is>
          <t>991002668559702656</t>
        </is>
      </c>
      <c r="AX397" t="inlineStr">
        <is>
          <t>991002668559702656</t>
        </is>
      </c>
      <c r="AY397" t="inlineStr">
        <is>
          <t>2262088700002656</t>
        </is>
      </c>
      <c r="AZ397" t="inlineStr">
        <is>
          <t>BOOK</t>
        </is>
      </c>
      <c r="BB397" t="inlineStr">
        <is>
          <t>9780684827575</t>
        </is>
      </c>
      <c r="BC397" t="inlineStr">
        <is>
          <t>32285001419513</t>
        </is>
      </c>
      <c r="BD397" t="inlineStr">
        <is>
          <t>893899048</t>
        </is>
      </c>
    </row>
    <row r="398">
      <c r="A398" t="inlineStr">
        <is>
          <t>No</t>
        </is>
      </c>
      <c r="B398" t="inlineStr">
        <is>
          <t>QB65 .C313 1959</t>
        </is>
      </c>
      <c r="C398" t="inlineStr">
        <is>
          <t>0                      QB 0065000C  313         1959</t>
        </is>
      </c>
      <c r="D398" t="inlineStr">
        <is>
          <t>Atlas of the sky. Translated and with a pref. by Harold Spencer Jones.</t>
        </is>
      </c>
      <c r="F398" t="inlineStr">
        <is>
          <t>No</t>
        </is>
      </c>
      <c r="G398" t="inlineStr">
        <is>
          <t>1</t>
        </is>
      </c>
      <c r="H398" t="inlineStr">
        <is>
          <t>No</t>
        </is>
      </c>
      <c r="I398" t="inlineStr">
        <is>
          <t>No</t>
        </is>
      </c>
      <c r="J398" t="inlineStr">
        <is>
          <t>0</t>
        </is>
      </c>
      <c r="K398" t="inlineStr">
        <is>
          <t>Callataÿ, Vincent de.</t>
        </is>
      </c>
      <c r="L398" t="inlineStr">
        <is>
          <t>London, Macmillan; New York, St Martin's Press, 1959 [c1958]</t>
        </is>
      </c>
      <c r="M398" t="inlineStr">
        <is>
          <t>1959</t>
        </is>
      </c>
      <c r="N398" t="inlineStr">
        <is>
          <t>[1st ed.].</t>
        </is>
      </c>
      <c r="O398" t="inlineStr">
        <is>
          <t>eng</t>
        </is>
      </c>
      <c r="P398" t="inlineStr">
        <is>
          <t>enk</t>
        </is>
      </c>
      <c r="R398" t="inlineStr">
        <is>
          <t xml:space="preserve">QB </t>
        </is>
      </c>
      <c r="S398" t="n">
        <v>3</v>
      </c>
      <c r="T398" t="n">
        <v>3</v>
      </c>
      <c r="U398" t="inlineStr">
        <is>
          <t>1998-10-14</t>
        </is>
      </c>
      <c r="V398" t="inlineStr">
        <is>
          <t>1998-10-14</t>
        </is>
      </c>
      <c r="W398" t="inlineStr">
        <is>
          <t>1997-04-29</t>
        </is>
      </c>
      <c r="X398" t="inlineStr">
        <is>
          <t>1997-04-29</t>
        </is>
      </c>
      <c r="Y398" t="n">
        <v>135</v>
      </c>
      <c r="Z398" t="n">
        <v>104</v>
      </c>
      <c r="AA398" t="n">
        <v>396</v>
      </c>
      <c r="AB398" t="n">
        <v>2</v>
      </c>
      <c r="AC398" t="n">
        <v>2</v>
      </c>
      <c r="AD398" t="n">
        <v>3</v>
      </c>
      <c r="AE398" t="n">
        <v>9</v>
      </c>
      <c r="AF398" t="n">
        <v>0</v>
      </c>
      <c r="AG398" t="n">
        <v>6</v>
      </c>
      <c r="AH398" t="n">
        <v>0</v>
      </c>
      <c r="AI398" t="n">
        <v>0</v>
      </c>
      <c r="AJ398" t="n">
        <v>2</v>
      </c>
      <c r="AK398" t="n">
        <v>4</v>
      </c>
      <c r="AL398" t="n">
        <v>1</v>
      </c>
      <c r="AM398" t="n">
        <v>1</v>
      </c>
      <c r="AN398" t="n">
        <v>0</v>
      </c>
      <c r="AO398" t="n">
        <v>0</v>
      </c>
      <c r="AP398" t="inlineStr">
        <is>
          <t>No</t>
        </is>
      </c>
      <c r="AQ398" t="inlineStr">
        <is>
          <t>Yes</t>
        </is>
      </c>
      <c r="AR398">
        <f>HYPERLINK("http://catalog.hathitrust.org/Record/009094886","HathiTrust Record")</f>
        <v/>
      </c>
      <c r="AS398">
        <f>HYPERLINK("https://creighton-primo.hosted.exlibrisgroup.com/primo-explore/search?tab=default_tab&amp;search_scope=EVERYTHING&amp;vid=01CRU&amp;lang=en_US&amp;offset=0&amp;query=any,contains,991003995729702656","Catalog Record")</f>
        <v/>
      </c>
      <c r="AT398">
        <f>HYPERLINK("http://www.worldcat.org/oclc/2060197","WorldCat Record")</f>
        <v/>
      </c>
      <c r="AU398" t="inlineStr">
        <is>
          <t>347112400:eng</t>
        </is>
      </c>
      <c r="AV398" t="inlineStr">
        <is>
          <t>2060197</t>
        </is>
      </c>
      <c r="AW398" t="inlineStr">
        <is>
          <t>991003995729702656</t>
        </is>
      </c>
      <c r="AX398" t="inlineStr">
        <is>
          <t>991003995729702656</t>
        </is>
      </c>
      <c r="AY398" t="inlineStr">
        <is>
          <t>2258352730002656</t>
        </is>
      </c>
      <c r="AZ398" t="inlineStr">
        <is>
          <t>BOOK</t>
        </is>
      </c>
      <c r="BC398" t="inlineStr">
        <is>
          <t>32285002584851</t>
        </is>
      </c>
      <c r="BD398" t="inlineStr">
        <is>
          <t>893712032</t>
        </is>
      </c>
    </row>
    <row r="399">
      <c r="A399" t="inlineStr">
        <is>
          <t>No</t>
        </is>
      </c>
      <c r="B399" t="inlineStr">
        <is>
          <t>QB65 .G37 1994</t>
        </is>
      </c>
      <c r="C399" t="inlineStr">
        <is>
          <t>0                      QB 0065000G  37          1994</t>
        </is>
      </c>
      <c r="D399" t="inlineStr">
        <is>
          <t>Star-hopping : your visa to viewing the universe / Robert A. Garfinkle ; foreword by Richard Berry.</t>
        </is>
      </c>
      <c r="F399" t="inlineStr">
        <is>
          <t>No</t>
        </is>
      </c>
      <c r="G399" t="inlineStr">
        <is>
          <t>1</t>
        </is>
      </c>
      <c r="H399" t="inlineStr">
        <is>
          <t>No</t>
        </is>
      </c>
      <c r="I399" t="inlineStr">
        <is>
          <t>No</t>
        </is>
      </c>
      <c r="J399" t="inlineStr">
        <is>
          <t>0</t>
        </is>
      </c>
      <c r="K399" t="inlineStr">
        <is>
          <t>Garfinkle, Robert A. (Robert Allen), 1947-</t>
        </is>
      </c>
      <c r="L399" t="inlineStr">
        <is>
          <t>Cambridge [England] ; New York, NY, USA : Cambridge University Press, 1994.</t>
        </is>
      </c>
      <c r="M399" t="inlineStr">
        <is>
          <t>1994</t>
        </is>
      </c>
      <c r="O399" t="inlineStr">
        <is>
          <t>eng</t>
        </is>
      </c>
      <c r="P399" t="inlineStr">
        <is>
          <t>enk</t>
        </is>
      </c>
      <c r="R399" t="inlineStr">
        <is>
          <t xml:space="preserve">QB </t>
        </is>
      </c>
      <c r="S399" t="n">
        <v>4</v>
      </c>
      <c r="T399" t="n">
        <v>4</v>
      </c>
      <c r="U399" t="inlineStr">
        <is>
          <t>2008-04-28</t>
        </is>
      </c>
      <c r="V399" t="inlineStr">
        <is>
          <t>2008-04-28</t>
        </is>
      </c>
      <c r="W399" t="inlineStr">
        <is>
          <t>1995-03-21</t>
        </is>
      </c>
      <c r="X399" t="inlineStr">
        <is>
          <t>1995-03-21</t>
        </is>
      </c>
      <c r="Y399" t="n">
        <v>557</v>
      </c>
      <c r="Z399" t="n">
        <v>498</v>
      </c>
      <c r="AA399" t="n">
        <v>528</v>
      </c>
      <c r="AB399" t="n">
        <v>4</v>
      </c>
      <c r="AC399" t="n">
        <v>4</v>
      </c>
      <c r="AD399" t="n">
        <v>20</v>
      </c>
      <c r="AE399" t="n">
        <v>20</v>
      </c>
      <c r="AF399" t="n">
        <v>9</v>
      </c>
      <c r="AG399" t="n">
        <v>9</v>
      </c>
      <c r="AH399" t="n">
        <v>2</v>
      </c>
      <c r="AI399" t="n">
        <v>2</v>
      </c>
      <c r="AJ399" t="n">
        <v>7</v>
      </c>
      <c r="AK399" t="n">
        <v>7</v>
      </c>
      <c r="AL399" t="n">
        <v>3</v>
      </c>
      <c r="AM399" t="n">
        <v>3</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HYPERLINK("https://creighton-primo.hosted.exlibrisgroup.com/primo-explore/search?tab=default_tab&amp;search_scope=EVERYTHING&amp;vid=01CRU&amp;lang=en_US&amp;offset=0&amp;query=any,contains,991002183369702656","Catalog Record")</f>
        <v/>
      </c>
      <c r="AT399">
        <f>HYPERLINK("http://www.worldcat.org/oclc/28113249","WorldCat Record")</f>
        <v/>
      </c>
      <c r="AU399" t="inlineStr">
        <is>
          <t>30271366:eng</t>
        </is>
      </c>
      <c r="AV399" t="inlineStr">
        <is>
          <t>28113249</t>
        </is>
      </c>
      <c r="AW399" t="inlineStr">
        <is>
          <t>991002183369702656</t>
        </is>
      </c>
      <c r="AX399" t="inlineStr">
        <is>
          <t>991002183369702656</t>
        </is>
      </c>
      <c r="AY399" t="inlineStr">
        <is>
          <t>2256409220002656</t>
        </is>
      </c>
      <c r="AZ399" t="inlineStr">
        <is>
          <t>BOOK</t>
        </is>
      </c>
      <c r="BB399" t="inlineStr">
        <is>
          <t>9780521415903</t>
        </is>
      </c>
      <c r="BC399" t="inlineStr">
        <is>
          <t>32285002003407</t>
        </is>
      </c>
      <c r="BD399" t="inlineStr">
        <is>
          <t>893792128</t>
        </is>
      </c>
    </row>
    <row r="400">
      <c r="A400" t="inlineStr">
        <is>
          <t>No</t>
        </is>
      </c>
      <c r="B400" t="inlineStr">
        <is>
          <t>QB65 .O44 1998</t>
        </is>
      </c>
      <c r="C400" t="inlineStr">
        <is>
          <t>0                      QB 0065000O  44          1998</t>
        </is>
      </c>
      <c r="D400" t="inlineStr">
        <is>
          <t>The Messier objects / Stephen James O'Meara ; foreword by David H. Levy.</t>
        </is>
      </c>
      <c r="F400" t="inlineStr">
        <is>
          <t>No</t>
        </is>
      </c>
      <c r="G400" t="inlineStr">
        <is>
          <t>1</t>
        </is>
      </c>
      <c r="H400" t="inlineStr">
        <is>
          <t>No</t>
        </is>
      </c>
      <c r="I400" t="inlineStr">
        <is>
          <t>No</t>
        </is>
      </c>
      <c r="J400" t="inlineStr">
        <is>
          <t>0</t>
        </is>
      </c>
      <c r="K400" t="inlineStr">
        <is>
          <t>O'Meara, Stephen James, 1956-</t>
        </is>
      </c>
      <c r="L400" t="inlineStr">
        <is>
          <t>New York : Cambridge University Press, 1998.</t>
        </is>
      </c>
      <c r="M400" t="inlineStr">
        <is>
          <t>1998</t>
        </is>
      </c>
      <c r="O400" t="inlineStr">
        <is>
          <t>eng</t>
        </is>
      </c>
      <c r="P400" t="inlineStr">
        <is>
          <t>nyu</t>
        </is>
      </c>
      <c r="Q400" t="inlineStr">
        <is>
          <t>Deep-sky companions</t>
        </is>
      </c>
      <c r="R400" t="inlineStr">
        <is>
          <t xml:space="preserve">QB </t>
        </is>
      </c>
      <c r="S400" t="n">
        <v>1</v>
      </c>
      <c r="T400" t="n">
        <v>1</v>
      </c>
      <c r="U400" t="inlineStr">
        <is>
          <t>2005-02-16</t>
        </is>
      </c>
      <c r="V400" t="inlineStr">
        <is>
          <t>2005-02-16</t>
        </is>
      </c>
      <c r="W400" t="inlineStr">
        <is>
          <t>1999-10-12</t>
        </is>
      </c>
      <c r="X400" t="inlineStr">
        <is>
          <t>1999-10-12</t>
        </is>
      </c>
      <c r="Y400" t="n">
        <v>185</v>
      </c>
      <c r="Z400" t="n">
        <v>167</v>
      </c>
      <c r="AA400" t="n">
        <v>172</v>
      </c>
      <c r="AB400" t="n">
        <v>3</v>
      </c>
      <c r="AC400" t="n">
        <v>3</v>
      </c>
      <c r="AD400" t="n">
        <v>6</v>
      </c>
      <c r="AE400" t="n">
        <v>6</v>
      </c>
      <c r="AF400" t="n">
        <v>2</v>
      </c>
      <c r="AG400" t="n">
        <v>2</v>
      </c>
      <c r="AH400" t="n">
        <v>0</v>
      </c>
      <c r="AI400" t="n">
        <v>0</v>
      </c>
      <c r="AJ400" t="n">
        <v>2</v>
      </c>
      <c r="AK400" t="n">
        <v>2</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HYPERLINK("https://creighton-primo.hosted.exlibrisgroup.com/primo-explore/search?tab=default_tab&amp;search_scope=EVERYTHING&amp;vid=01CRU&amp;lang=en_US&amp;offset=0&amp;query=any,contains,991002748919702656","Catalog Record")</f>
        <v/>
      </c>
      <c r="AT400">
        <f>HYPERLINK("http://www.worldcat.org/oclc/36074483","WorldCat Record")</f>
        <v/>
      </c>
      <c r="AU400" t="inlineStr">
        <is>
          <t>9565719775:eng</t>
        </is>
      </c>
      <c r="AV400" t="inlineStr">
        <is>
          <t>36074483</t>
        </is>
      </c>
      <c r="AW400" t="inlineStr">
        <is>
          <t>991002748919702656</t>
        </is>
      </c>
      <c r="AX400" t="inlineStr">
        <is>
          <t>991002748919702656</t>
        </is>
      </c>
      <c r="AY400" t="inlineStr">
        <is>
          <t>2263916730002656</t>
        </is>
      </c>
      <c r="AZ400" t="inlineStr">
        <is>
          <t>BOOK</t>
        </is>
      </c>
      <c r="BB400" t="inlineStr">
        <is>
          <t>9780521553322</t>
        </is>
      </c>
      <c r="BC400" t="inlineStr">
        <is>
          <t>32285003594800</t>
        </is>
      </c>
      <c r="BD400" t="inlineStr">
        <is>
          <t>893904069</t>
        </is>
      </c>
    </row>
    <row r="401">
      <c r="A401" t="inlineStr">
        <is>
          <t>No</t>
        </is>
      </c>
      <c r="B401" t="inlineStr">
        <is>
          <t>QB651 .A848 2002</t>
        </is>
      </c>
      <c r="C401" t="inlineStr">
        <is>
          <t>0                      QB 0651000A  848         2002</t>
        </is>
      </c>
      <c r="D401" t="inlineStr">
        <is>
          <t>Asteroid rendezvous : NEAR Shoemaker's adventures at Eros / edited by Jim Bell and Jacqueline Mitton.</t>
        </is>
      </c>
      <c r="F401" t="inlineStr">
        <is>
          <t>No</t>
        </is>
      </c>
      <c r="G401" t="inlineStr">
        <is>
          <t>1</t>
        </is>
      </c>
      <c r="H401" t="inlineStr">
        <is>
          <t>No</t>
        </is>
      </c>
      <c r="I401" t="inlineStr">
        <is>
          <t>No</t>
        </is>
      </c>
      <c r="J401" t="inlineStr">
        <is>
          <t>0</t>
        </is>
      </c>
      <c r="L401" t="inlineStr">
        <is>
          <t>Cambridge, UK ; New York : Cambridge University Press, 2002.</t>
        </is>
      </c>
      <c r="M401" t="inlineStr">
        <is>
          <t>2002</t>
        </is>
      </c>
      <c r="O401" t="inlineStr">
        <is>
          <t>eng</t>
        </is>
      </c>
      <c r="P401" t="inlineStr">
        <is>
          <t>enk</t>
        </is>
      </c>
      <c r="R401" t="inlineStr">
        <is>
          <t xml:space="preserve">QB </t>
        </is>
      </c>
      <c r="S401" t="n">
        <v>1</v>
      </c>
      <c r="T401" t="n">
        <v>1</v>
      </c>
      <c r="U401" t="inlineStr">
        <is>
          <t>2003-03-06</t>
        </is>
      </c>
      <c r="V401" t="inlineStr">
        <is>
          <t>2003-03-06</t>
        </is>
      </c>
      <c r="W401" t="inlineStr">
        <is>
          <t>2003-03-06</t>
        </is>
      </c>
      <c r="X401" t="inlineStr">
        <is>
          <t>2003-03-06</t>
        </is>
      </c>
      <c r="Y401" t="n">
        <v>311</v>
      </c>
      <c r="Z401" t="n">
        <v>264</v>
      </c>
      <c r="AA401" t="n">
        <v>269</v>
      </c>
      <c r="AB401" t="n">
        <v>2</v>
      </c>
      <c r="AC401" t="n">
        <v>2</v>
      </c>
      <c r="AD401" t="n">
        <v>5</v>
      </c>
      <c r="AE401" t="n">
        <v>5</v>
      </c>
      <c r="AF401" t="n">
        <v>2</v>
      </c>
      <c r="AG401" t="n">
        <v>2</v>
      </c>
      <c r="AH401" t="n">
        <v>1</v>
      </c>
      <c r="AI401" t="n">
        <v>1</v>
      </c>
      <c r="AJ401" t="n">
        <v>3</v>
      </c>
      <c r="AK401" t="n">
        <v>3</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HYPERLINK("https://creighton-primo.hosted.exlibrisgroup.com/primo-explore/search?tab=default_tab&amp;search_scope=EVERYTHING&amp;vid=01CRU&amp;lang=en_US&amp;offset=0&amp;query=any,contains,991004000819702656","Catalog Record")</f>
        <v/>
      </c>
      <c r="AT401">
        <f>HYPERLINK("http://www.worldcat.org/oclc/49902055","WorldCat Record")</f>
        <v/>
      </c>
      <c r="AU401" t="inlineStr">
        <is>
          <t>840187918:eng</t>
        </is>
      </c>
      <c r="AV401" t="inlineStr">
        <is>
          <t>49902055</t>
        </is>
      </c>
      <c r="AW401" t="inlineStr">
        <is>
          <t>991004000819702656</t>
        </is>
      </c>
      <c r="AX401" t="inlineStr">
        <is>
          <t>991004000819702656</t>
        </is>
      </c>
      <c r="AY401" t="inlineStr">
        <is>
          <t>2257529490002656</t>
        </is>
      </c>
      <c r="AZ401" t="inlineStr">
        <is>
          <t>BOOK</t>
        </is>
      </c>
      <c r="BB401" t="inlineStr">
        <is>
          <t>9780521813600</t>
        </is>
      </c>
      <c r="BC401" t="inlineStr">
        <is>
          <t>32285004683164</t>
        </is>
      </c>
      <c r="BD401" t="inlineStr">
        <is>
          <t>893343344</t>
        </is>
      </c>
    </row>
    <row r="402">
      <c r="A402" t="inlineStr">
        <is>
          <t>No</t>
        </is>
      </c>
      <c r="B402" t="inlineStr">
        <is>
          <t>QB651 .A85</t>
        </is>
      </c>
      <c r="C402" t="inlineStr">
        <is>
          <t>0                      QB 0651000A  85</t>
        </is>
      </c>
      <c r="D402" t="inlineStr">
        <is>
          <t>Asteroids / edited by Tom Gehrels, with the assistance of Mildred Shapley Matthews ; with 69 collaborating authors.</t>
        </is>
      </c>
      <c r="F402" t="inlineStr">
        <is>
          <t>No</t>
        </is>
      </c>
      <c r="G402" t="inlineStr">
        <is>
          <t>1</t>
        </is>
      </c>
      <c r="H402" t="inlineStr">
        <is>
          <t>No</t>
        </is>
      </c>
      <c r="I402" t="inlineStr">
        <is>
          <t>No</t>
        </is>
      </c>
      <c r="J402" t="inlineStr">
        <is>
          <t>0</t>
        </is>
      </c>
      <c r="L402" t="inlineStr">
        <is>
          <t>Tucson : University of Arizona Press, c1979.</t>
        </is>
      </c>
      <c r="M402" t="inlineStr">
        <is>
          <t>1979</t>
        </is>
      </c>
      <c r="O402" t="inlineStr">
        <is>
          <t>eng</t>
        </is>
      </c>
      <c r="P402" t="inlineStr">
        <is>
          <t>azu</t>
        </is>
      </c>
      <c r="R402" t="inlineStr">
        <is>
          <t xml:space="preserve">QB </t>
        </is>
      </c>
      <c r="S402" t="n">
        <v>6</v>
      </c>
      <c r="T402" t="n">
        <v>6</v>
      </c>
      <c r="U402" t="inlineStr">
        <is>
          <t>1996-02-04</t>
        </is>
      </c>
      <c r="V402" t="inlineStr">
        <is>
          <t>1996-02-04</t>
        </is>
      </c>
      <c r="W402" t="inlineStr">
        <is>
          <t>1992-11-23</t>
        </is>
      </c>
      <c r="X402" t="inlineStr">
        <is>
          <t>1992-11-23</t>
        </is>
      </c>
      <c r="Y402" t="n">
        <v>380</v>
      </c>
      <c r="Z402" t="n">
        <v>290</v>
      </c>
      <c r="AA402" t="n">
        <v>294</v>
      </c>
      <c r="AB402" t="n">
        <v>2</v>
      </c>
      <c r="AC402" t="n">
        <v>2</v>
      </c>
      <c r="AD402" t="n">
        <v>8</v>
      </c>
      <c r="AE402" t="n">
        <v>8</v>
      </c>
      <c r="AF402" t="n">
        <v>2</v>
      </c>
      <c r="AG402" t="n">
        <v>2</v>
      </c>
      <c r="AH402" t="n">
        <v>5</v>
      </c>
      <c r="AI402" t="n">
        <v>5</v>
      </c>
      <c r="AJ402" t="n">
        <v>2</v>
      </c>
      <c r="AK402" t="n">
        <v>2</v>
      </c>
      <c r="AL402" t="n">
        <v>1</v>
      </c>
      <c r="AM402" t="n">
        <v>1</v>
      </c>
      <c r="AN402" t="n">
        <v>0</v>
      </c>
      <c r="AO402" t="n">
        <v>0</v>
      </c>
      <c r="AP402" t="inlineStr">
        <is>
          <t>No</t>
        </is>
      </c>
      <c r="AQ402" t="inlineStr">
        <is>
          <t>Yes</t>
        </is>
      </c>
      <c r="AR402">
        <f>HYPERLINK("http://catalog.hathitrust.org/Record/000034685","HathiTrust Record")</f>
        <v/>
      </c>
      <c r="AS402">
        <f>HYPERLINK("https://creighton-primo.hosted.exlibrisgroup.com/primo-explore/search?tab=default_tab&amp;search_scope=EVERYTHING&amp;vid=01CRU&amp;lang=en_US&amp;offset=0&amp;query=any,contains,991004816119702656","Catalog Record")</f>
        <v/>
      </c>
      <c r="AT402">
        <f>HYPERLINK("http://www.worldcat.org/oclc/5310392","WorldCat Record")</f>
        <v/>
      </c>
      <c r="AU402" t="inlineStr">
        <is>
          <t>1151144462:eng</t>
        </is>
      </c>
      <c r="AV402" t="inlineStr">
        <is>
          <t>5310392</t>
        </is>
      </c>
      <c r="AW402" t="inlineStr">
        <is>
          <t>991004816119702656</t>
        </is>
      </c>
      <c r="AX402" t="inlineStr">
        <is>
          <t>991004816119702656</t>
        </is>
      </c>
      <c r="AY402" t="inlineStr">
        <is>
          <t>2264289010002656</t>
        </is>
      </c>
      <c r="AZ402" t="inlineStr">
        <is>
          <t>BOOK</t>
        </is>
      </c>
      <c r="BB402" t="inlineStr">
        <is>
          <t>9780816506958</t>
        </is>
      </c>
      <c r="BC402" t="inlineStr">
        <is>
          <t>32285001433779</t>
        </is>
      </c>
      <c r="BD402" t="inlineStr">
        <is>
          <t>893688199</t>
        </is>
      </c>
    </row>
    <row r="403">
      <c r="A403" t="inlineStr">
        <is>
          <t>No</t>
        </is>
      </c>
      <c r="B403" t="inlineStr">
        <is>
          <t>QB651 .B36 1996</t>
        </is>
      </c>
      <c r="C403" t="inlineStr">
        <is>
          <t>0                      QB 0651000B  36          1996</t>
        </is>
      </c>
      <c r="D403" t="inlineStr">
        <is>
          <t>Asteroid : earth destroyer or new frontier? / Patricia Barnes-Svarney.</t>
        </is>
      </c>
      <c r="F403" t="inlineStr">
        <is>
          <t>No</t>
        </is>
      </c>
      <c r="G403" t="inlineStr">
        <is>
          <t>1</t>
        </is>
      </c>
      <c r="H403" t="inlineStr">
        <is>
          <t>No</t>
        </is>
      </c>
      <c r="I403" t="inlineStr">
        <is>
          <t>No</t>
        </is>
      </c>
      <c r="J403" t="inlineStr">
        <is>
          <t>0</t>
        </is>
      </c>
      <c r="K403" t="inlineStr">
        <is>
          <t>Barnes-Svarney, Patricia L.</t>
        </is>
      </c>
      <c r="L403" t="inlineStr">
        <is>
          <t>New York : Plenum Press, c1996.</t>
        </is>
      </c>
      <c r="M403" t="inlineStr">
        <is>
          <t>1996</t>
        </is>
      </c>
      <c r="O403" t="inlineStr">
        <is>
          <t>eng</t>
        </is>
      </c>
      <c r="P403" t="inlineStr">
        <is>
          <t>nyu</t>
        </is>
      </c>
      <c r="R403" t="inlineStr">
        <is>
          <t xml:space="preserve">QB </t>
        </is>
      </c>
      <c r="S403" t="n">
        <v>2</v>
      </c>
      <c r="T403" t="n">
        <v>2</v>
      </c>
      <c r="U403" t="inlineStr">
        <is>
          <t>1998-02-02</t>
        </is>
      </c>
      <c r="V403" t="inlineStr">
        <is>
          <t>1998-02-02</t>
        </is>
      </c>
      <c r="W403" t="inlineStr">
        <is>
          <t>1996-11-08</t>
        </is>
      </c>
      <c r="X403" t="inlineStr">
        <is>
          <t>1996-11-08</t>
        </is>
      </c>
      <c r="Y403" t="n">
        <v>542</v>
      </c>
      <c r="Z403" t="n">
        <v>508</v>
      </c>
      <c r="AA403" t="n">
        <v>531</v>
      </c>
      <c r="AB403" t="n">
        <v>3</v>
      </c>
      <c r="AC403" t="n">
        <v>3</v>
      </c>
      <c r="AD403" t="n">
        <v>11</v>
      </c>
      <c r="AE403" t="n">
        <v>11</v>
      </c>
      <c r="AF403" t="n">
        <v>2</v>
      </c>
      <c r="AG403" t="n">
        <v>2</v>
      </c>
      <c r="AH403" t="n">
        <v>3</v>
      </c>
      <c r="AI403" t="n">
        <v>3</v>
      </c>
      <c r="AJ403" t="n">
        <v>7</v>
      </c>
      <c r="AK403" t="n">
        <v>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HYPERLINK("https://creighton-primo.hosted.exlibrisgroup.com/primo-explore/search?tab=default_tab&amp;search_scope=EVERYTHING&amp;vid=01CRU&amp;lang=en_US&amp;offset=0&amp;query=any,contains,991002680949702656","Catalog Record")</f>
        <v/>
      </c>
      <c r="AT403">
        <f>HYPERLINK("http://www.worldcat.org/oclc/35033577","WorldCat Record")</f>
        <v/>
      </c>
      <c r="AU403" t="inlineStr">
        <is>
          <t>10550086:eng</t>
        </is>
      </c>
      <c r="AV403" t="inlineStr">
        <is>
          <t>35033577</t>
        </is>
      </c>
      <c r="AW403" t="inlineStr">
        <is>
          <t>991002680949702656</t>
        </is>
      </c>
      <c r="AX403" t="inlineStr">
        <is>
          <t>991002680949702656</t>
        </is>
      </c>
      <c r="AY403" t="inlineStr">
        <is>
          <t>2269156540002656</t>
        </is>
      </c>
      <c r="AZ403" t="inlineStr">
        <is>
          <t>BOOK</t>
        </is>
      </c>
      <c r="BB403" t="inlineStr">
        <is>
          <t>9780306454080</t>
        </is>
      </c>
      <c r="BC403" t="inlineStr">
        <is>
          <t>32285001419620</t>
        </is>
      </c>
      <c r="BD403" t="inlineStr">
        <is>
          <t>893233267</t>
        </is>
      </c>
    </row>
    <row r="404">
      <c r="A404" t="inlineStr">
        <is>
          <t>No</t>
        </is>
      </c>
      <c r="B404" t="inlineStr">
        <is>
          <t>QB651 .D38 1986</t>
        </is>
      </c>
      <c r="C404" t="inlineStr">
        <is>
          <t>0                      QB 0651000D  38          1986</t>
        </is>
      </c>
      <c r="D404" t="inlineStr">
        <is>
          <t>Cosmic impact / by John Keith Davies.</t>
        </is>
      </c>
      <c r="F404" t="inlineStr">
        <is>
          <t>No</t>
        </is>
      </c>
      <c r="G404" t="inlineStr">
        <is>
          <t>1</t>
        </is>
      </c>
      <c r="H404" t="inlineStr">
        <is>
          <t>No</t>
        </is>
      </c>
      <c r="I404" t="inlineStr">
        <is>
          <t>No</t>
        </is>
      </c>
      <c r="J404" t="inlineStr">
        <is>
          <t>0</t>
        </is>
      </c>
      <c r="K404" t="inlineStr">
        <is>
          <t>Coach Davies.</t>
        </is>
      </c>
      <c r="L404" t="inlineStr">
        <is>
          <t>London : Fourth Estate, 1986.</t>
        </is>
      </c>
      <c r="M404" t="inlineStr">
        <is>
          <t>1986</t>
        </is>
      </c>
      <c r="O404" t="inlineStr">
        <is>
          <t>eng</t>
        </is>
      </c>
      <c r="P404" t="inlineStr">
        <is>
          <t>enk</t>
        </is>
      </c>
      <c r="R404" t="inlineStr">
        <is>
          <t xml:space="preserve">QB </t>
        </is>
      </c>
      <c r="S404" t="n">
        <v>7</v>
      </c>
      <c r="T404" t="n">
        <v>7</v>
      </c>
      <c r="U404" t="inlineStr">
        <is>
          <t>1996-01-29</t>
        </is>
      </c>
      <c r="V404" t="inlineStr">
        <is>
          <t>1996-01-29</t>
        </is>
      </c>
      <c r="W404" t="inlineStr">
        <is>
          <t>1992-11-23</t>
        </is>
      </c>
      <c r="X404" t="inlineStr">
        <is>
          <t>1992-11-23</t>
        </is>
      </c>
      <c r="Y404" t="n">
        <v>66</v>
      </c>
      <c r="Z404" t="n">
        <v>31</v>
      </c>
      <c r="AA404" t="n">
        <v>271</v>
      </c>
      <c r="AB404" t="n">
        <v>1</v>
      </c>
      <c r="AC404" t="n">
        <v>3</v>
      </c>
      <c r="AD404" t="n">
        <v>0</v>
      </c>
      <c r="AE404" t="n">
        <v>7</v>
      </c>
      <c r="AF404" t="n">
        <v>0</v>
      </c>
      <c r="AG404" t="n">
        <v>1</v>
      </c>
      <c r="AH404" t="n">
        <v>0</v>
      </c>
      <c r="AI404" t="n">
        <v>2</v>
      </c>
      <c r="AJ404" t="n">
        <v>0</v>
      </c>
      <c r="AK404" t="n">
        <v>4</v>
      </c>
      <c r="AL404" t="n">
        <v>0</v>
      </c>
      <c r="AM404" t="n">
        <v>2</v>
      </c>
      <c r="AN404" t="n">
        <v>0</v>
      </c>
      <c r="AO404" t="n">
        <v>0</v>
      </c>
      <c r="AP404" t="inlineStr">
        <is>
          <t>No</t>
        </is>
      </c>
      <c r="AQ404" t="inlineStr">
        <is>
          <t>Yes</t>
        </is>
      </c>
      <c r="AR404">
        <f>HYPERLINK("http://catalog.hathitrust.org/Record/008514390","HathiTrust Record")</f>
        <v/>
      </c>
      <c r="AS404">
        <f>HYPERLINK("https://creighton-primo.hosted.exlibrisgroup.com/primo-explore/search?tab=default_tab&amp;search_scope=EVERYTHING&amp;vid=01CRU&amp;lang=en_US&amp;offset=0&amp;query=any,contains,991000859599702656","Catalog Record")</f>
        <v/>
      </c>
      <c r="AT404">
        <f>HYPERLINK("http://www.worldcat.org/oclc/13670239","WorldCat Record")</f>
        <v/>
      </c>
      <c r="AU404" t="inlineStr">
        <is>
          <t>7118399:eng</t>
        </is>
      </c>
      <c r="AV404" t="inlineStr">
        <is>
          <t>13670239</t>
        </is>
      </c>
      <c r="AW404" t="inlineStr">
        <is>
          <t>991000859599702656</t>
        </is>
      </c>
      <c r="AX404" t="inlineStr">
        <is>
          <t>991000859599702656</t>
        </is>
      </c>
      <c r="AY404" t="inlineStr">
        <is>
          <t>2254711750002656</t>
        </is>
      </c>
      <c r="AZ404" t="inlineStr">
        <is>
          <t>BOOK</t>
        </is>
      </c>
      <c r="BB404" t="inlineStr">
        <is>
          <t>9780947795207</t>
        </is>
      </c>
      <c r="BC404" t="inlineStr">
        <is>
          <t>32285001433787</t>
        </is>
      </c>
      <c r="BD404" t="inlineStr">
        <is>
          <t>893528450</t>
        </is>
      </c>
    </row>
    <row r="405">
      <c r="A405" t="inlineStr">
        <is>
          <t>No</t>
        </is>
      </c>
      <c r="B405" t="inlineStr">
        <is>
          <t>QB651 .K68 1988</t>
        </is>
      </c>
      <c r="C405" t="inlineStr">
        <is>
          <t>0                      QB 0651000K  68          1988</t>
        </is>
      </c>
      <c r="D405" t="inlineStr">
        <is>
          <t>Asteroids : their nature and utilization / Charles T. Kowal.</t>
        </is>
      </c>
      <c r="F405" t="inlineStr">
        <is>
          <t>No</t>
        </is>
      </c>
      <c r="G405" t="inlineStr">
        <is>
          <t>1</t>
        </is>
      </c>
      <c r="H405" t="inlineStr">
        <is>
          <t>No</t>
        </is>
      </c>
      <c r="I405" t="inlineStr">
        <is>
          <t>No</t>
        </is>
      </c>
      <c r="J405" t="inlineStr">
        <is>
          <t>0</t>
        </is>
      </c>
      <c r="K405" t="inlineStr">
        <is>
          <t>Kowal, Charles T.</t>
        </is>
      </c>
      <c r="L405" t="inlineStr">
        <is>
          <t>Chichester, England : E. Horwood ; New York : Halsted Press, 1988.</t>
        </is>
      </c>
      <c r="M405" t="inlineStr">
        <is>
          <t>1988</t>
        </is>
      </c>
      <c r="O405" t="inlineStr">
        <is>
          <t>eng</t>
        </is>
      </c>
      <c r="P405" t="inlineStr">
        <is>
          <t>enk</t>
        </is>
      </c>
      <c r="Q405" t="inlineStr">
        <is>
          <t>Ellis Horwood library of space science and space technology. Series in astronomy</t>
        </is>
      </c>
      <c r="R405" t="inlineStr">
        <is>
          <t xml:space="preserve">QB </t>
        </is>
      </c>
      <c r="S405" t="n">
        <v>4</v>
      </c>
      <c r="T405" t="n">
        <v>4</v>
      </c>
      <c r="U405" t="inlineStr">
        <is>
          <t>1997-11-23</t>
        </is>
      </c>
      <c r="V405" t="inlineStr">
        <is>
          <t>1997-11-23</t>
        </is>
      </c>
      <c r="W405" t="inlineStr">
        <is>
          <t>1989-11-13</t>
        </is>
      </c>
      <c r="X405" t="inlineStr">
        <is>
          <t>1989-11-13</t>
        </is>
      </c>
      <c r="Y405" t="n">
        <v>305</v>
      </c>
      <c r="Z405" t="n">
        <v>247</v>
      </c>
      <c r="AA405" t="n">
        <v>340</v>
      </c>
      <c r="AB405" t="n">
        <v>3</v>
      </c>
      <c r="AC405" t="n">
        <v>6</v>
      </c>
      <c r="AD405" t="n">
        <v>8</v>
      </c>
      <c r="AE405" t="n">
        <v>16</v>
      </c>
      <c r="AF405" t="n">
        <v>3</v>
      </c>
      <c r="AG405" t="n">
        <v>5</v>
      </c>
      <c r="AH405" t="n">
        <v>2</v>
      </c>
      <c r="AI405" t="n">
        <v>3</v>
      </c>
      <c r="AJ405" t="n">
        <v>3</v>
      </c>
      <c r="AK405" t="n">
        <v>7</v>
      </c>
      <c r="AL405" t="n">
        <v>2</v>
      </c>
      <c r="AM405" t="n">
        <v>4</v>
      </c>
      <c r="AN405" t="n">
        <v>0</v>
      </c>
      <c r="AO405" t="n">
        <v>0</v>
      </c>
      <c r="AP405" t="inlineStr">
        <is>
          <t>No</t>
        </is>
      </c>
      <c r="AQ405" t="inlineStr">
        <is>
          <t>Yes</t>
        </is>
      </c>
      <c r="AR405">
        <f>HYPERLINK("http://catalog.hathitrust.org/Record/001097117","HathiTrust Record")</f>
        <v/>
      </c>
      <c r="AS405">
        <f>HYPERLINK("https://creighton-primo.hosted.exlibrisgroup.com/primo-explore/search?tab=default_tab&amp;search_scope=EVERYTHING&amp;vid=01CRU&amp;lang=en_US&amp;offset=0&amp;query=any,contains,991001327799702656","Catalog Record")</f>
        <v/>
      </c>
      <c r="AT405">
        <f>HYPERLINK("http://www.worldcat.org/oclc/18291383","WorldCat Record")</f>
        <v/>
      </c>
      <c r="AU405" t="inlineStr">
        <is>
          <t>793333259:eng</t>
        </is>
      </c>
      <c r="AV405" t="inlineStr">
        <is>
          <t>18291383</t>
        </is>
      </c>
      <c r="AW405" t="inlineStr">
        <is>
          <t>991001327799702656</t>
        </is>
      </c>
      <c r="AX405" t="inlineStr">
        <is>
          <t>991001327799702656</t>
        </is>
      </c>
      <c r="AY405" t="inlineStr">
        <is>
          <t>2264694240002656</t>
        </is>
      </c>
      <c r="AZ405" t="inlineStr">
        <is>
          <t>BOOK</t>
        </is>
      </c>
      <c r="BB405" t="inlineStr">
        <is>
          <t>9780470212301</t>
        </is>
      </c>
      <c r="BC405" t="inlineStr">
        <is>
          <t>32285000012251</t>
        </is>
      </c>
      <c r="BD405" t="inlineStr">
        <is>
          <t>893608769</t>
        </is>
      </c>
    </row>
    <row r="406">
      <c r="A406" t="inlineStr">
        <is>
          <t>No</t>
        </is>
      </c>
      <c r="B406" t="inlineStr">
        <is>
          <t>QB651 .S74 1995</t>
        </is>
      </c>
      <c r="C406" t="inlineStr">
        <is>
          <t>0                      QB 0651000S  74          1995</t>
        </is>
      </c>
      <c r="D406" t="inlineStr">
        <is>
          <t>Rogue asteroids and doomsday comets : the search for the million megaton menace that threatens life on Earth / Duncan Steel ; foreword by Arthur C. Clarke.</t>
        </is>
      </c>
      <c r="F406" t="inlineStr">
        <is>
          <t>No</t>
        </is>
      </c>
      <c r="G406" t="inlineStr">
        <is>
          <t>1</t>
        </is>
      </c>
      <c r="H406" t="inlineStr">
        <is>
          <t>No</t>
        </is>
      </c>
      <c r="I406" t="inlineStr">
        <is>
          <t>No</t>
        </is>
      </c>
      <c r="J406" t="inlineStr">
        <is>
          <t>0</t>
        </is>
      </c>
      <c r="K406" t="inlineStr">
        <is>
          <t>Steel, Duncan, 1955-</t>
        </is>
      </c>
      <c r="L406" t="inlineStr">
        <is>
          <t>New York : Wiley, c1995.</t>
        </is>
      </c>
      <c r="M406" t="inlineStr">
        <is>
          <t>1995</t>
        </is>
      </c>
      <c r="O406" t="inlineStr">
        <is>
          <t>eng</t>
        </is>
      </c>
      <c r="P406" t="inlineStr">
        <is>
          <t>nyu</t>
        </is>
      </c>
      <c r="R406" t="inlineStr">
        <is>
          <t xml:space="preserve">QB </t>
        </is>
      </c>
      <c r="S406" t="n">
        <v>5</v>
      </c>
      <c r="T406" t="n">
        <v>5</v>
      </c>
      <c r="U406" t="inlineStr">
        <is>
          <t>1996-01-29</t>
        </is>
      </c>
      <c r="V406" t="inlineStr">
        <is>
          <t>1996-01-29</t>
        </is>
      </c>
      <c r="W406" t="inlineStr">
        <is>
          <t>1995-08-03</t>
        </is>
      </c>
      <c r="X406" t="inlineStr">
        <is>
          <t>1995-08-03</t>
        </is>
      </c>
      <c r="Y406" t="n">
        <v>821</v>
      </c>
      <c r="Z406" t="n">
        <v>718</v>
      </c>
      <c r="AA406" t="n">
        <v>719</v>
      </c>
      <c r="AB406" t="n">
        <v>4</v>
      </c>
      <c r="AC406" t="n">
        <v>4</v>
      </c>
      <c r="AD406" t="n">
        <v>17</v>
      </c>
      <c r="AE406" t="n">
        <v>17</v>
      </c>
      <c r="AF406" t="n">
        <v>7</v>
      </c>
      <c r="AG406" t="n">
        <v>7</v>
      </c>
      <c r="AH406" t="n">
        <v>4</v>
      </c>
      <c r="AI406" t="n">
        <v>4</v>
      </c>
      <c r="AJ406" t="n">
        <v>9</v>
      </c>
      <c r="AK406" t="n">
        <v>9</v>
      </c>
      <c r="AL406" t="n">
        <v>2</v>
      </c>
      <c r="AM406" t="n">
        <v>2</v>
      </c>
      <c r="AN406" t="n">
        <v>0</v>
      </c>
      <c r="AO406" t="n">
        <v>0</v>
      </c>
      <c r="AP406" t="inlineStr">
        <is>
          <t>No</t>
        </is>
      </c>
      <c r="AQ406" t="inlineStr">
        <is>
          <t>Yes</t>
        </is>
      </c>
      <c r="AR406">
        <f>HYPERLINK("http://catalog.hathitrust.org/Record/002976111","HathiTrust Record")</f>
        <v/>
      </c>
      <c r="AS406">
        <f>HYPERLINK("https://creighton-primo.hosted.exlibrisgroup.com/primo-explore/search?tab=default_tab&amp;search_scope=EVERYTHING&amp;vid=01CRU&amp;lang=en_US&amp;offset=0&amp;query=any,contains,991002389929702656","Catalog Record")</f>
        <v/>
      </c>
      <c r="AT406">
        <f>HYPERLINK("http://www.worldcat.org/oclc/31045313","WorldCat Record")</f>
        <v/>
      </c>
      <c r="AU406" t="inlineStr">
        <is>
          <t>836943500:eng</t>
        </is>
      </c>
      <c r="AV406" t="inlineStr">
        <is>
          <t>31045313</t>
        </is>
      </c>
      <c r="AW406" t="inlineStr">
        <is>
          <t>991002389929702656</t>
        </is>
      </c>
      <c r="AX406" t="inlineStr">
        <is>
          <t>991002389929702656</t>
        </is>
      </c>
      <c r="AY406" t="inlineStr">
        <is>
          <t>2264244830002656</t>
        </is>
      </c>
      <c r="AZ406" t="inlineStr">
        <is>
          <t>BOOK</t>
        </is>
      </c>
      <c r="BB406" t="inlineStr">
        <is>
          <t>9780471308249</t>
        </is>
      </c>
      <c r="BC406" t="inlineStr">
        <is>
          <t>32285002076775</t>
        </is>
      </c>
      <c r="BD406" t="inlineStr">
        <is>
          <t>893798529</t>
        </is>
      </c>
    </row>
    <row r="407">
      <c r="A407" t="inlineStr">
        <is>
          <t>No</t>
        </is>
      </c>
      <c r="B407" t="inlineStr">
        <is>
          <t>QB661 .B87 1982</t>
        </is>
      </c>
      <c r="C407" t="inlineStr">
        <is>
          <t>0                      QB 0661000B  87          1982</t>
        </is>
      </c>
      <c r="D407" t="inlineStr">
        <is>
          <t>By Jupiter : odysseys to a giant / Eric Burgess.</t>
        </is>
      </c>
      <c r="F407" t="inlineStr">
        <is>
          <t>No</t>
        </is>
      </c>
      <c r="G407" t="inlineStr">
        <is>
          <t>1</t>
        </is>
      </c>
      <c r="H407" t="inlineStr">
        <is>
          <t>No</t>
        </is>
      </c>
      <c r="I407" t="inlineStr">
        <is>
          <t>No</t>
        </is>
      </c>
      <c r="J407" t="inlineStr">
        <is>
          <t>0</t>
        </is>
      </c>
      <c r="K407" t="inlineStr">
        <is>
          <t>Burgess, Eric.</t>
        </is>
      </c>
      <c r="L407" t="inlineStr">
        <is>
          <t>New York : Columbia University Press, 1982.</t>
        </is>
      </c>
      <c r="M407" t="inlineStr">
        <is>
          <t>1982</t>
        </is>
      </c>
      <c r="O407" t="inlineStr">
        <is>
          <t>eng</t>
        </is>
      </c>
      <c r="P407" t="inlineStr">
        <is>
          <t>nyu</t>
        </is>
      </c>
      <c r="R407" t="inlineStr">
        <is>
          <t xml:space="preserve">QB </t>
        </is>
      </c>
      <c r="S407" t="n">
        <v>13</v>
      </c>
      <c r="T407" t="n">
        <v>13</v>
      </c>
      <c r="U407" t="inlineStr">
        <is>
          <t>2000-02-27</t>
        </is>
      </c>
      <c r="V407" t="inlineStr">
        <is>
          <t>2000-02-27</t>
        </is>
      </c>
      <c r="W407" t="inlineStr">
        <is>
          <t>1990-03-29</t>
        </is>
      </c>
      <c r="X407" t="inlineStr">
        <is>
          <t>1990-03-29</t>
        </is>
      </c>
      <c r="Y407" t="n">
        <v>461</v>
      </c>
      <c r="Z407" t="n">
        <v>415</v>
      </c>
      <c r="AA407" t="n">
        <v>416</v>
      </c>
      <c r="AB407" t="n">
        <v>1</v>
      </c>
      <c r="AC407" t="n">
        <v>1</v>
      </c>
      <c r="AD407" t="n">
        <v>6</v>
      </c>
      <c r="AE407" t="n">
        <v>6</v>
      </c>
      <c r="AF407" t="n">
        <v>1</v>
      </c>
      <c r="AG407" t="n">
        <v>1</v>
      </c>
      <c r="AH407" t="n">
        <v>1</v>
      </c>
      <c r="AI407" t="n">
        <v>1</v>
      </c>
      <c r="AJ407" t="n">
        <v>5</v>
      </c>
      <c r="AK407" t="n">
        <v>5</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HYPERLINK("https://creighton-primo.hosted.exlibrisgroup.com/primo-explore/search?tab=default_tab&amp;search_scope=EVERYTHING&amp;vid=01CRU&amp;lang=en_US&amp;offset=0&amp;query=any,contains,991005226969702656","Catalog Record")</f>
        <v/>
      </c>
      <c r="AT407">
        <f>HYPERLINK("http://www.worldcat.org/oclc/8283510","WorldCat Record")</f>
        <v/>
      </c>
      <c r="AU407" t="inlineStr">
        <is>
          <t>366084248:eng</t>
        </is>
      </c>
      <c r="AV407" t="inlineStr">
        <is>
          <t>8283510</t>
        </is>
      </c>
      <c r="AW407" t="inlineStr">
        <is>
          <t>991005226969702656</t>
        </is>
      </c>
      <c r="AX407" t="inlineStr">
        <is>
          <t>991005226969702656</t>
        </is>
      </c>
      <c r="AY407" t="inlineStr">
        <is>
          <t>2268474680002656</t>
        </is>
      </c>
      <c r="AZ407" t="inlineStr">
        <is>
          <t>BOOK</t>
        </is>
      </c>
      <c r="BB407" t="inlineStr">
        <is>
          <t>9780231051767</t>
        </is>
      </c>
      <c r="BC407" t="inlineStr">
        <is>
          <t>32285000107499</t>
        </is>
      </c>
      <c r="BD407" t="inlineStr">
        <is>
          <t>893607040</t>
        </is>
      </c>
    </row>
    <row r="408">
      <c r="A408" t="inlineStr">
        <is>
          <t>No</t>
        </is>
      </c>
      <c r="B408" t="inlineStr">
        <is>
          <t>QB661 .F57 2001</t>
        </is>
      </c>
      <c r="C408" t="inlineStr">
        <is>
          <t>0                      QB 0661000F  57          2001</t>
        </is>
      </c>
      <c r="D408" t="inlineStr">
        <is>
          <t>Mission Jupiter : the spectacular journey of the Galileo spacecraft / Daniel Fischer ; [translated by Don Reneau].</t>
        </is>
      </c>
      <c r="F408" t="inlineStr">
        <is>
          <t>No</t>
        </is>
      </c>
      <c r="G408" t="inlineStr">
        <is>
          <t>1</t>
        </is>
      </c>
      <c r="H408" t="inlineStr">
        <is>
          <t>No</t>
        </is>
      </c>
      <c r="I408" t="inlineStr">
        <is>
          <t>No</t>
        </is>
      </c>
      <c r="J408" t="inlineStr">
        <is>
          <t>0</t>
        </is>
      </c>
      <c r="K408" t="inlineStr">
        <is>
          <t>Fischer, Daniel.</t>
        </is>
      </c>
      <c r="L408" t="inlineStr">
        <is>
          <t>New York : Copernicus, c2001.</t>
        </is>
      </c>
      <c r="M408" t="inlineStr">
        <is>
          <t>2001</t>
        </is>
      </c>
      <c r="O408" t="inlineStr">
        <is>
          <t>eng</t>
        </is>
      </c>
      <c r="P408" t="inlineStr">
        <is>
          <t>nyu</t>
        </is>
      </c>
      <c r="R408" t="inlineStr">
        <is>
          <t xml:space="preserve">QB </t>
        </is>
      </c>
      <c r="S408" t="n">
        <v>2</v>
      </c>
      <c r="T408" t="n">
        <v>2</v>
      </c>
      <c r="U408" t="inlineStr">
        <is>
          <t>2001-09-27</t>
        </is>
      </c>
      <c r="V408" t="inlineStr">
        <is>
          <t>2001-09-27</t>
        </is>
      </c>
      <c r="W408" t="inlineStr">
        <is>
          <t>2001-09-27</t>
        </is>
      </c>
      <c r="X408" t="inlineStr">
        <is>
          <t>2001-09-27</t>
        </is>
      </c>
      <c r="Y408" t="n">
        <v>697</v>
      </c>
      <c r="Z408" t="n">
        <v>627</v>
      </c>
      <c r="AA408" t="n">
        <v>662</v>
      </c>
      <c r="AB408" t="n">
        <v>8</v>
      </c>
      <c r="AC408" t="n">
        <v>8</v>
      </c>
      <c r="AD408" t="n">
        <v>16</v>
      </c>
      <c r="AE408" t="n">
        <v>19</v>
      </c>
      <c r="AF408" t="n">
        <v>6</v>
      </c>
      <c r="AG408" t="n">
        <v>8</v>
      </c>
      <c r="AH408" t="n">
        <v>3</v>
      </c>
      <c r="AI408" t="n">
        <v>4</v>
      </c>
      <c r="AJ408" t="n">
        <v>7</v>
      </c>
      <c r="AK408" t="n">
        <v>8</v>
      </c>
      <c r="AL408" t="n">
        <v>5</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HYPERLINK("https://creighton-primo.hosted.exlibrisgroup.com/primo-explore/search?tab=default_tab&amp;search_scope=EVERYTHING&amp;vid=01CRU&amp;lang=en_US&amp;offset=0&amp;query=any,contains,991003616329702656","Catalog Record")</f>
        <v/>
      </c>
      <c r="AT408">
        <f>HYPERLINK("http://www.worldcat.org/oclc/41355774","WorldCat Record")</f>
        <v/>
      </c>
      <c r="AU408" t="inlineStr">
        <is>
          <t>26535635:eng</t>
        </is>
      </c>
      <c r="AV408" t="inlineStr">
        <is>
          <t>41355774</t>
        </is>
      </c>
      <c r="AW408" t="inlineStr">
        <is>
          <t>991003616329702656</t>
        </is>
      </c>
      <c r="AX408" t="inlineStr">
        <is>
          <t>991003616329702656</t>
        </is>
      </c>
      <c r="AY408" t="inlineStr">
        <is>
          <t>2266784000002656</t>
        </is>
      </c>
      <c r="AZ408" t="inlineStr">
        <is>
          <t>BOOK</t>
        </is>
      </c>
      <c r="BB408" t="inlineStr">
        <is>
          <t>9780387987644</t>
        </is>
      </c>
      <c r="BC408" t="inlineStr">
        <is>
          <t>32285004393921</t>
        </is>
      </c>
      <c r="BD408" t="inlineStr">
        <is>
          <t>893787545</t>
        </is>
      </c>
    </row>
    <row r="409">
      <c r="A409" t="inlineStr">
        <is>
          <t>No</t>
        </is>
      </c>
      <c r="B409" t="inlineStr">
        <is>
          <t>QB661 .J86</t>
        </is>
      </c>
      <c r="C409" t="inlineStr">
        <is>
          <t>0                      QB 0661000J  86</t>
        </is>
      </c>
      <c r="D409" t="inlineStr">
        <is>
          <t>Jupiter : studies of the interior, atmosphere, magnetosphere, and satellites / edited by Tom Gehrels, with the assistance of Mildred Shapley Matthews.</t>
        </is>
      </c>
      <c r="F409" t="inlineStr">
        <is>
          <t>No</t>
        </is>
      </c>
      <c r="G409" t="inlineStr">
        <is>
          <t>1</t>
        </is>
      </c>
      <c r="H409" t="inlineStr">
        <is>
          <t>No</t>
        </is>
      </c>
      <c r="I409" t="inlineStr">
        <is>
          <t>No</t>
        </is>
      </c>
      <c r="J409" t="inlineStr">
        <is>
          <t>0</t>
        </is>
      </c>
      <c r="L409" t="inlineStr">
        <is>
          <t>Tucson : University of Arizona Press, c1976.</t>
        </is>
      </c>
      <c r="M409" t="inlineStr">
        <is>
          <t>1976</t>
        </is>
      </c>
      <c r="O409" t="inlineStr">
        <is>
          <t>eng</t>
        </is>
      </c>
      <c r="P409" t="inlineStr">
        <is>
          <t>azu</t>
        </is>
      </c>
      <c r="R409" t="inlineStr">
        <is>
          <t xml:space="preserve">QB </t>
        </is>
      </c>
      <c r="S409" t="n">
        <v>8</v>
      </c>
      <c r="T409" t="n">
        <v>8</v>
      </c>
      <c r="U409" t="inlineStr">
        <is>
          <t>1995-11-10</t>
        </is>
      </c>
      <c r="V409" t="inlineStr">
        <is>
          <t>1995-11-10</t>
        </is>
      </c>
      <c r="W409" t="inlineStr">
        <is>
          <t>1990-03-29</t>
        </is>
      </c>
      <c r="X409" t="inlineStr">
        <is>
          <t>1990-03-29</t>
        </is>
      </c>
      <c r="Y409" t="n">
        <v>382</v>
      </c>
      <c r="Z409" t="n">
        <v>279</v>
      </c>
      <c r="AA409" t="n">
        <v>285</v>
      </c>
      <c r="AB409" t="n">
        <v>3</v>
      </c>
      <c r="AC409" t="n">
        <v>3</v>
      </c>
      <c r="AD409" t="n">
        <v>7</v>
      </c>
      <c r="AE409" t="n">
        <v>7</v>
      </c>
      <c r="AF409" t="n">
        <v>1</v>
      </c>
      <c r="AG409" t="n">
        <v>1</v>
      </c>
      <c r="AH409" t="n">
        <v>1</v>
      </c>
      <c r="AI409" t="n">
        <v>1</v>
      </c>
      <c r="AJ409" t="n">
        <v>3</v>
      </c>
      <c r="AK409" t="n">
        <v>3</v>
      </c>
      <c r="AL409" t="n">
        <v>2</v>
      </c>
      <c r="AM409" t="n">
        <v>2</v>
      </c>
      <c r="AN409" t="n">
        <v>0</v>
      </c>
      <c r="AO409" t="n">
        <v>0</v>
      </c>
      <c r="AP409" t="inlineStr">
        <is>
          <t>No</t>
        </is>
      </c>
      <c r="AQ409" t="inlineStr">
        <is>
          <t>Yes</t>
        </is>
      </c>
      <c r="AR409">
        <f>HYPERLINK("http://catalog.hathitrust.org/Record/000726318","HathiTrust Record")</f>
        <v/>
      </c>
      <c r="AS409">
        <f>HYPERLINK("https://creighton-primo.hosted.exlibrisgroup.com/primo-explore/search?tab=default_tab&amp;search_scope=EVERYTHING&amp;vid=01CRU&amp;lang=en_US&amp;offset=0&amp;query=any,contains,991004153589702656","Catalog Record")</f>
        <v/>
      </c>
      <c r="AT409">
        <f>HYPERLINK("http://www.worldcat.org/oclc/2532796","WorldCat Record")</f>
        <v/>
      </c>
      <c r="AU409" t="inlineStr">
        <is>
          <t>934685856:eng</t>
        </is>
      </c>
      <c r="AV409" t="inlineStr">
        <is>
          <t>2532796</t>
        </is>
      </c>
      <c r="AW409" t="inlineStr">
        <is>
          <t>991004153589702656</t>
        </is>
      </c>
      <c r="AX409" t="inlineStr">
        <is>
          <t>991004153589702656</t>
        </is>
      </c>
      <c r="AY409" t="inlineStr">
        <is>
          <t>2268812490002656</t>
        </is>
      </c>
      <c r="AZ409" t="inlineStr">
        <is>
          <t>BOOK</t>
        </is>
      </c>
      <c r="BB409" t="inlineStr">
        <is>
          <t>9780816505302</t>
        </is>
      </c>
      <c r="BC409" t="inlineStr">
        <is>
          <t>32285000106467</t>
        </is>
      </c>
      <c r="BD409" t="inlineStr">
        <is>
          <t>893228992</t>
        </is>
      </c>
    </row>
    <row r="410">
      <c r="A410" t="inlineStr">
        <is>
          <t>No</t>
        </is>
      </c>
      <c r="B410" t="inlineStr">
        <is>
          <t>QB661 .M55 2002</t>
        </is>
      </c>
      <c r="C410" t="inlineStr">
        <is>
          <t>0                      QB 0661000M  55          2002</t>
        </is>
      </c>
      <c r="D410" t="inlineStr">
        <is>
          <t>Jupiter / Ron Miller.</t>
        </is>
      </c>
      <c r="F410" t="inlineStr">
        <is>
          <t>No</t>
        </is>
      </c>
      <c r="G410" t="inlineStr">
        <is>
          <t>1</t>
        </is>
      </c>
      <c r="H410" t="inlineStr">
        <is>
          <t>No</t>
        </is>
      </c>
      <c r="I410" t="inlineStr">
        <is>
          <t>No</t>
        </is>
      </c>
      <c r="J410" t="inlineStr">
        <is>
          <t>0</t>
        </is>
      </c>
      <c r="K410" t="inlineStr">
        <is>
          <t>Miller, Ron, 1947-</t>
        </is>
      </c>
      <c r="L410" t="inlineStr">
        <is>
          <t>Brookfield, Conn. : Twenty-First Century Books, c2002.</t>
        </is>
      </c>
      <c r="M410" t="inlineStr">
        <is>
          <t>2002</t>
        </is>
      </c>
      <c r="O410" t="inlineStr">
        <is>
          <t>eng</t>
        </is>
      </c>
      <c r="P410" t="inlineStr">
        <is>
          <t>nyu</t>
        </is>
      </c>
      <c r="Q410" t="inlineStr">
        <is>
          <t>Worlds beyond</t>
        </is>
      </c>
      <c r="R410" t="inlineStr">
        <is>
          <t xml:space="preserve">QB </t>
        </is>
      </c>
      <c r="S410" t="n">
        <v>1</v>
      </c>
      <c r="T410" t="n">
        <v>1</v>
      </c>
      <c r="U410" t="inlineStr">
        <is>
          <t>2003-08-12</t>
        </is>
      </c>
      <c r="V410" t="inlineStr">
        <is>
          <t>2003-08-12</t>
        </is>
      </c>
      <c r="W410" t="inlineStr">
        <is>
          <t>2003-08-12</t>
        </is>
      </c>
      <c r="X410" t="inlineStr">
        <is>
          <t>2003-08-12</t>
        </is>
      </c>
      <c r="Y410" t="n">
        <v>357</v>
      </c>
      <c r="Z410" t="n">
        <v>348</v>
      </c>
      <c r="AA410" t="n">
        <v>349</v>
      </c>
      <c r="AB410" t="n">
        <v>2</v>
      </c>
      <c r="AC410" t="n">
        <v>2</v>
      </c>
      <c r="AD410" t="n">
        <v>0</v>
      </c>
      <c r="AE410" t="n">
        <v>0</v>
      </c>
      <c r="AF410" t="n">
        <v>0</v>
      </c>
      <c r="AG410" t="n">
        <v>0</v>
      </c>
      <c r="AH410" t="n">
        <v>0</v>
      </c>
      <c r="AI410" t="n">
        <v>0</v>
      </c>
      <c r="AJ410" t="n">
        <v>0</v>
      </c>
      <c r="AK410" t="n">
        <v>0</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HYPERLINK("https://creighton-primo.hosted.exlibrisgroup.com/primo-explore/search?tab=default_tab&amp;search_scope=EVERYTHING&amp;vid=01CRU&amp;lang=en_US&amp;offset=0&amp;query=any,contains,991004104059702656","Catalog Record")</f>
        <v/>
      </c>
      <c r="AT410">
        <f>HYPERLINK("http://www.worldcat.org/oclc/47665227","WorldCat Record")</f>
        <v/>
      </c>
      <c r="AU410" t="inlineStr">
        <is>
          <t>36619100:eng</t>
        </is>
      </c>
      <c r="AV410" t="inlineStr">
        <is>
          <t>47665227</t>
        </is>
      </c>
      <c r="AW410" t="inlineStr">
        <is>
          <t>991004104059702656</t>
        </is>
      </c>
      <c r="AX410" t="inlineStr">
        <is>
          <t>991004104059702656</t>
        </is>
      </c>
      <c r="AY410" t="inlineStr">
        <is>
          <t>2258323640002656</t>
        </is>
      </c>
      <c r="AZ410" t="inlineStr">
        <is>
          <t>BOOK</t>
        </is>
      </c>
      <c r="BB410" t="inlineStr">
        <is>
          <t>9780761323563</t>
        </is>
      </c>
      <c r="BC410" t="inlineStr">
        <is>
          <t>32285004759287</t>
        </is>
      </c>
      <c r="BD410" t="inlineStr">
        <is>
          <t>893679292</t>
        </is>
      </c>
    </row>
    <row r="411">
      <c r="A411" t="inlineStr">
        <is>
          <t>No</t>
        </is>
      </c>
      <c r="B411" t="inlineStr">
        <is>
          <t>QB661 .P4 1981</t>
        </is>
      </c>
      <c r="C411" t="inlineStr">
        <is>
          <t>0                      QB 0661000P  4           1981</t>
        </is>
      </c>
      <c r="D411" t="inlineStr">
        <is>
          <t>The Planet Jupiter : the observer's handbook / by Bertrand M. Peek ; with a foreword by Patrick Moore.</t>
        </is>
      </c>
      <c r="F411" t="inlineStr">
        <is>
          <t>No</t>
        </is>
      </c>
      <c r="G411" t="inlineStr">
        <is>
          <t>1</t>
        </is>
      </c>
      <c r="H411" t="inlineStr">
        <is>
          <t>No</t>
        </is>
      </c>
      <c r="I411" t="inlineStr">
        <is>
          <t>No</t>
        </is>
      </c>
      <c r="J411" t="inlineStr">
        <is>
          <t>0</t>
        </is>
      </c>
      <c r="K411" t="inlineStr">
        <is>
          <t>Peek, Bertrand M. (Bertrand Meigh)</t>
        </is>
      </c>
      <c r="L411" t="inlineStr">
        <is>
          <t>London ; Boston : Faber and Faber, 1981.</t>
        </is>
      </c>
      <c r="M411" t="inlineStr">
        <is>
          <t>1981</t>
        </is>
      </c>
      <c r="N411" t="inlineStr">
        <is>
          <t>Rev. ed.</t>
        </is>
      </c>
      <c r="O411" t="inlineStr">
        <is>
          <t>eng</t>
        </is>
      </c>
      <c r="P411" t="inlineStr">
        <is>
          <t>enk</t>
        </is>
      </c>
      <c r="R411" t="inlineStr">
        <is>
          <t xml:space="preserve">QB </t>
        </is>
      </c>
      <c r="S411" t="n">
        <v>4</v>
      </c>
      <c r="T411" t="n">
        <v>4</v>
      </c>
      <c r="U411" t="inlineStr">
        <is>
          <t>1995-11-10</t>
        </is>
      </c>
      <c r="V411" t="inlineStr">
        <is>
          <t>1995-11-10</t>
        </is>
      </c>
      <c r="W411" t="inlineStr">
        <is>
          <t>1992-11-23</t>
        </is>
      </c>
      <c r="X411" t="inlineStr">
        <is>
          <t>1992-11-23</t>
        </is>
      </c>
      <c r="Y411" t="n">
        <v>340</v>
      </c>
      <c r="Z411" t="n">
        <v>272</v>
      </c>
      <c r="AA411" t="n">
        <v>276</v>
      </c>
      <c r="AB411" t="n">
        <v>2</v>
      </c>
      <c r="AC411" t="n">
        <v>2</v>
      </c>
      <c r="AD411" t="n">
        <v>4</v>
      </c>
      <c r="AE411" t="n">
        <v>4</v>
      </c>
      <c r="AF411" t="n">
        <v>3</v>
      </c>
      <c r="AG411" t="n">
        <v>3</v>
      </c>
      <c r="AH411" t="n">
        <v>0</v>
      </c>
      <c r="AI411" t="n">
        <v>0</v>
      </c>
      <c r="AJ411" t="n">
        <v>1</v>
      </c>
      <c r="AK411" t="n">
        <v>1</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HYPERLINK("https://creighton-primo.hosted.exlibrisgroup.com/primo-explore/search?tab=default_tab&amp;search_scope=EVERYTHING&amp;vid=01CRU&amp;lang=en_US&amp;offset=0&amp;query=any,contains,991000116519702656","Catalog Record")</f>
        <v/>
      </c>
      <c r="AT411">
        <f>HYPERLINK("http://www.worldcat.org/oclc/9042200","WorldCat Record")</f>
        <v/>
      </c>
      <c r="AU411" t="inlineStr">
        <is>
          <t>3944370049:eng</t>
        </is>
      </c>
      <c r="AV411" t="inlineStr">
        <is>
          <t>9042200</t>
        </is>
      </c>
      <c r="AW411" t="inlineStr">
        <is>
          <t>991000116519702656</t>
        </is>
      </c>
      <c r="AX411" t="inlineStr">
        <is>
          <t>991000116519702656</t>
        </is>
      </c>
      <c r="AY411" t="inlineStr">
        <is>
          <t>2265359650002656</t>
        </is>
      </c>
      <c r="AZ411" t="inlineStr">
        <is>
          <t>BOOK</t>
        </is>
      </c>
      <c r="BB411" t="inlineStr">
        <is>
          <t>9780571180264</t>
        </is>
      </c>
      <c r="BC411" t="inlineStr">
        <is>
          <t>32285001433795</t>
        </is>
      </c>
      <c r="BD411" t="inlineStr">
        <is>
          <t>893224746</t>
        </is>
      </c>
    </row>
    <row r="412">
      <c r="A412" t="inlineStr">
        <is>
          <t>No</t>
        </is>
      </c>
      <c r="B412" t="inlineStr">
        <is>
          <t>QB661 .R64 1995</t>
        </is>
      </c>
      <c r="C412" t="inlineStr">
        <is>
          <t>0                      QB 0661000R  64          1995</t>
        </is>
      </c>
      <c r="D412" t="inlineStr">
        <is>
          <t>The giant planet Jupiter / John H. Rogers.</t>
        </is>
      </c>
      <c r="F412" t="inlineStr">
        <is>
          <t>No</t>
        </is>
      </c>
      <c r="G412" t="inlineStr">
        <is>
          <t>1</t>
        </is>
      </c>
      <c r="H412" t="inlineStr">
        <is>
          <t>No</t>
        </is>
      </c>
      <c r="I412" t="inlineStr">
        <is>
          <t>No</t>
        </is>
      </c>
      <c r="J412" t="inlineStr">
        <is>
          <t>0</t>
        </is>
      </c>
      <c r="K412" t="inlineStr">
        <is>
          <t>Rogers, John H. (John Hubert), 1952-</t>
        </is>
      </c>
      <c r="L412" t="inlineStr">
        <is>
          <t>Cambridge ; New York, NY, USA : Cambridge University Press, 1995.</t>
        </is>
      </c>
      <c r="M412" t="inlineStr">
        <is>
          <t>1995</t>
        </is>
      </c>
      <c r="O412" t="inlineStr">
        <is>
          <t>eng</t>
        </is>
      </c>
      <c r="P412" t="inlineStr">
        <is>
          <t>enk</t>
        </is>
      </c>
      <c r="Q412" t="inlineStr">
        <is>
          <t>Practical astronomy handbook series ; 6</t>
        </is>
      </c>
      <c r="R412" t="inlineStr">
        <is>
          <t xml:space="preserve">QB </t>
        </is>
      </c>
      <c r="S412" t="n">
        <v>2</v>
      </c>
      <c r="T412" t="n">
        <v>2</v>
      </c>
      <c r="U412" t="inlineStr">
        <is>
          <t>2000-02-27</t>
        </is>
      </c>
      <c r="V412" t="inlineStr">
        <is>
          <t>2000-02-27</t>
        </is>
      </c>
      <c r="W412" t="inlineStr">
        <is>
          <t>1996-07-10</t>
        </is>
      </c>
      <c r="X412" t="inlineStr">
        <is>
          <t>1996-07-10</t>
        </is>
      </c>
      <c r="Y412" t="n">
        <v>368</v>
      </c>
      <c r="Z412" t="n">
        <v>297</v>
      </c>
      <c r="AA412" t="n">
        <v>307</v>
      </c>
      <c r="AB412" t="n">
        <v>2</v>
      </c>
      <c r="AC412" t="n">
        <v>2</v>
      </c>
      <c r="AD412" t="n">
        <v>10</v>
      </c>
      <c r="AE412" t="n">
        <v>10</v>
      </c>
      <c r="AF412" t="n">
        <v>3</v>
      </c>
      <c r="AG412" t="n">
        <v>3</v>
      </c>
      <c r="AH412" t="n">
        <v>3</v>
      </c>
      <c r="AI412" t="n">
        <v>3</v>
      </c>
      <c r="AJ412" t="n">
        <v>5</v>
      </c>
      <c r="AK412" t="n">
        <v>5</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HYPERLINK("https://creighton-primo.hosted.exlibrisgroup.com/primo-explore/search?tab=default_tab&amp;search_scope=EVERYTHING&amp;vid=01CRU&amp;lang=en_US&amp;offset=0&amp;query=any,contains,991002332739702656","Catalog Record")</f>
        <v/>
      </c>
      <c r="AT412">
        <f>HYPERLINK("http://www.worldcat.org/oclc/30357355","WorldCat Record")</f>
        <v/>
      </c>
      <c r="AU412" t="inlineStr">
        <is>
          <t>32049292:eng</t>
        </is>
      </c>
      <c r="AV412" t="inlineStr">
        <is>
          <t>30357355</t>
        </is>
      </c>
      <c r="AW412" t="inlineStr">
        <is>
          <t>991002332739702656</t>
        </is>
      </c>
      <c r="AX412" t="inlineStr">
        <is>
          <t>991002332739702656</t>
        </is>
      </c>
      <c r="AY412" t="inlineStr">
        <is>
          <t>2254830750002656</t>
        </is>
      </c>
      <c r="AZ412" t="inlineStr">
        <is>
          <t>BOOK</t>
        </is>
      </c>
      <c r="BB412" t="inlineStr">
        <is>
          <t>9780521410083</t>
        </is>
      </c>
      <c r="BC412" t="inlineStr">
        <is>
          <t>32285002211331</t>
        </is>
      </c>
      <c r="BD412" t="inlineStr">
        <is>
          <t>893517175</t>
        </is>
      </c>
    </row>
    <row r="413">
      <c r="A413" t="inlineStr">
        <is>
          <t>No</t>
        </is>
      </c>
      <c r="B413" t="inlineStr">
        <is>
          <t>QB661 .W37 1983</t>
        </is>
      </c>
      <c r="C413" t="inlineStr">
        <is>
          <t>0                      QB 0661000W  37          1983</t>
        </is>
      </c>
      <c r="D413" t="inlineStr">
        <is>
          <t>Distant encounters : the exploration of Jupiter and Saturn / Mark Washburn ; illustrations by Susan Stillman.</t>
        </is>
      </c>
      <c r="F413" t="inlineStr">
        <is>
          <t>No</t>
        </is>
      </c>
      <c r="G413" t="inlineStr">
        <is>
          <t>1</t>
        </is>
      </c>
      <c r="H413" t="inlineStr">
        <is>
          <t>No</t>
        </is>
      </c>
      <c r="I413" t="inlineStr">
        <is>
          <t>No</t>
        </is>
      </c>
      <c r="J413" t="inlineStr">
        <is>
          <t>0</t>
        </is>
      </c>
      <c r="K413" t="inlineStr">
        <is>
          <t>Washburn, Mark.</t>
        </is>
      </c>
      <c r="L413" t="inlineStr">
        <is>
          <t>San Diego : Harcourt Brace Jovanovich, c1983.</t>
        </is>
      </c>
      <c r="M413" t="inlineStr">
        <is>
          <t>1983</t>
        </is>
      </c>
      <c r="N413" t="inlineStr">
        <is>
          <t>1st ed.</t>
        </is>
      </c>
      <c r="O413" t="inlineStr">
        <is>
          <t>eng</t>
        </is>
      </c>
      <c r="P413" t="inlineStr">
        <is>
          <t>cau</t>
        </is>
      </c>
      <c r="R413" t="inlineStr">
        <is>
          <t xml:space="preserve">QB </t>
        </is>
      </c>
      <c r="S413" t="n">
        <v>3</v>
      </c>
      <c r="T413" t="n">
        <v>3</v>
      </c>
      <c r="U413" t="inlineStr">
        <is>
          <t>1995-03-10</t>
        </is>
      </c>
      <c r="V413" t="inlineStr">
        <is>
          <t>1995-03-10</t>
        </is>
      </c>
      <c r="W413" t="inlineStr">
        <is>
          <t>1990-03-29</t>
        </is>
      </c>
      <c r="X413" t="inlineStr">
        <is>
          <t>1990-03-29</t>
        </is>
      </c>
      <c r="Y413" t="n">
        <v>475</v>
      </c>
      <c r="Z413" t="n">
        <v>452</v>
      </c>
      <c r="AA413" t="n">
        <v>458</v>
      </c>
      <c r="AB413" t="n">
        <v>3</v>
      </c>
      <c r="AC413" t="n">
        <v>3</v>
      </c>
      <c r="AD413" t="n">
        <v>5</v>
      </c>
      <c r="AE413" t="n">
        <v>5</v>
      </c>
      <c r="AF413" t="n">
        <v>2</v>
      </c>
      <c r="AG413" t="n">
        <v>2</v>
      </c>
      <c r="AH413" t="n">
        <v>2</v>
      </c>
      <c r="AI413" t="n">
        <v>2</v>
      </c>
      <c r="AJ413" t="n">
        <v>1</v>
      </c>
      <c r="AK413" t="n">
        <v>1</v>
      </c>
      <c r="AL413" t="n">
        <v>1</v>
      </c>
      <c r="AM413" t="n">
        <v>1</v>
      </c>
      <c r="AN413" t="n">
        <v>0</v>
      </c>
      <c r="AO413" t="n">
        <v>0</v>
      </c>
      <c r="AP413" t="inlineStr">
        <is>
          <t>No</t>
        </is>
      </c>
      <c r="AQ413" t="inlineStr">
        <is>
          <t>Yes</t>
        </is>
      </c>
      <c r="AR413">
        <f>HYPERLINK("http://catalog.hathitrust.org/Record/000238993","HathiTrust Record")</f>
        <v/>
      </c>
      <c r="AS413">
        <f>HYPERLINK("https://creighton-primo.hosted.exlibrisgroup.com/primo-explore/search?tab=default_tab&amp;search_scope=EVERYTHING&amp;vid=01CRU&amp;lang=en_US&amp;offset=0&amp;query=any,contains,991000075489702656","Catalog Record")</f>
        <v/>
      </c>
      <c r="AT413">
        <f>HYPERLINK("http://www.worldcat.org/oclc/8805771","WorldCat Record")</f>
        <v/>
      </c>
      <c r="AU413" t="inlineStr">
        <is>
          <t>414000:eng</t>
        </is>
      </c>
      <c r="AV413" t="inlineStr">
        <is>
          <t>8805771</t>
        </is>
      </c>
      <c r="AW413" t="inlineStr">
        <is>
          <t>991000075489702656</t>
        </is>
      </c>
      <c r="AX413" t="inlineStr">
        <is>
          <t>991000075489702656</t>
        </is>
      </c>
      <c r="AY413" t="inlineStr">
        <is>
          <t>2270533540002656</t>
        </is>
      </c>
      <c r="AZ413" t="inlineStr">
        <is>
          <t>BOOK</t>
        </is>
      </c>
      <c r="BB413" t="inlineStr">
        <is>
          <t>9780156261081</t>
        </is>
      </c>
      <c r="BC413" t="inlineStr">
        <is>
          <t>32285000107507</t>
        </is>
      </c>
      <c r="BD413" t="inlineStr">
        <is>
          <t>893406905</t>
        </is>
      </c>
    </row>
    <row r="414">
      <c r="A414" t="inlineStr">
        <is>
          <t>No</t>
        </is>
      </c>
      <c r="B414" t="inlineStr">
        <is>
          <t>QB661 .W75 2004</t>
        </is>
      </c>
      <c r="C414" t="inlineStr">
        <is>
          <t>0                      QB 0661000W  75          2004</t>
        </is>
      </c>
      <c r="D414" t="inlineStr">
        <is>
          <t>The depths of space : the story of the Pioneer planetary probes / Mark Wolverton.</t>
        </is>
      </c>
      <c r="F414" t="inlineStr">
        <is>
          <t>No</t>
        </is>
      </c>
      <c r="G414" t="inlineStr">
        <is>
          <t>1</t>
        </is>
      </c>
      <c r="H414" t="inlineStr">
        <is>
          <t>No</t>
        </is>
      </c>
      <c r="I414" t="inlineStr">
        <is>
          <t>No</t>
        </is>
      </c>
      <c r="J414" t="inlineStr">
        <is>
          <t>0</t>
        </is>
      </c>
      <c r="K414" t="inlineStr">
        <is>
          <t>Wolverton, Mark.</t>
        </is>
      </c>
      <c r="L414" t="inlineStr">
        <is>
          <t>Washington, D.C. : Joseph Henry Press, c2004.</t>
        </is>
      </c>
      <c r="M414" t="inlineStr">
        <is>
          <t>2004</t>
        </is>
      </c>
      <c r="O414" t="inlineStr">
        <is>
          <t>eng</t>
        </is>
      </c>
      <c r="P414" t="inlineStr">
        <is>
          <t>dcu</t>
        </is>
      </c>
      <c r="R414" t="inlineStr">
        <is>
          <t xml:space="preserve">QB </t>
        </is>
      </c>
      <c r="S414" t="n">
        <v>1</v>
      </c>
      <c r="T414" t="n">
        <v>1</v>
      </c>
      <c r="U414" t="inlineStr">
        <is>
          <t>2004-07-13</t>
        </is>
      </c>
      <c r="V414" t="inlineStr">
        <is>
          <t>2004-07-13</t>
        </is>
      </c>
      <c r="W414" t="inlineStr">
        <is>
          <t>2004-07-13</t>
        </is>
      </c>
      <c r="X414" t="inlineStr">
        <is>
          <t>2004-07-13</t>
        </is>
      </c>
      <c r="Y414" t="n">
        <v>458</v>
      </c>
      <c r="Z414" t="n">
        <v>430</v>
      </c>
      <c r="AA414" t="n">
        <v>496</v>
      </c>
      <c r="AB414" t="n">
        <v>6</v>
      </c>
      <c r="AC414" t="n">
        <v>6</v>
      </c>
      <c r="AD414" t="n">
        <v>12</v>
      </c>
      <c r="AE414" t="n">
        <v>13</v>
      </c>
      <c r="AF414" t="n">
        <v>4</v>
      </c>
      <c r="AG414" t="n">
        <v>5</v>
      </c>
      <c r="AH414" t="n">
        <v>3</v>
      </c>
      <c r="AI414" t="n">
        <v>3</v>
      </c>
      <c r="AJ414" t="n">
        <v>4</v>
      </c>
      <c r="AK414" t="n">
        <v>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HYPERLINK("https://creighton-primo.hosted.exlibrisgroup.com/primo-explore/search?tab=default_tab&amp;search_scope=EVERYTHING&amp;vid=01CRU&amp;lang=en_US&amp;offset=0&amp;query=any,contains,991004316249702656","Catalog Record")</f>
        <v/>
      </c>
      <c r="AT414">
        <f>HYPERLINK("http://www.worldcat.org/oclc/54694487","WorldCat Record")</f>
        <v/>
      </c>
      <c r="AU414" t="inlineStr">
        <is>
          <t>793921146:eng</t>
        </is>
      </c>
      <c r="AV414" t="inlineStr">
        <is>
          <t>54694487</t>
        </is>
      </c>
      <c r="AW414" t="inlineStr">
        <is>
          <t>991004316249702656</t>
        </is>
      </c>
      <c r="AX414" t="inlineStr">
        <is>
          <t>991004316249702656</t>
        </is>
      </c>
      <c r="AY414" t="inlineStr">
        <is>
          <t>2260249630002656</t>
        </is>
      </c>
      <c r="AZ414" t="inlineStr">
        <is>
          <t>BOOK</t>
        </is>
      </c>
      <c r="BB414" t="inlineStr">
        <is>
          <t>9780309090506</t>
        </is>
      </c>
      <c r="BC414" t="inlineStr">
        <is>
          <t>32285004922745</t>
        </is>
      </c>
      <c r="BD414" t="inlineStr">
        <is>
          <t>893901101</t>
        </is>
      </c>
    </row>
    <row r="415">
      <c r="A415" t="inlineStr">
        <is>
          <t>No</t>
        </is>
      </c>
      <c r="B415" t="inlineStr">
        <is>
          <t>QB671 .C66 1985</t>
        </is>
      </c>
      <c r="C415" t="inlineStr">
        <is>
          <t>0                      QB 0671000C  66          1985</t>
        </is>
      </c>
      <c r="D415" t="inlineStr">
        <is>
          <t>Imaging Saturn : the Voyager flights to Saturn / Henry S.F. Cooper, Jr.</t>
        </is>
      </c>
      <c r="F415" t="inlineStr">
        <is>
          <t>No</t>
        </is>
      </c>
      <c r="G415" t="inlineStr">
        <is>
          <t>1</t>
        </is>
      </c>
      <c r="H415" t="inlineStr">
        <is>
          <t>No</t>
        </is>
      </c>
      <c r="I415" t="inlineStr">
        <is>
          <t>No</t>
        </is>
      </c>
      <c r="J415" t="inlineStr">
        <is>
          <t>0</t>
        </is>
      </c>
      <c r="K415" t="inlineStr">
        <is>
          <t>Cooper, Henry S. F., Jr. (Henry Spotswood Fenimore), 1933-2016.</t>
        </is>
      </c>
      <c r="L415" t="inlineStr">
        <is>
          <t>New York : Holt, Rinehart and Winston, 1985, c1982.</t>
        </is>
      </c>
      <c r="M415" t="inlineStr">
        <is>
          <t>1985</t>
        </is>
      </c>
      <c r="N415" t="inlineStr">
        <is>
          <t>1st Owl Book ed.</t>
        </is>
      </c>
      <c r="O415" t="inlineStr">
        <is>
          <t>eng</t>
        </is>
      </c>
      <c r="P415" t="inlineStr">
        <is>
          <t>nyu</t>
        </is>
      </c>
      <c r="R415" t="inlineStr">
        <is>
          <t xml:space="preserve">QB </t>
        </is>
      </c>
      <c r="S415" t="n">
        <v>11</v>
      </c>
      <c r="T415" t="n">
        <v>11</v>
      </c>
      <c r="U415" t="inlineStr">
        <is>
          <t>1999-11-10</t>
        </is>
      </c>
      <c r="V415" t="inlineStr">
        <is>
          <t>1999-11-10</t>
        </is>
      </c>
      <c r="W415" t="inlineStr">
        <is>
          <t>1992-03-01</t>
        </is>
      </c>
      <c r="X415" t="inlineStr">
        <is>
          <t>1992-03-01</t>
        </is>
      </c>
      <c r="Y415" t="n">
        <v>31</v>
      </c>
      <c r="Z415" t="n">
        <v>30</v>
      </c>
      <c r="AA415" t="n">
        <v>683</v>
      </c>
      <c r="AB415" t="n">
        <v>1</v>
      </c>
      <c r="AC415" t="n">
        <v>1</v>
      </c>
      <c r="AD415" t="n">
        <v>0</v>
      </c>
      <c r="AE415" t="n">
        <v>12</v>
      </c>
      <c r="AF415" t="n">
        <v>0</v>
      </c>
      <c r="AG415" t="n">
        <v>4</v>
      </c>
      <c r="AH415" t="n">
        <v>0</v>
      </c>
      <c r="AI415" t="n">
        <v>4</v>
      </c>
      <c r="AJ415" t="n">
        <v>0</v>
      </c>
      <c r="AK415" t="n">
        <v>7</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HYPERLINK("https://creighton-primo.hosted.exlibrisgroup.com/primo-explore/search?tab=default_tab&amp;search_scope=EVERYTHING&amp;vid=01CRU&amp;lang=en_US&amp;offset=0&amp;query=any,contains,991000782199702656","Catalog Record")</f>
        <v/>
      </c>
      <c r="AT415">
        <f>HYPERLINK("http://www.worldcat.org/oclc/13104993","WorldCat Record")</f>
        <v/>
      </c>
      <c r="AU415" t="inlineStr">
        <is>
          <t>5464903:eng</t>
        </is>
      </c>
      <c r="AV415" t="inlineStr">
        <is>
          <t>13104993</t>
        </is>
      </c>
      <c r="AW415" t="inlineStr">
        <is>
          <t>991000782199702656</t>
        </is>
      </c>
      <c r="AX415" t="inlineStr">
        <is>
          <t>991000782199702656</t>
        </is>
      </c>
      <c r="AY415" t="inlineStr">
        <is>
          <t>2260129750002656</t>
        </is>
      </c>
      <c r="AZ415" t="inlineStr">
        <is>
          <t>BOOK</t>
        </is>
      </c>
      <c r="BB415" t="inlineStr">
        <is>
          <t>9780030056147</t>
        </is>
      </c>
      <c r="BC415" t="inlineStr">
        <is>
          <t>32285000979673</t>
        </is>
      </c>
      <c r="BD415" t="inlineStr">
        <is>
          <t>893444455</t>
        </is>
      </c>
    </row>
    <row r="416">
      <c r="A416" t="inlineStr">
        <is>
          <t>No</t>
        </is>
      </c>
      <c r="B416" t="inlineStr">
        <is>
          <t>QB681 .H86 1989</t>
        </is>
      </c>
      <c r="C416" t="inlineStr">
        <is>
          <t>0                      QB 0681000H  86          1989</t>
        </is>
      </c>
      <c r="D416" t="inlineStr">
        <is>
          <t>Atlas of Uranus / Garry Hunt and Patrick Moore.</t>
        </is>
      </c>
      <c r="F416" t="inlineStr">
        <is>
          <t>No</t>
        </is>
      </c>
      <c r="G416" t="inlineStr">
        <is>
          <t>1</t>
        </is>
      </c>
      <c r="H416" t="inlineStr">
        <is>
          <t>No</t>
        </is>
      </c>
      <c r="I416" t="inlineStr">
        <is>
          <t>No</t>
        </is>
      </c>
      <c r="J416" t="inlineStr">
        <is>
          <t>0</t>
        </is>
      </c>
      <c r="K416" t="inlineStr">
        <is>
          <t>Hunt, Garry E.</t>
        </is>
      </c>
      <c r="L416" t="inlineStr">
        <is>
          <t>Cambridge, Cambridgeshire ; New York : Cambridge University Press, 1989.</t>
        </is>
      </c>
      <c r="M416" t="inlineStr">
        <is>
          <t>1989</t>
        </is>
      </c>
      <c r="O416" t="inlineStr">
        <is>
          <t>eng</t>
        </is>
      </c>
      <c r="P416" t="inlineStr">
        <is>
          <t>enk</t>
        </is>
      </c>
      <c r="R416" t="inlineStr">
        <is>
          <t xml:space="preserve">QB </t>
        </is>
      </c>
      <c r="S416" t="n">
        <v>4</v>
      </c>
      <c r="T416" t="n">
        <v>4</v>
      </c>
      <c r="U416" t="inlineStr">
        <is>
          <t>1996-11-10</t>
        </is>
      </c>
      <c r="V416" t="inlineStr">
        <is>
          <t>1996-11-10</t>
        </is>
      </c>
      <c r="W416" t="inlineStr">
        <is>
          <t>1992-11-23</t>
        </is>
      </c>
      <c r="X416" t="inlineStr">
        <is>
          <t>1992-11-23</t>
        </is>
      </c>
      <c r="Y416" t="n">
        <v>599</v>
      </c>
      <c r="Z416" t="n">
        <v>518</v>
      </c>
      <c r="AA416" t="n">
        <v>535</v>
      </c>
      <c r="AB416" t="n">
        <v>3</v>
      </c>
      <c r="AC416" t="n">
        <v>3</v>
      </c>
      <c r="AD416" t="n">
        <v>11</v>
      </c>
      <c r="AE416" t="n">
        <v>12</v>
      </c>
      <c r="AF416" t="n">
        <v>2</v>
      </c>
      <c r="AG416" t="n">
        <v>3</v>
      </c>
      <c r="AH416" t="n">
        <v>1</v>
      </c>
      <c r="AI416" t="n">
        <v>1</v>
      </c>
      <c r="AJ416" t="n">
        <v>7</v>
      </c>
      <c r="AK416" t="n">
        <v>8</v>
      </c>
      <c r="AL416" t="n">
        <v>2</v>
      </c>
      <c r="AM416" t="n">
        <v>2</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HYPERLINK("https://creighton-primo.hosted.exlibrisgroup.com/primo-explore/search?tab=default_tab&amp;search_scope=EVERYTHING&amp;vid=01CRU&amp;lang=en_US&amp;offset=0&amp;query=any,contains,991001040249702656","Catalog Record")</f>
        <v/>
      </c>
      <c r="AT416">
        <f>HYPERLINK("http://www.worldcat.org/oclc/15588685","WorldCat Record")</f>
        <v/>
      </c>
      <c r="AU416" t="inlineStr">
        <is>
          <t>10552327:eng</t>
        </is>
      </c>
      <c r="AV416" t="inlineStr">
        <is>
          <t>15588685</t>
        </is>
      </c>
      <c r="AW416" t="inlineStr">
        <is>
          <t>991001040249702656</t>
        </is>
      </c>
      <c r="AX416" t="inlineStr">
        <is>
          <t>991001040249702656</t>
        </is>
      </c>
      <c r="AY416" t="inlineStr">
        <is>
          <t>2270182490002656</t>
        </is>
      </c>
      <c r="AZ416" t="inlineStr">
        <is>
          <t>BOOK</t>
        </is>
      </c>
      <c r="BB416" t="inlineStr">
        <is>
          <t>9780521343237</t>
        </is>
      </c>
      <c r="BC416" t="inlineStr">
        <is>
          <t>32285001433811</t>
        </is>
      </c>
      <c r="BD416" t="inlineStr">
        <is>
          <t>893897450</t>
        </is>
      </c>
    </row>
    <row r="417">
      <c r="A417" t="inlineStr">
        <is>
          <t>No</t>
        </is>
      </c>
      <c r="B417" t="inlineStr">
        <is>
          <t>QB681 .L58 1988</t>
        </is>
      </c>
      <c r="C417" t="inlineStr">
        <is>
          <t>0                      QB 0681000L  58          1988</t>
        </is>
      </c>
      <c r="D417" t="inlineStr">
        <is>
          <t>Planets beyond : discovering the outer solar system / Mark Littmann.</t>
        </is>
      </c>
      <c r="F417" t="inlineStr">
        <is>
          <t>No</t>
        </is>
      </c>
      <c r="G417" t="inlineStr">
        <is>
          <t>1</t>
        </is>
      </c>
      <c r="H417" t="inlineStr">
        <is>
          <t>No</t>
        </is>
      </c>
      <c r="I417" t="inlineStr">
        <is>
          <t>No</t>
        </is>
      </c>
      <c r="J417" t="inlineStr">
        <is>
          <t>0</t>
        </is>
      </c>
      <c r="K417" t="inlineStr">
        <is>
          <t>Littmann, Mark, 1939-</t>
        </is>
      </c>
      <c r="L417" t="inlineStr">
        <is>
          <t>New York : Wiley, c1988.</t>
        </is>
      </c>
      <c r="M417" t="inlineStr">
        <is>
          <t>1988</t>
        </is>
      </c>
      <c r="O417" t="inlineStr">
        <is>
          <t>eng</t>
        </is>
      </c>
      <c r="P417" t="inlineStr">
        <is>
          <t>nyu</t>
        </is>
      </c>
      <c r="Q417" t="inlineStr">
        <is>
          <t>Wiley science editions</t>
        </is>
      </c>
      <c r="R417" t="inlineStr">
        <is>
          <t xml:space="preserve">QB </t>
        </is>
      </c>
      <c r="S417" t="n">
        <v>11</v>
      </c>
      <c r="T417" t="n">
        <v>11</v>
      </c>
      <c r="U417" t="inlineStr">
        <is>
          <t>2010-06-08</t>
        </is>
      </c>
      <c r="V417" t="inlineStr">
        <is>
          <t>2010-06-08</t>
        </is>
      </c>
      <c r="W417" t="inlineStr">
        <is>
          <t>1990-06-04</t>
        </is>
      </c>
      <c r="X417" t="inlineStr">
        <is>
          <t>1990-06-04</t>
        </is>
      </c>
      <c r="Y417" t="n">
        <v>661</v>
      </c>
      <c r="Z417" t="n">
        <v>586</v>
      </c>
      <c r="AA417" t="n">
        <v>692</v>
      </c>
      <c r="AB417" t="n">
        <v>5</v>
      </c>
      <c r="AC417" t="n">
        <v>6</v>
      </c>
      <c r="AD417" t="n">
        <v>12</v>
      </c>
      <c r="AE417" t="n">
        <v>15</v>
      </c>
      <c r="AF417" t="n">
        <v>4</v>
      </c>
      <c r="AG417" t="n">
        <v>5</v>
      </c>
      <c r="AH417" t="n">
        <v>2</v>
      </c>
      <c r="AI417" t="n">
        <v>3</v>
      </c>
      <c r="AJ417" t="n">
        <v>6</v>
      </c>
      <c r="AK417" t="n">
        <v>7</v>
      </c>
      <c r="AL417" t="n">
        <v>4</v>
      </c>
      <c r="AM417" t="n">
        <v>4</v>
      </c>
      <c r="AN417" t="n">
        <v>0</v>
      </c>
      <c r="AO417" t="n">
        <v>0</v>
      </c>
      <c r="AP417" t="inlineStr">
        <is>
          <t>No</t>
        </is>
      </c>
      <c r="AQ417" t="inlineStr">
        <is>
          <t>Yes</t>
        </is>
      </c>
      <c r="AR417">
        <f>HYPERLINK("http://catalog.hathitrust.org/Record/001083020","HathiTrust Record")</f>
        <v/>
      </c>
      <c r="AS417">
        <f>HYPERLINK("https://creighton-primo.hosted.exlibrisgroup.com/primo-explore/search?tab=default_tab&amp;search_scope=EVERYTHING&amp;vid=01CRU&amp;lang=en_US&amp;offset=0&amp;query=any,contains,991001308589702656","Catalog Record")</f>
        <v/>
      </c>
      <c r="AT417">
        <f>HYPERLINK("http://www.worldcat.org/oclc/18134941","WorldCat Record")</f>
        <v/>
      </c>
      <c r="AU417" t="inlineStr">
        <is>
          <t>795495285:eng</t>
        </is>
      </c>
      <c r="AV417" t="inlineStr">
        <is>
          <t>18134941</t>
        </is>
      </c>
      <c r="AW417" t="inlineStr">
        <is>
          <t>991001308589702656</t>
        </is>
      </c>
      <c r="AX417" t="inlineStr">
        <is>
          <t>991001308589702656</t>
        </is>
      </c>
      <c r="AY417" t="inlineStr">
        <is>
          <t>2259882110002656</t>
        </is>
      </c>
      <c r="AZ417" t="inlineStr">
        <is>
          <t>BOOK</t>
        </is>
      </c>
      <c r="BB417" t="inlineStr">
        <is>
          <t>9780471611288</t>
        </is>
      </c>
      <c r="BC417" t="inlineStr">
        <is>
          <t>32285000156769</t>
        </is>
      </c>
      <c r="BD417" t="inlineStr">
        <is>
          <t>893621251</t>
        </is>
      </c>
    </row>
    <row r="418">
      <c r="A418" t="inlineStr">
        <is>
          <t>No</t>
        </is>
      </c>
      <c r="B418" t="inlineStr">
        <is>
          <t>QB691 .B87 1991</t>
        </is>
      </c>
      <c r="C418" t="inlineStr">
        <is>
          <t>0                      QB 0691000B  87          1991</t>
        </is>
      </c>
      <c r="D418" t="inlineStr">
        <is>
          <t>Far encounter : the Neptune system / Eric Burgess.</t>
        </is>
      </c>
      <c r="F418" t="inlineStr">
        <is>
          <t>No</t>
        </is>
      </c>
      <c r="G418" t="inlineStr">
        <is>
          <t>1</t>
        </is>
      </c>
      <c r="H418" t="inlineStr">
        <is>
          <t>No</t>
        </is>
      </c>
      <c r="I418" t="inlineStr">
        <is>
          <t>No</t>
        </is>
      </c>
      <c r="J418" t="inlineStr">
        <is>
          <t>0</t>
        </is>
      </c>
      <c r="K418" t="inlineStr">
        <is>
          <t>Burgess, Eric.</t>
        </is>
      </c>
      <c r="L418" t="inlineStr">
        <is>
          <t>New York : Columbia University Press, c1991.</t>
        </is>
      </c>
      <c r="M418" t="inlineStr">
        <is>
          <t>1991</t>
        </is>
      </c>
      <c r="O418" t="inlineStr">
        <is>
          <t>eng</t>
        </is>
      </c>
      <c r="P418" t="inlineStr">
        <is>
          <t>nyu</t>
        </is>
      </c>
      <c r="R418" t="inlineStr">
        <is>
          <t xml:space="preserve">QB </t>
        </is>
      </c>
      <c r="S418" t="n">
        <v>11</v>
      </c>
      <c r="T418" t="n">
        <v>11</v>
      </c>
      <c r="U418" t="inlineStr">
        <is>
          <t>1999-11-10</t>
        </is>
      </c>
      <c r="V418" t="inlineStr">
        <is>
          <t>1999-11-10</t>
        </is>
      </c>
      <c r="W418" t="inlineStr">
        <is>
          <t>1992-11-17</t>
        </is>
      </c>
      <c r="X418" t="inlineStr">
        <is>
          <t>1992-11-17</t>
        </is>
      </c>
      <c r="Y418" t="n">
        <v>562</v>
      </c>
      <c r="Z418" t="n">
        <v>503</v>
      </c>
      <c r="AA418" t="n">
        <v>509</v>
      </c>
      <c r="AB418" t="n">
        <v>3</v>
      </c>
      <c r="AC418" t="n">
        <v>3</v>
      </c>
      <c r="AD418" t="n">
        <v>17</v>
      </c>
      <c r="AE418" t="n">
        <v>17</v>
      </c>
      <c r="AF418" t="n">
        <v>7</v>
      </c>
      <c r="AG418" t="n">
        <v>7</v>
      </c>
      <c r="AH418" t="n">
        <v>4</v>
      </c>
      <c r="AI418" t="n">
        <v>4</v>
      </c>
      <c r="AJ418" t="n">
        <v>9</v>
      </c>
      <c r="AK418" t="n">
        <v>9</v>
      </c>
      <c r="AL418" t="n">
        <v>2</v>
      </c>
      <c r="AM418" t="n">
        <v>2</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HYPERLINK("https://creighton-primo.hosted.exlibrisgroup.com/primo-explore/search?tab=default_tab&amp;search_scope=EVERYTHING&amp;vid=01CRU&amp;lang=en_US&amp;offset=0&amp;query=any,contains,991001886209702656","Catalog Record")</f>
        <v/>
      </c>
      <c r="AT418">
        <f>HYPERLINK("http://www.worldcat.org/oclc/23767264","WorldCat Record")</f>
        <v/>
      </c>
      <c r="AU418" t="inlineStr">
        <is>
          <t>365549983:eng</t>
        </is>
      </c>
      <c r="AV418" t="inlineStr">
        <is>
          <t>23767264</t>
        </is>
      </c>
      <c r="AW418" t="inlineStr">
        <is>
          <t>991001886209702656</t>
        </is>
      </c>
      <c r="AX418" t="inlineStr">
        <is>
          <t>991001886209702656</t>
        </is>
      </c>
      <c r="AY418" t="inlineStr">
        <is>
          <t>2269177900002656</t>
        </is>
      </c>
      <c r="AZ418" t="inlineStr">
        <is>
          <t>BOOK</t>
        </is>
      </c>
      <c r="BB418" t="inlineStr">
        <is>
          <t>9780231074124</t>
        </is>
      </c>
      <c r="BC418" t="inlineStr">
        <is>
          <t>32285001362879</t>
        </is>
      </c>
      <c r="BD418" t="inlineStr">
        <is>
          <t>893697110</t>
        </is>
      </c>
    </row>
    <row r="419">
      <c r="A419" t="inlineStr">
        <is>
          <t>No</t>
        </is>
      </c>
      <c r="B419" t="inlineStr">
        <is>
          <t>QB691 .G7</t>
        </is>
      </c>
      <c r="C419" t="inlineStr">
        <is>
          <t>0                      QB 0691000G  7</t>
        </is>
      </c>
      <c r="D419" t="inlineStr">
        <is>
          <t>The discovery of Neptune.</t>
        </is>
      </c>
      <c r="F419" t="inlineStr">
        <is>
          <t>No</t>
        </is>
      </c>
      <c r="G419" t="inlineStr">
        <is>
          <t>1</t>
        </is>
      </c>
      <c r="H419" t="inlineStr">
        <is>
          <t>No</t>
        </is>
      </c>
      <c r="I419" t="inlineStr">
        <is>
          <t>No</t>
        </is>
      </c>
      <c r="J419" t="inlineStr">
        <is>
          <t>0</t>
        </is>
      </c>
      <c r="K419" t="inlineStr">
        <is>
          <t>Grosser, Morton.</t>
        </is>
      </c>
      <c r="L419" t="inlineStr">
        <is>
          <t>Cambridge, Harvard University Press, 1962.</t>
        </is>
      </c>
      <c r="M419" t="inlineStr">
        <is>
          <t>1962</t>
        </is>
      </c>
      <c r="O419" t="inlineStr">
        <is>
          <t>eng</t>
        </is>
      </c>
      <c r="P419" t="inlineStr">
        <is>
          <t>mau</t>
        </is>
      </c>
      <c r="R419" t="inlineStr">
        <is>
          <t xml:space="preserve">QB </t>
        </is>
      </c>
      <c r="S419" t="n">
        <v>2</v>
      </c>
      <c r="T419" t="n">
        <v>2</v>
      </c>
      <c r="U419" t="inlineStr">
        <is>
          <t>2001-05-08</t>
        </is>
      </c>
      <c r="V419" t="inlineStr">
        <is>
          <t>2001-05-08</t>
        </is>
      </c>
      <c r="W419" t="inlineStr">
        <is>
          <t>1997-05-05</t>
        </is>
      </c>
      <c r="X419" t="inlineStr">
        <is>
          <t>1997-05-05</t>
        </is>
      </c>
      <c r="Y419" t="n">
        <v>565</v>
      </c>
      <c r="Z419" t="n">
        <v>476</v>
      </c>
      <c r="AA419" t="n">
        <v>607</v>
      </c>
      <c r="AB419" t="n">
        <v>2</v>
      </c>
      <c r="AC419" t="n">
        <v>2</v>
      </c>
      <c r="AD419" t="n">
        <v>13</v>
      </c>
      <c r="AE419" t="n">
        <v>16</v>
      </c>
      <c r="AF419" t="n">
        <v>5</v>
      </c>
      <c r="AG419" t="n">
        <v>7</v>
      </c>
      <c r="AH419" t="n">
        <v>4</v>
      </c>
      <c r="AI419" t="n">
        <v>6</v>
      </c>
      <c r="AJ419" t="n">
        <v>5</v>
      </c>
      <c r="AK419" t="n">
        <v>6</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HYPERLINK("https://creighton-primo.hosted.exlibrisgroup.com/primo-explore/search?tab=default_tab&amp;search_scope=EVERYTHING&amp;vid=01CRU&amp;lang=en_US&amp;offset=0&amp;query=any,contains,991002930449702656","Catalog Record")</f>
        <v/>
      </c>
      <c r="AT419">
        <f>HYPERLINK("http://www.worldcat.org/oclc/530702","WorldCat Record")</f>
        <v/>
      </c>
      <c r="AU419" t="inlineStr">
        <is>
          <t>494120:eng</t>
        </is>
      </c>
      <c r="AV419" t="inlineStr">
        <is>
          <t>530702</t>
        </is>
      </c>
      <c r="AW419" t="inlineStr">
        <is>
          <t>991002930449702656</t>
        </is>
      </c>
      <c r="AX419" t="inlineStr">
        <is>
          <t>991002930449702656</t>
        </is>
      </c>
      <c r="AY419" t="inlineStr">
        <is>
          <t>2266490030002656</t>
        </is>
      </c>
      <c r="AZ419" t="inlineStr">
        <is>
          <t>BOOK</t>
        </is>
      </c>
      <c r="BC419" t="inlineStr">
        <is>
          <t>32285002642485</t>
        </is>
      </c>
      <c r="BD419" t="inlineStr">
        <is>
          <t>893530647</t>
        </is>
      </c>
    </row>
    <row r="420">
      <c r="A420" t="inlineStr">
        <is>
          <t>No</t>
        </is>
      </c>
      <c r="B420" t="inlineStr">
        <is>
          <t>QB691 .H86 1994</t>
        </is>
      </c>
      <c r="C420" t="inlineStr">
        <is>
          <t>0                      QB 0691000H  86          1994</t>
        </is>
      </c>
      <c r="D420" t="inlineStr">
        <is>
          <t>Atlas of Neptune / Garry E. Hunt and Patrick Moore.</t>
        </is>
      </c>
      <c r="F420" t="inlineStr">
        <is>
          <t>No</t>
        </is>
      </c>
      <c r="G420" t="inlineStr">
        <is>
          <t>1</t>
        </is>
      </c>
      <c r="H420" t="inlineStr">
        <is>
          <t>No</t>
        </is>
      </c>
      <c r="I420" t="inlineStr">
        <is>
          <t>No</t>
        </is>
      </c>
      <c r="J420" t="inlineStr">
        <is>
          <t>0</t>
        </is>
      </c>
      <c r="K420" t="inlineStr">
        <is>
          <t>Hunt, Garry E.</t>
        </is>
      </c>
      <c r="L420" t="inlineStr">
        <is>
          <t>Cambridge ; New York, NY : Cambridge University Press, 1994.</t>
        </is>
      </c>
      <c r="M420" t="inlineStr">
        <is>
          <t>1994</t>
        </is>
      </c>
      <c r="O420" t="inlineStr">
        <is>
          <t>eng</t>
        </is>
      </c>
      <c r="P420" t="inlineStr">
        <is>
          <t>enk</t>
        </is>
      </c>
      <c r="R420" t="inlineStr">
        <is>
          <t xml:space="preserve">QB </t>
        </is>
      </c>
      <c r="S420" t="n">
        <v>2</v>
      </c>
      <c r="T420" t="n">
        <v>2</v>
      </c>
      <c r="U420" t="inlineStr">
        <is>
          <t>1996-11-10</t>
        </is>
      </c>
      <c r="V420" t="inlineStr">
        <is>
          <t>1996-11-10</t>
        </is>
      </c>
      <c r="W420" t="inlineStr">
        <is>
          <t>1995-05-10</t>
        </is>
      </c>
      <c r="X420" t="inlineStr">
        <is>
          <t>1995-05-10</t>
        </is>
      </c>
      <c r="Y420" t="n">
        <v>413</v>
      </c>
      <c r="Z420" t="n">
        <v>326</v>
      </c>
      <c r="AA420" t="n">
        <v>331</v>
      </c>
      <c r="AB420" t="n">
        <v>3</v>
      </c>
      <c r="AC420" t="n">
        <v>3</v>
      </c>
      <c r="AD420" t="n">
        <v>6</v>
      </c>
      <c r="AE420" t="n">
        <v>6</v>
      </c>
      <c r="AF420" t="n">
        <v>2</v>
      </c>
      <c r="AG420" t="n">
        <v>2</v>
      </c>
      <c r="AH420" t="n">
        <v>1</v>
      </c>
      <c r="AI420" t="n">
        <v>1</v>
      </c>
      <c r="AJ420" t="n">
        <v>3</v>
      </c>
      <c r="AK420" t="n">
        <v>3</v>
      </c>
      <c r="AL420" t="n">
        <v>2</v>
      </c>
      <c r="AM420" t="n">
        <v>2</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HYPERLINK("https://creighton-primo.hosted.exlibrisgroup.com/primo-explore/search?tab=default_tab&amp;search_scope=EVERYTHING&amp;vid=01CRU&amp;lang=en_US&amp;offset=0&amp;query=any,contains,991002181419702656","Catalog Record")</f>
        <v/>
      </c>
      <c r="AT420">
        <f>HYPERLINK("http://www.worldcat.org/oclc/28067810","WorldCat Record")</f>
        <v/>
      </c>
      <c r="AU420" t="inlineStr">
        <is>
          <t>342595:eng</t>
        </is>
      </c>
      <c r="AV420" t="inlineStr">
        <is>
          <t>28067810</t>
        </is>
      </c>
      <c r="AW420" t="inlineStr">
        <is>
          <t>991002181419702656</t>
        </is>
      </c>
      <c r="AX420" t="inlineStr">
        <is>
          <t>991002181419702656</t>
        </is>
      </c>
      <c r="AY420" t="inlineStr">
        <is>
          <t>2258860870002656</t>
        </is>
      </c>
      <c r="AZ420" t="inlineStr">
        <is>
          <t>BOOK</t>
        </is>
      </c>
      <c r="BB420" t="inlineStr">
        <is>
          <t>9780521374781</t>
        </is>
      </c>
      <c r="BC420" t="inlineStr">
        <is>
          <t>32285002039062</t>
        </is>
      </c>
      <c r="BD420" t="inlineStr">
        <is>
          <t>893626993</t>
        </is>
      </c>
    </row>
    <row r="421">
      <c r="A421" t="inlineStr">
        <is>
          <t>No</t>
        </is>
      </c>
      <c r="B421" t="inlineStr">
        <is>
          <t>QB701 .H69</t>
        </is>
      </c>
      <c r="C421" t="inlineStr">
        <is>
          <t>0                      QB 0701000H  69</t>
        </is>
      </c>
      <c r="D421" t="inlineStr">
        <is>
          <t>Planets X and Pluto / William Graves Hoyt.</t>
        </is>
      </c>
      <c r="F421" t="inlineStr">
        <is>
          <t>No</t>
        </is>
      </c>
      <c r="G421" t="inlineStr">
        <is>
          <t>1</t>
        </is>
      </c>
      <c r="H421" t="inlineStr">
        <is>
          <t>No</t>
        </is>
      </c>
      <c r="I421" t="inlineStr">
        <is>
          <t>No</t>
        </is>
      </c>
      <c r="J421" t="inlineStr">
        <is>
          <t>0</t>
        </is>
      </c>
      <c r="K421" t="inlineStr">
        <is>
          <t>Hoyt, William Graves.</t>
        </is>
      </c>
      <c r="L421" t="inlineStr">
        <is>
          <t>Tucson : University of Arizona Press, c1980.</t>
        </is>
      </c>
      <c r="M421" t="inlineStr">
        <is>
          <t>1980</t>
        </is>
      </c>
      <c r="O421" t="inlineStr">
        <is>
          <t>eng</t>
        </is>
      </c>
      <c r="P421" t="inlineStr">
        <is>
          <t>azu</t>
        </is>
      </c>
      <c r="R421" t="inlineStr">
        <is>
          <t xml:space="preserve">QB </t>
        </is>
      </c>
      <c r="S421" t="n">
        <v>14</v>
      </c>
      <c r="T421" t="n">
        <v>14</v>
      </c>
      <c r="U421" t="inlineStr">
        <is>
          <t>2010-06-08</t>
        </is>
      </c>
      <c r="V421" t="inlineStr">
        <is>
          <t>2010-06-08</t>
        </is>
      </c>
      <c r="W421" t="inlineStr">
        <is>
          <t>1992-02-04</t>
        </is>
      </c>
      <c r="X421" t="inlineStr">
        <is>
          <t>1992-02-04</t>
        </is>
      </c>
      <c r="Y421" t="n">
        <v>500</v>
      </c>
      <c r="Z421" t="n">
        <v>437</v>
      </c>
      <c r="AA421" t="n">
        <v>443</v>
      </c>
      <c r="AB421" t="n">
        <v>2</v>
      </c>
      <c r="AC421" t="n">
        <v>2</v>
      </c>
      <c r="AD421" t="n">
        <v>12</v>
      </c>
      <c r="AE421" t="n">
        <v>12</v>
      </c>
      <c r="AF421" t="n">
        <v>5</v>
      </c>
      <c r="AG421" t="n">
        <v>5</v>
      </c>
      <c r="AH421" t="n">
        <v>5</v>
      </c>
      <c r="AI421" t="n">
        <v>5</v>
      </c>
      <c r="AJ421" t="n">
        <v>6</v>
      </c>
      <c r="AK421" t="n">
        <v>6</v>
      </c>
      <c r="AL421" t="n">
        <v>1</v>
      </c>
      <c r="AM421" t="n">
        <v>1</v>
      </c>
      <c r="AN421" t="n">
        <v>0</v>
      </c>
      <c r="AO421" t="n">
        <v>0</v>
      </c>
      <c r="AP421" t="inlineStr">
        <is>
          <t>No</t>
        </is>
      </c>
      <c r="AQ421" t="inlineStr">
        <is>
          <t>Yes</t>
        </is>
      </c>
      <c r="AR421">
        <f>HYPERLINK("http://catalog.hathitrust.org/Record/000303422","HathiTrust Record")</f>
        <v/>
      </c>
      <c r="AS421">
        <f>HYPERLINK("https://creighton-primo.hosted.exlibrisgroup.com/primo-explore/search?tab=default_tab&amp;search_scope=EVERYTHING&amp;vid=01CRU&amp;lang=en_US&amp;offset=0&amp;query=any,contains,991004776939702656","Catalog Record")</f>
        <v/>
      </c>
      <c r="AT421">
        <f>HYPERLINK("http://www.worldcat.org/oclc/5101477","WorldCat Record")</f>
        <v/>
      </c>
      <c r="AU421" t="inlineStr">
        <is>
          <t>479959:eng</t>
        </is>
      </c>
      <c r="AV421" t="inlineStr">
        <is>
          <t>5101477</t>
        </is>
      </c>
      <c r="AW421" t="inlineStr">
        <is>
          <t>991004776939702656</t>
        </is>
      </c>
      <c r="AX421" t="inlineStr">
        <is>
          <t>991004776939702656</t>
        </is>
      </c>
      <c r="AY421" t="inlineStr">
        <is>
          <t>2259200090002656</t>
        </is>
      </c>
      <c r="AZ421" t="inlineStr">
        <is>
          <t>BOOK</t>
        </is>
      </c>
      <c r="BB421" t="inlineStr">
        <is>
          <t>9780816506644</t>
        </is>
      </c>
      <c r="BC421" t="inlineStr">
        <is>
          <t>32285000934025</t>
        </is>
      </c>
      <c r="BD421" t="inlineStr">
        <is>
          <t>893606462</t>
        </is>
      </c>
    </row>
    <row r="422">
      <c r="A422" t="inlineStr">
        <is>
          <t>No</t>
        </is>
      </c>
      <c r="B422" t="inlineStr">
        <is>
          <t>QB701 .S84 1998</t>
        </is>
      </c>
      <c r="C422" t="inlineStr">
        <is>
          <t>0                      QB 0701000S  84          1998</t>
        </is>
      </c>
      <c r="D422" t="inlineStr">
        <is>
          <t>Pluto and Charon : ice worlds on the ragged edge of the solar system / Alan Stern, Jacqueline Mitton.</t>
        </is>
      </c>
      <c r="F422" t="inlineStr">
        <is>
          <t>No</t>
        </is>
      </c>
      <c r="G422" t="inlineStr">
        <is>
          <t>1</t>
        </is>
      </c>
      <c r="H422" t="inlineStr">
        <is>
          <t>No</t>
        </is>
      </c>
      <c r="I422" t="inlineStr">
        <is>
          <t>Yes</t>
        </is>
      </c>
      <c r="J422" t="inlineStr">
        <is>
          <t>0</t>
        </is>
      </c>
      <c r="K422" t="inlineStr">
        <is>
          <t>Stern, Alan, 1957-</t>
        </is>
      </c>
      <c r="L422" t="inlineStr">
        <is>
          <t>New York : Wiley, c1998.</t>
        </is>
      </c>
      <c r="M422" t="inlineStr">
        <is>
          <t>1998</t>
        </is>
      </c>
      <c r="O422" t="inlineStr">
        <is>
          <t>eng</t>
        </is>
      </c>
      <c r="P422" t="inlineStr">
        <is>
          <t>nyu</t>
        </is>
      </c>
      <c r="R422" t="inlineStr">
        <is>
          <t xml:space="preserve">QB </t>
        </is>
      </c>
      <c r="S422" t="n">
        <v>3</v>
      </c>
      <c r="T422" t="n">
        <v>3</v>
      </c>
      <c r="U422" t="inlineStr">
        <is>
          <t>2001-04-11</t>
        </is>
      </c>
      <c r="V422" t="inlineStr">
        <is>
          <t>2001-04-11</t>
        </is>
      </c>
      <c r="W422" t="inlineStr">
        <is>
          <t>1998-09-01</t>
        </is>
      </c>
      <c r="X422" t="inlineStr">
        <is>
          <t>1998-09-01</t>
        </is>
      </c>
      <c r="Y422" t="n">
        <v>540</v>
      </c>
      <c r="Z422" t="n">
        <v>461</v>
      </c>
      <c r="AA422" t="n">
        <v>1373</v>
      </c>
      <c r="AB422" t="n">
        <v>3</v>
      </c>
      <c r="AC422" t="n">
        <v>7</v>
      </c>
      <c r="AD422" t="n">
        <v>17</v>
      </c>
      <c r="AE422" t="n">
        <v>35</v>
      </c>
      <c r="AF422" t="n">
        <v>6</v>
      </c>
      <c r="AG422" t="n">
        <v>17</v>
      </c>
      <c r="AH422" t="n">
        <v>4</v>
      </c>
      <c r="AI422" t="n">
        <v>7</v>
      </c>
      <c r="AJ422" t="n">
        <v>8</v>
      </c>
      <c r="AK422" t="n">
        <v>12</v>
      </c>
      <c r="AL422" t="n">
        <v>2</v>
      </c>
      <c r="AM422" t="n">
        <v>5</v>
      </c>
      <c r="AN422" t="n">
        <v>0</v>
      </c>
      <c r="AO422" t="n">
        <v>0</v>
      </c>
      <c r="AP422" t="inlineStr">
        <is>
          <t>No</t>
        </is>
      </c>
      <c r="AQ422" t="inlineStr">
        <is>
          <t>Yes</t>
        </is>
      </c>
      <c r="AR422">
        <f>HYPERLINK("http://catalog.hathitrust.org/Record/003949649","HathiTrust Record")</f>
        <v/>
      </c>
      <c r="AS422">
        <f>HYPERLINK("https://creighton-primo.hosted.exlibrisgroup.com/primo-explore/search?tab=default_tab&amp;search_scope=EVERYTHING&amp;vid=01CRU&amp;lang=en_US&amp;offset=0&amp;query=any,contains,991002778349702656","Catalog Record")</f>
        <v/>
      </c>
      <c r="AT422">
        <f>HYPERLINK("http://www.worldcat.org/oclc/36477102","WorldCat Record")</f>
        <v/>
      </c>
      <c r="AU422" t="inlineStr">
        <is>
          <t>793852281:eng</t>
        </is>
      </c>
      <c r="AV422" t="inlineStr">
        <is>
          <t>36477102</t>
        </is>
      </c>
      <c r="AW422" t="inlineStr">
        <is>
          <t>991002778349702656</t>
        </is>
      </c>
      <c r="AX422" t="inlineStr">
        <is>
          <t>991002778349702656</t>
        </is>
      </c>
      <c r="AY422" t="inlineStr">
        <is>
          <t>2258754820002656</t>
        </is>
      </c>
      <c r="AZ422" t="inlineStr">
        <is>
          <t>BOOK</t>
        </is>
      </c>
      <c r="BB422" t="inlineStr">
        <is>
          <t>9780471152972</t>
        </is>
      </c>
      <c r="BC422" t="inlineStr">
        <is>
          <t>32285003464814</t>
        </is>
      </c>
      <c r="BD422" t="inlineStr">
        <is>
          <t>893616565</t>
        </is>
      </c>
    </row>
    <row r="423">
      <c r="A423" t="inlineStr">
        <is>
          <t>No</t>
        </is>
      </c>
      <c r="B423" t="inlineStr">
        <is>
          <t>QB701 .S84 2005</t>
        </is>
      </c>
      <c r="C423" t="inlineStr">
        <is>
          <t>0                      QB 0701000S  84          2005</t>
        </is>
      </c>
      <c r="D423" t="inlineStr">
        <is>
          <t>Pluto and Charon : ice worlds on the ragged edge of the solar system / Alan Stern, Jacqueline Mitton.</t>
        </is>
      </c>
      <c r="F423" t="inlineStr">
        <is>
          <t>No</t>
        </is>
      </c>
      <c r="G423" t="inlineStr">
        <is>
          <t>1</t>
        </is>
      </c>
      <c r="H423" t="inlineStr">
        <is>
          <t>No</t>
        </is>
      </c>
      <c r="I423" t="inlineStr">
        <is>
          <t>Yes</t>
        </is>
      </c>
      <c r="J423" t="inlineStr">
        <is>
          <t>0</t>
        </is>
      </c>
      <c r="K423" t="inlineStr">
        <is>
          <t>Stern, Alan, 1957-</t>
        </is>
      </c>
      <c r="L423" t="inlineStr">
        <is>
          <t>Weinheim : Wiley-VCH, c2005.</t>
        </is>
      </c>
      <c r="M423" t="inlineStr">
        <is>
          <t>2005</t>
        </is>
      </c>
      <c r="N423" t="inlineStr">
        <is>
          <t>2nd ed., rev. and updated.</t>
        </is>
      </c>
      <c r="O423" t="inlineStr">
        <is>
          <t>eng</t>
        </is>
      </c>
      <c r="P423" t="inlineStr">
        <is>
          <t xml:space="preserve">gw </t>
        </is>
      </c>
      <c r="R423" t="inlineStr">
        <is>
          <t xml:space="preserve">QB </t>
        </is>
      </c>
      <c r="S423" t="n">
        <v>9</v>
      </c>
      <c r="T423" t="n">
        <v>9</v>
      </c>
      <c r="U423" t="inlineStr">
        <is>
          <t>2010-06-08</t>
        </is>
      </c>
      <c r="V423" t="inlineStr">
        <is>
          <t>2010-06-08</t>
        </is>
      </c>
      <c r="W423" t="inlineStr">
        <is>
          <t>2007-11-13</t>
        </is>
      </c>
      <c r="X423" t="inlineStr">
        <is>
          <t>2007-11-13</t>
        </is>
      </c>
      <c r="Y423" t="n">
        <v>237</v>
      </c>
      <c r="Z423" t="n">
        <v>204</v>
      </c>
      <c r="AA423" t="n">
        <v>1373</v>
      </c>
      <c r="AB423" t="n">
        <v>3</v>
      </c>
      <c r="AC423" t="n">
        <v>7</v>
      </c>
      <c r="AD423" t="n">
        <v>7</v>
      </c>
      <c r="AE423" t="n">
        <v>35</v>
      </c>
      <c r="AF423" t="n">
        <v>3</v>
      </c>
      <c r="AG423" t="n">
        <v>17</v>
      </c>
      <c r="AH423" t="n">
        <v>1</v>
      </c>
      <c r="AI423" t="n">
        <v>7</v>
      </c>
      <c r="AJ423" t="n">
        <v>2</v>
      </c>
      <c r="AK423" t="n">
        <v>12</v>
      </c>
      <c r="AL423" t="n">
        <v>2</v>
      </c>
      <c r="AM423" t="n">
        <v>5</v>
      </c>
      <c r="AN423" t="n">
        <v>0</v>
      </c>
      <c r="AO423" t="n">
        <v>0</v>
      </c>
      <c r="AP423" t="inlineStr">
        <is>
          <t>No</t>
        </is>
      </c>
      <c r="AQ423" t="inlineStr">
        <is>
          <t>Yes</t>
        </is>
      </c>
      <c r="AR423">
        <f>HYPERLINK("http://catalog.hathitrust.org/Record/005974936","HathiTrust Record")</f>
        <v/>
      </c>
      <c r="AS423">
        <f>HYPERLINK("https://creighton-primo.hosted.exlibrisgroup.com/primo-explore/search?tab=default_tab&amp;search_scope=EVERYTHING&amp;vid=01CRU&amp;lang=en_US&amp;offset=0&amp;query=any,contains,991005144839702656","Catalog Record")</f>
        <v/>
      </c>
      <c r="AT423">
        <f>HYPERLINK("http://www.worldcat.org/oclc/62176951","WorldCat Record")</f>
        <v/>
      </c>
      <c r="AU423" t="inlineStr">
        <is>
          <t>793852281:eng</t>
        </is>
      </c>
      <c r="AV423" t="inlineStr">
        <is>
          <t>62176951</t>
        </is>
      </c>
      <c r="AW423" t="inlineStr">
        <is>
          <t>991005144839702656</t>
        </is>
      </c>
      <c r="AX423" t="inlineStr">
        <is>
          <t>991005144839702656</t>
        </is>
      </c>
      <c r="AY423" t="inlineStr">
        <is>
          <t>2271513220002656</t>
        </is>
      </c>
      <c r="AZ423" t="inlineStr">
        <is>
          <t>BOOK</t>
        </is>
      </c>
      <c r="BB423" t="inlineStr">
        <is>
          <t>9783527405565</t>
        </is>
      </c>
      <c r="BC423" t="inlineStr">
        <is>
          <t>32285005366991</t>
        </is>
      </c>
      <c r="BD423" t="inlineStr">
        <is>
          <t>893613197</t>
        </is>
      </c>
    </row>
    <row r="424">
      <c r="A424" t="inlineStr">
        <is>
          <t>No</t>
        </is>
      </c>
      <c r="B424" t="inlineStr">
        <is>
          <t>QB701 .T65 1980</t>
        </is>
      </c>
      <c r="C424" t="inlineStr">
        <is>
          <t>0                      QB 0701000T  65          1980</t>
        </is>
      </c>
      <c r="D424" t="inlineStr">
        <is>
          <t>Out of the darkness, the planet Pluto / Clyde W. Tombaugh, Patrick Moore.</t>
        </is>
      </c>
      <c r="F424" t="inlineStr">
        <is>
          <t>No</t>
        </is>
      </c>
      <c r="G424" t="inlineStr">
        <is>
          <t>1</t>
        </is>
      </c>
      <c r="H424" t="inlineStr">
        <is>
          <t>No</t>
        </is>
      </c>
      <c r="I424" t="inlineStr">
        <is>
          <t>No</t>
        </is>
      </c>
      <c r="J424" t="inlineStr">
        <is>
          <t>0</t>
        </is>
      </c>
      <c r="K424" t="inlineStr">
        <is>
          <t>Tombaugh, Clyde William, 1906-1997.</t>
        </is>
      </c>
      <c r="L424" t="inlineStr">
        <is>
          <t>Harrisburg, Pa. : Stackpole Books, c1980.</t>
        </is>
      </c>
      <c r="M424" t="inlineStr">
        <is>
          <t>1980</t>
        </is>
      </c>
      <c r="O424" t="inlineStr">
        <is>
          <t>eng</t>
        </is>
      </c>
      <c r="P424" t="inlineStr">
        <is>
          <t>pau</t>
        </is>
      </c>
      <c r="R424" t="inlineStr">
        <is>
          <t xml:space="preserve">QB </t>
        </is>
      </c>
      <c r="S424" t="n">
        <v>14</v>
      </c>
      <c r="T424" t="n">
        <v>14</v>
      </c>
      <c r="U424" t="inlineStr">
        <is>
          <t>2010-06-08</t>
        </is>
      </c>
      <c r="V424" t="inlineStr">
        <is>
          <t>2010-06-08</t>
        </is>
      </c>
      <c r="W424" t="inlineStr">
        <is>
          <t>1992-11-23</t>
        </is>
      </c>
      <c r="X424" t="inlineStr">
        <is>
          <t>1992-11-23</t>
        </is>
      </c>
      <c r="Y424" t="n">
        <v>713</v>
      </c>
      <c r="Z424" t="n">
        <v>630</v>
      </c>
      <c r="AA424" t="n">
        <v>692</v>
      </c>
      <c r="AB424" t="n">
        <v>3</v>
      </c>
      <c r="AC424" t="n">
        <v>4</v>
      </c>
      <c r="AD424" t="n">
        <v>13</v>
      </c>
      <c r="AE424" t="n">
        <v>14</v>
      </c>
      <c r="AF424" t="n">
        <v>7</v>
      </c>
      <c r="AG424" t="n">
        <v>7</v>
      </c>
      <c r="AH424" t="n">
        <v>3</v>
      </c>
      <c r="AI424" t="n">
        <v>3</v>
      </c>
      <c r="AJ424" t="n">
        <v>5</v>
      </c>
      <c r="AK424" t="n">
        <v>5</v>
      </c>
      <c r="AL424" t="n">
        <v>2</v>
      </c>
      <c r="AM424" t="n">
        <v>3</v>
      </c>
      <c r="AN424" t="n">
        <v>0</v>
      </c>
      <c r="AO424" t="n">
        <v>0</v>
      </c>
      <c r="AP424" t="inlineStr">
        <is>
          <t>No</t>
        </is>
      </c>
      <c r="AQ424" t="inlineStr">
        <is>
          <t>Yes</t>
        </is>
      </c>
      <c r="AR424">
        <f>HYPERLINK("http://catalog.hathitrust.org/Record/000736357","HathiTrust Record")</f>
        <v/>
      </c>
      <c r="AS424">
        <f>HYPERLINK("https://creighton-primo.hosted.exlibrisgroup.com/primo-explore/search?tab=default_tab&amp;search_scope=EVERYTHING&amp;vid=01CRU&amp;lang=en_US&amp;offset=0&amp;query=any,contains,991004992589702656","Catalog Record")</f>
        <v/>
      </c>
      <c r="AT424">
        <f>HYPERLINK("http://www.worldcat.org/oclc/6487781","WorldCat Record")</f>
        <v/>
      </c>
      <c r="AU424" t="inlineStr">
        <is>
          <t>47792820:eng</t>
        </is>
      </c>
      <c r="AV424" t="inlineStr">
        <is>
          <t>6487781</t>
        </is>
      </c>
      <c r="AW424" t="inlineStr">
        <is>
          <t>991004992589702656</t>
        </is>
      </c>
      <c r="AX424" t="inlineStr">
        <is>
          <t>991004992589702656</t>
        </is>
      </c>
      <c r="AY424" t="inlineStr">
        <is>
          <t>2256252290002656</t>
        </is>
      </c>
      <c r="AZ424" t="inlineStr">
        <is>
          <t>BOOK</t>
        </is>
      </c>
      <c r="BB424" t="inlineStr">
        <is>
          <t>9780811711630</t>
        </is>
      </c>
      <c r="BC424" t="inlineStr">
        <is>
          <t>32285001433845</t>
        </is>
      </c>
      <c r="BD424" t="inlineStr">
        <is>
          <t>893870334</t>
        </is>
      </c>
    </row>
    <row r="425">
      <c r="A425" t="inlineStr">
        <is>
          <t>No</t>
        </is>
      </c>
      <c r="B425" t="inlineStr">
        <is>
          <t>QB721 .C34 1981</t>
        </is>
      </c>
      <c r="C425" t="inlineStr">
        <is>
          <t>0                      QB 0721000C  34          1981</t>
        </is>
      </c>
      <c r="D425" t="inlineStr">
        <is>
          <t>The comet is coming! : The feverish legacy of Mr. Halley / Nigel Calder.</t>
        </is>
      </c>
      <c r="F425" t="inlineStr">
        <is>
          <t>No</t>
        </is>
      </c>
      <c r="G425" t="inlineStr">
        <is>
          <t>1</t>
        </is>
      </c>
      <c r="H425" t="inlineStr">
        <is>
          <t>No</t>
        </is>
      </c>
      <c r="I425" t="inlineStr">
        <is>
          <t>No</t>
        </is>
      </c>
      <c r="J425" t="inlineStr">
        <is>
          <t>0</t>
        </is>
      </c>
      <c r="K425" t="inlineStr">
        <is>
          <t>Calder, Nigel, 1931-2014.</t>
        </is>
      </c>
      <c r="L425" t="inlineStr">
        <is>
          <t>New York : Viking Press, 1981, c1980.</t>
        </is>
      </c>
      <c r="M425" t="inlineStr">
        <is>
          <t>1981</t>
        </is>
      </c>
      <c r="O425" t="inlineStr">
        <is>
          <t>eng</t>
        </is>
      </c>
      <c r="P425" t="inlineStr">
        <is>
          <t>nyu</t>
        </is>
      </c>
      <c r="R425" t="inlineStr">
        <is>
          <t xml:space="preserve">QB </t>
        </is>
      </c>
      <c r="S425" t="n">
        <v>2</v>
      </c>
      <c r="T425" t="n">
        <v>2</v>
      </c>
      <c r="U425" t="inlineStr">
        <is>
          <t>1995-04-13</t>
        </is>
      </c>
      <c r="V425" t="inlineStr">
        <is>
          <t>1995-04-13</t>
        </is>
      </c>
      <c r="W425" t="inlineStr">
        <is>
          <t>1992-02-24</t>
        </is>
      </c>
      <c r="X425" t="inlineStr">
        <is>
          <t>1992-02-24</t>
        </is>
      </c>
      <c r="Y425" t="n">
        <v>1145</v>
      </c>
      <c r="Z425" t="n">
        <v>1111</v>
      </c>
      <c r="AA425" t="n">
        <v>1325</v>
      </c>
      <c r="AB425" t="n">
        <v>8</v>
      </c>
      <c r="AC425" t="n">
        <v>13</v>
      </c>
      <c r="AD425" t="n">
        <v>19</v>
      </c>
      <c r="AE425" t="n">
        <v>23</v>
      </c>
      <c r="AF425" t="n">
        <v>7</v>
      </c>
      <c r="AG425" t="n">
        <v>10</v>
      </c>
      <c r="AH425" t="n">
        <v>3</v>
      </c>
      <c r="AI425" t="n">
        <v>3</v>
      </c>
      <c r="AJ425" t="n">
        <v>7</v>
      </c>
      <c r="AK425" t="n">
        <v>9</v>
      </c>
      <c r="AL425" t="n">
        <v>4</v>
      </c>
      <c r="AM425" t="n">
        <v>5</v>
      </c>
      <c r="AN425" t="n">
        <v>0</v>
      </c>
      <c r="AO425" t="n">
        <v>0</v>
      </c>
      <c r="AP425" t="inlineStr">
        <is>
          <t>No</t>
        </is>
      </c>
      <c r="AQ425" t="inlineStr">
        <is>
          <t>Yes</t>
        </is>
      </c>
      <c r="AR425">
        <f>HYPERLINK("http://catalog.hathitrust.org/Record/000185644","HathiTrust Record")</f>
        <v/>
      </c>
      <c r="AS425">
        <f>HYPERLINK("https://creighton-primo.hosted.exlibrisgroup.com/primo-explore/search?tab=default_tab&amp;search_scope=EVERYTHING&amp;vid=01CRU&amp;lang=en_US&amp;offset=0&amp;query=any,contains,991005053989702656","Catalog Record")</f>
        <v/>
      </c>
      <c r="AT425">
        <f>HYPERLINK("http://www.worldcat.org/oclc/6889937","WorldCat Record")</f>
        <v/>
      </c>
      <c r="AU425" t="inlineStr">
        <is>
          <t>198049760:eng</t>
        </is>
      </c>
      <c r="AV425" t="inlineStr">
        <is>
          <t>6889937</t>
        </is>
      </c>
      <c r="AW425" t="inlineStr">
        <is>
          <t>991005053989702656</t>
        </is>
      </c>
      <c r="AX425" t="inlineStr">
        <is>
          <t>991005053989702656</t>
        </is>
      </c>
      <c r="AY425" t="inlineStr">
        <is>
          <t>2269260290002656</t>
        </is>
      </c>
      <c r="AZ425" t="inlineStr">
        <is>
          <t>BOOK</t>
        </is>
      </c>
      <c r="BB425" t="inlineStr">
        <is>
          <t>9780670232161</t>
        </is>
      </c>
      <c r="BC425" t="inlineStr">
        <is>
          <t>32285000974708</t>
        </is>
      </c>
      <c r="BD425" t="inlineStr">
        <is>
          <t>893700956</t>
        </is>
      </c>
    </row>
    <row r="426">
      <c r="A426" t="inlineStr">
        <is>
          <t>No</t>
        </is>
      </c>
      <c r="B426" t="inlineStr">
        <is>
          <t>QB721 .H29 1994</t>
        </is>
      </c>
      <c r="C426" t="inlineStr">
        <is>
          <t>0                      QB 0721000H  29          1994</t>
        </is>
      </c>
      <c r="D426" t="inlineStr">
        <is>
          <t>Hazards due to comets and asteroids / Tom Gehrels, editor ; with the editorial assistance of M.S. Matthews and A.M. Schumann, with 120 collaborating authors.</t>
        </is>
      </c>
      <c r="F426" t="inlineStr">
        <is>
          <t>No</t>
        </is>
      </c>
      <c r="G426" t="inlineStr">
        <is>
          <t>1</t>
        </is>
      </c>
      <c r="H426" t="inlineStr">
        <is>
          <t>No</t>
        </is>
      </c>
      <c r="I426" t="inlineStr">
        <is>
          <t>No</t>
        </is>
      </c>
      <c r="J426" t="inlineStr">
        <is>
          <t>0</t>
        </is>
      </c>
      <c r="L426" t="inlineStr">
        <is>
          <t>Tuscon ; London : University of Arizona Press, c1994.</t>
        </is>
      </c>
      <c r="M426" t="inlineStr">
        <is>
          <t>1994</t>
        </is>
      </c>
      <c r="O426" t="inlineStr">
        <is>
          <t>eng</t>
        </is>
      </c>
      <c r="P426" t="inlineStr">
        <is>
          <t>enk</t>
        </is>
      </c>
      <c r="Q426" t="inlineStr">
        <is>
          <t>Space science series</t>
        </is>
      </c>
      <c r="R426" t="inlineStr">
        <is>
          <t xml:space="preserve">QB </t>
        </is>
      </c>
      <c r="S426" t="n">
        <v>2</v>
      </c>
      <c r="T426" t="n">
        <v>2</v>
      </c>
      <c r="U426" t="inlineStr">
        <is>
          <t>1998-03-31</t>
        </is>
      </c>
      <c r="V426" t="inlineStr">
        <is>
          <t>1998-03-31</t>
        </is>
      </c>
      <c r="W426" t="inlineStr">
        <is>
          <t>1996-06-26</t>
        </is>
      </c>
      <c r="X426" t="inlineStr">
        <is>
          <t>1996-06-26</t>
        </is>
      </c>
      <c r="Y426" t="n">
        <v>357</v>
      </c>
      <c r="Z426" t="n">
        <v>292</v>
      </c>
      <c r="AA426" t="n">
        <v>293</v>
      </c>
      <c r="AB426" t="n">
        <v>5</v>
      </c>
      <c r="AC426" t="n">
        <v>5</v>
      </c>
      <c r="AD426" t="n">
        <v>14</v>
      </c>
      <c r="AE426" t="n">
        <v>14</v>
      </c>
      <c r="AF426" t="n">
        <v>2</v>
      </c>
      <c r="AG426" t="n">
        <v>2</v>
      </c>
      <c r="AH426" t="n">
        <v>4</v>
      </c>
      <c r="AI426" t="n">
        <v>4</v>
      </c>
      <c r="AJ426" t="n">
        <v>5</v>
      </c>
      <c r="AK426" t="n">
        <v>5</v>
      </c>
      <c r="AL426" t="n">
        <v>4</v>
      </c>
      <c r="AM426" t="n">
        <v>4</v>
      </c>
      <c r="AN426" t="n">
        <v>0</v>
      </c>
      <c r="AO426" t="n">
        <v>0</v>
      </c>
      <c r="AP426" t="inlineStr">
        <is>
          <t>No</t>
        </is>
      </c>
      <c r="AQ426" t="inlineStr">
        <is>
          <t>Yes</t>
        </is>
      </c>
      <c r="AR426">
        <f>HYPERLINK("http://catalog.hathitrust.org/Record/002961430","HathiTrust Record")</f>
        <v/>
      </c>
      <c r="AS426">
        <f>HYPERLINK("https://creighton-primo.hosted.exlibrisgroup.com/primo-explore/search?tab=default_tab&amp;search_scope=EVERYTHING&amp;vid=01CRU&amp;lang=en_US&amp;offset=0&amp;query=any,contains,991002619469702656","Catalog Record")</f>
        <v/>
      </c>
      <c r="AT426">
        <f>HYPERLINK("http://www.worldcat.org/oclc/36841676","WorldCat Record")</f>
        <v/>
      </c>
      <c r="AU426" t="inlineStr">
        <is>
          <t>45921746:eng</t>
        </is>
      </c>
      <c r="AV426" t="inlineStr">
        <is>
          <t>36841676</t>
        </is>
      </c>
      <c r="AW426" t="inlineStr">
        <is>
          <t>991002619469702656</t>
        </is>
      </c>
      <c r="AX426" t="inlineStr">
        <is>
          <t>991002619469702656</t>
        </is>
      </c>
      <c r="AY426" t="inlineStr">
        <is>
          <t>2256436830002656</t>
        </is>
      </c>
      <c r="AZ426" t="inlineStr">
        <is>
          <t>BOOK</t>
        </is>
      </c>
      <c r="BB426" t="inlineStr">
        <is>
          <t>9780816515059</t>
        </is>
      </c>
      <c r="BC426" t="inlineStr">
        <is>
          <t>32285002173887</t>
        </is>
      </c>
      <c r="BD426" t="inlineStr">
        <is>
          <t>893498326</t>
        </is>
      </c>
    </row>
    <row r="427">
      <c r="A427" t="inlineStr">
        <is>
          <t>No</t>
        </is>
      </c>
      <c r="B427" t="inlineStr">
        <is>
          <t>QB721 .L42 1996</t>
        </is>
      </c>
      <c r="C427" t="inlineStr">
        <is>
          <t>0                      QB 0721000L  42          1996</t>
        </is>
      </c>
      <c r="D427" t="inlineStr">
        <is>
          <t>Rain of iron and ice : the very real threat of comet and asteroid bombardment / John S. Lewis.</t>
        </is>
      </c>
      <c r="F427" t="inlineStr">
        <is>
          <t>No</t>
        </is>
      </c>
      <c r="G427" t="inlineStr">
        <is>
          <t>1</t>
        </is>
      </c>
      <c r="H427" t="inlineStr">
        <is>
          <t>No</t>
        </is>
      </c>
      <c r="I427" t="inlineStr">
        <is>
          <t>No</t>
        </is>
      </c>
      <c r="J427" t="inlineStr">
        <is>
          <t>0</t>
        </is>
      </c>
      <c r="K427" t="inlineStr">
        <is>
          <t>Lewis, John S.</t>
        </is>
      </c>
      <c r="L427" t="inlineStr">
        <is>
          <t>Reading, Mass. : Addison-Wesley Pub. Co., c1996.</t>
        </is>
      </c>
      <c r="M427" t="inlineStr">
        <is>
          <t>1996</t>
        </is>
      </c>
      <c r="O427" t="inlineStr">
        <is>
          <t>eng</t>
        </is>
      </c>
      <c r="P427" t="inlineStr">
        <is>
          <t>mau</t>
        </is>
      </c>
      <c r="Q427" t="inlineStr">
        <is>
          <t>Helix books</t>
        </is>
      </c>
      <c r="R427" t="inlineStr">
        <is>
          <t xml:space="preserve">QB </t>
        </is>
      </c>
      <c r="S427" t="n">
        <v>8</v>
      </c>
      <c r="T427" t="n">
        <v>8</v>
      </c>
      <c r="U427" t="inlineStr">
        <is>
          <t>2000-01-15</t>
        </is>
      </c>
      <c r="V427" t="inlineStr">
        <is>
          <t>2000-01-15</t>
        </is>
      </c>
      <c r="W427" t="inlineStr">
        <is>
          <t>1996-06-25</t>
        </is>
      </c>
      <c r="X427" t="inlineStr">
        <is>
          <t>1996-06-25</t>
        </is>
      </c>
      <c r="Y427" t="n">
        <v>692</v>
      </c>
      <c r="Z427" t="n">
        <v>630</v>
      </c>
      <c r="AA427" t="n">
        <v>703</v>
      </c>
      <c r="AB427" t="n">
        <v>7</v>
      </c>
      <c r="AC427" t="n">
        <v>8</v>
      </c>
      <c r="AD427" t="n">
        <v>13</v>
      </c>
      <c r="AE427" t="n">
        <v>20</v>
      </c>
      <c r="AF427" t="n">
        <v>2</v>
      </c>
      <c r="AG427" t="n">
        <v>4</v>
      </c>
      <c r="AH427" t="n">
        <v>2</v>
      </c>
      <c r="AI427" t="n">
        <v>2</v>
      </c>
      <c r="AJ427" t="n">
        <v>5</v>
      </c>
      <c r="AK427" t="n">
        <v>9</v>
      </c>
      <c r="AL427" t="n">
        <v>6</v>
      </c>
      <c r="AM427" t="n">
        <v>7</v>
      </c>
      <c r="AN427" t="n">
        <v>0</v>
      </c>
      <c r="AO427" t="n">
        <v>0</v>
      </c>
      <c r="AP427" t="inlineStr">
        <is>
          <t>No</t>
        </is>
      </c>
      <c r="AQ427" t="inlineStr">
        <is>
          <t>Yes</t>
        </is>
      </c>
      <c r="AR427">
        <f>HYPERLINK("http://catalog.hathitrust.org/Record/003027842","HathiTrust Record")</f>
        <v/>
      </c>
      <c r="AS427">
        <f>HYPERLINK("https://creighton-primo.hosted.exlibrisgroup.com/primo-explore/search?tab=default_tab&amp;search_scope=EVERYTHING&amp;vid=01CRU&amp;lang=en_US&amp;offset=0&amp;query=any,contains,991002524159702656","Catalog Record")</f>
        <v/>
      </c>
      <c r="AT427">
        <f>HYPERLINK("http://www.worldcat.org/oclc/32820957","WorldCat Record")</f>
        <v/>
      </c>
      <c r="AU427" t="inlineStr">
        <is>
          <t>836963762:eng</t>
        </is>
      </c>
      <c r="AV427" t="inlineStr">
        <is>
          <t>32820957</t>
        </is>
      </c>
      <c r="AW427" t="inlineStr">
        <is>
          <t>991002524159702656</t>
        </is>
      </c>
      <c r="AX427" t="inlineStr">
        <is>
          <t>991002524159702656</t>
        </is>
      </c>
      <c r="AY427" t="inlineStr">
        <is>
          <t>2263255630002656</t>
        </is>
      </c>
      <c r="AZ427" t="inlineStr">
        <is>
          <t>BOOK</t>
        </is>
      </c>
      <c r="BB427" t="inlineStr">
        <is>
          <t>9780201489507</t>
        </is>
      </c>
      <c r="BC427" t="inlineStr">
        <is>
          <t>32285002173051</t>
        </is>
      </c>
      <c r="BD427" t="inlineStr">
        <is>
          <t>893504491</t>
        </is>
      </c>
    </row>
    <row r="428">
      <c r="A428" t="inlineStr">
        <is>
          <t>No</t>
        </is>
      </c>
      <c r="B428" t="inlineStr">
        <is>
          <t>QB721 .S365 1997</t>
        </is>
      </c>
      <c r="C428" t="inlineStr">
        <is>
          <t>0                      QB 0721000S  365         1997</t>
        </is>
      </c>
      <c r="D428" t="inlineStr">
        <is>
          <t>Comet of the century : from Halley to Hale-Bopp / Fred Schaaf ; with illustrations by Guy Ottewell.</t>
        </is>
      </c>
      <c r="F428" t="inlineStr">
        <is>
          <t>No</t>
        </is>
      </c>
      <c r="G428" t="inlineStr">
        <is>
          <t>1</t>
        </is>
      </c>
      <c r="H428" t="inlineStr">
        <is>
          <t>No</t>
        </is>
      </c>
      <c r="I428" t="inlineStr">
        <is>
          <t>No</t>
        </is>
      </c>
      <c r="J428" t="inlineStr">
        <is>
          <t>0</t>
        </is>
      </c>
      <c r="K428" t="inlineStr">
        <is>
          <t>Schaaf, Fred.</t>
        </is>
      </c>
      <c r="L428" t="inlineStr">
        <is>
          <t>New York : Copernicus, c1997.</t>
        </is>
      </c>
      <c r="M428" t="inlineStr">
        <is>
          <t>1997</t>
        </is>
      </c>
      <c r="O428" t="inlineStr">
        <is>
          <t>eng</t>
        </is>
      </c>
      <c r="P428" t="inlineStr">
        <is>
          <t>nyu</t>
        </is>
      </c>
      <c r="R428" t="inlineStr">
        <is>
          <t xml:space="preserve">QB </t>
        </is>
      </c>
      <c r="S428" t="n">
        <v>2</v>
      </c>
      <c r="T428" t="n">
        <v>2</v>
      </c>
      <c r="U428" t="inlineStr">
        <is>
          <t>1997-03-23</t>
        </is>
      </c>
      <c r="V428" t="inlineStr">
        <is>
          <t>1997-03-23</t>
        </is>
      </c>
      <c r="W428" t="inlineStr">
        <is>
          <t>1997-01-27</t>
        </is>
      </c>
      <c r="X428" t="inlineStr">
        <is>
          <t>1997-01-27</t>
        </is>
      </c>
      <c r="Y428" t="n">
        <v>645</v>
      </c>
      <c r="Z428" t="n">
        <v>561</v>
      </c>
      <c r="AA428" t="n">
        <v>572</v>
      </c>
      <c r="AB428" t="n">
        <v>4</v>
      </c>
      <c r="AC428" t="n">
        <v>4</v>
      </c>
      <c r="AD428" t="n">
        <v>12</v>
      </c>
      <c r="AE428" t="n">
        <v>12</v>
      </c>
      <c r="AF428" t="n">
        <v>1</v>
      </c>
      <c r="AG428" t="n">
        <v>1</v>
      </c>
      <c r="AH428" t="n">
        <v>3</v>
      </c>
      <c r="AI428" t="n">
        <v>3</v>
      </c>
      <c r="AJ428" t="n">
        <v>7</v>
      </c>
      <c r="AK428" t="n">
        <v>7</v>
      </c>
      <c r="AL428" t="n">
        <v>2</v>
      </c>
      <c r="AM428" t="n">
        <v>2</v>
      </c>
      <c r="AN428" t="n">
        <v>0</v>
      </c>
      <c r="AO428" t="n">
        <v>0</v>
      </c>
      <c r="AP428" t="inlineStr">
        <is>
          <t>No</t>
        </is>
      </c>
      <c r="AQ428" t="inlineStr">
        <is>
          <t>Yes</t>
        </is>
      </c>
      <c r="AR428">
        <f>HYPERLINK("http://catalog.hathitrust.org/Record/003122687","HathiTrust Record")</f>
        <v/>
      </c>
      <c r="AS428">
        <f>HYPERLINK("https://creighton-primo.hosted.exlibrisgroup.com/primo-explore/search?tab=default_tab&amp;search_scope=EVERYTHING&amp;vid=01CRU&amp;lang=en_US&amp;offset=0&amp;query=any,contains,991002668589702656","Catalog Record")</f>
        <v/>
      </c>
      <c r="AT428">
        <f>HYPERLINK("http://www.worldcat.org/oclc/34906204","WorldCat Record")</f>
        <v/>
      </c>
      <c r="AU428" t="inlineStr">
        <is>
          <t>180864:eng</t>
        </is>
      </c>
      <c r="AV428" t="inlineStr">
        <is>
          <t>34906204</t>
        </is>
      </c>
      <c r="AW428" t="inlineStr">
        <is>
          <t>991002668589702656</t>
        </is>
      </c>
      <c r="AX428" t="inlineStr">
        <is>
          <t>991002668589702656</t>
        </is>
      </c>
      <c r="AY428" t="inlineStr">
        <is>
          <t>2262088520002656</t>
        </is>
      </c>
      <c r="AZ428" t="inlineStr">
        <is>
          <t>BOOK</t>
        </is>
      </c>
      <c r="BB428" t="inlineStr">
        <is>
          <t>9780387947938</t>
        </is>
      </c>
      <c r="BC428" t="inlineStr">
        <is>
          <t>32285002411626</t>
        </is>
      </c>
      <c r="BD428" t="inlineStr">
        <is>
          <t>893421649</t>
        </is>
      </c>
    </row>
    <row r="429">
      <c r="A429" t="inlineStr">
        <is>
          <t>No</t>
        </is>
      </c>
      <c r="B429" t="inlineStr">
        <is>
          <t>QB723.H17 H35 1996</t>
        </is>
      </c>
      <c r="C429" t="inlineStr">
        <is>
          <t>0                      QB 0723000H  17                 H  35          1996</t>
        </is>
      </c>
      <c r="D429" t="inlineStr">
        <is>
          <t>Everybody's comet : a layman's guide to Comet Hale-Bopp / by Alan Hale ; [foreword by Thomas Bopp]</t>
        </is>
      </c>
      <c r="F429" t="inlineStr">
        <is>
          <t>No</t>
        </is>
      </c>
      <c r="G429" t="inlineStr">
        <is>
          <t>1</t>
        </is>
      </c>
      <c r="H429" t="inlineStr">
        <is>
          <t>No</t>
        </is>
      </c>
      <c r="I429" t="inlineStr">
        <is>
          <t>No</t>
        </is>
      </c>
      <c r="J429" t="inlineStr">
        <is>
          <t>0</t>
        </is>
      </c>
      <c r="K429" t="inlineStr">
        <is>
          <t>Hale, Alan, 1958-</t>
        </is>
      </c>
      <c r="L429" t="inlineStr">
        <is>
          <t>Silver City, NM : High-Lonesome Books, c1996.</t>
        </is>
      </c>
      <c r="M429" t="inlineStr">
        <is>
          <t>1996</t>
        </is>
      </c>
      <c r="N429" t="inlineStr">
        <is>
          <t>1st ed.</t>
        </is>
      </c>
      <c r="O429" t="inlineStr">
        <is>
          <t>eng</t>
        </is>
      </c>
      <c r="P429" t="inlineStr">
        <is>
          <t>nmu</t>
        </is>
      </c>
      <c r="R429" t="inlineStr">
        <is>
          <t xml:space="preserve">QB </t>
        </is>
      </c>
      <c r="S429" t="n">
        <v>2</v>
      </c>
      <c r="T429" t="n">
        <v>2</v>
      </c>
      <c r="U429" t="inlineStr">
        <is>
          <t>1997-08-09</t>
        </is>
      </c>
      <c r="V429" t="inlineStr">
        <is>
          <t>1997-08-09</t>
        </is>
      </c>
      <c r="W429" t="inlineStr">
        <is>
          <t>1997-07-16</t>
        </is>
      </c>
      <c r="X429" t="inlineStr">
        <is>
          <t>1997-07-16</t>
        </is>
      </c>
      <c r="Y429" t="n">
        <v>302</v>
      </c>
      <c r="Z429" t="n">
        <v>288</v>
      </c>
      <c r="AA429" t="n">
        <v>289</v>
      </c>
      <c r="AB429" t="n">
        <v>1</v>
      </c>
      <c r="AC429" t="n">
        <v>1</v>
      </c>
      <c r="AD429" t="n">
        <v>5</v>
      </c>
      <c r="AE429" t="n">
        <v>5</v>
      </c>
      <c r="AF429" t="n">
        <v>0</v>
      </c>
      <c r="AG429" t="n">
        <v>0</v>
      </c>
      <c r="AH429" t="n">
        <v>0</v>
      </c>
      <c r="AI429" t="n">
        <v>0</v>
      </c>
      <c r="AJ429" t="n">
        <v>5</v>
      </c>
      <c r="AK429" t="n">
        <v>5</v>
      </c>
      <c r="AL429" t="n">
        <v>0</v>
      </c>
      <c r="AM429" t="n">
        <v>0</v>
      </c>
      <c r="AN429" t="n">
        <v>0</v>
      </c>
      <c r="AO429" t="n">
        <v>0</v>
      </c>
      <c r="AP429" t="inlineStr">
        <is>
          <t>No</t>
        </is>
      </c>
      <c r="AQ429" t="inlineStr">
        <is>
          <t>Yes</t>
        </is>
      </c>
      <c r="AR429">
        <f>HYPERLINK("http://catalog.hathitrust.org/Record/003138110","HathiTrust Record")</f>
        <v/>
      </c>
      <c r="AS429">
        <f>HYPERLINK("https://creighton-primo.hosted.exlibrisgroup.com/primo-explore/search?tab=default_tab&amp;search_scope=EVERYTHING&amp;vid=01CRU&amp;lang=en_US&amp;offset=0&amp;query=any,contains,991002742359702656","Catalog Record")</f>
        <v/>
      </c>
      <c r="AT429">
        <f>HYPERLINK("http://www.worldcat.org/oclc/36009068","WorldCat Record")</f>
        <v/>
      </c>
      <c r="AU429" t="inlineStr">
        <is>
          <t>40462030:eng</t>
        </is>
      </c>
      <c r="AV429" t="inlineStr">
        <is>
          <t>36009068</t>
        </is>
      </c>
      <c r="AW429" t="inlineStr">
        <is>
          <t>991002742359702656</t>
        </is>
      </c>
      <c r="AX429" t="inlineStr">
        <is>
          <t>991002742359702656</t>
        </is>
      </c>
      <c r="AY429" t="inlineStr">
        <is>
          <t>2265503450002656</t>
        </is>
      </c>
      <c r="AZ429" t="inlineStr">
        <is>
          <t>BOOK</t>
        </is>
      </c>
      <c r="BB429" t="inlineStr">
        <is>
          <t>9780944383384</t>
        </is>
      </c>
      <c r="BC429" t="inlineStr">
        <is>
          <t>32285002882461</t>
        </is>
      </c>
      <c r="BD429" t="inlineStr">
        <is>
          <t>893535167</t>
        </is>
      </c>
    </row>
    <row r="430">
      <c r="A430" t="inlineStr">
        <is>
          <t>No</t>
        </is>
      </c>
      <c r="B430" t="inlineStr">
        <is>
          <t>QB741 .H43 1998</t>
        </is>
      </c>
      <c r="C430" t="inlineStr">
        <is>
          <t>0                      QB 0741000H  43          1998</t>
        </is>
      </c>
      <c r="D430" t="inlineStr">
        <is>
          <t>The heavens on fire : the great Leonid meteor storms / Mark Littmann.</t>
        </is>
      </c>
      <c r="F430" t="inlineStr">
        <is>
          <t>No</t>
        </is>
      </c>
      <c r="G430" t="inlineStr">
        <is>
          <t>1</t>
        </is>
      </c>
      <c r="H430" t="inlineStr">
        <is>
          <t>No</t>
        </is>
      </c>
      <c r="I430" t="inlineStr">
        <is>
          <t>No</t>
        </is>
      </c>
      <c r="J430" t="inlineStr">
        <is>
          <t>0</t>
        </is>
      </c>
      <c r="L430" t="inlineStr">
        <is>
          <t>Cambridge, UK : Cambridge University Press, c1998.</t>
        </is>
      </c>
      <c r="M430" t="inlineStr">
        <is>
          <t>1998</t>
        </is>
      </c>
      <c r="O430" t="inlineStr">
        <is>
          <t>eng</t>
        </is>
      </c>
      <c r="P430" t="inlineStr">
        <is>
          <t>enk</t>
        </is>
      </c>
      <c r="R430" t="inlineStr">
        <is>
          <t xml:space="preserve">QB </t>
        </is>
      </c>
      <c r="S430" t="n">
        <v>1</v>
      </c>
      <c r="T430" t="n">
        <v>1</v>
      </c>
      <c r="U430" t="inlineStr">
        <is>
          <t>2000-10-02</t>
        </is>
      </c>
      <c r="V430" t="inlineStr">
        <is>
          <t>2000-10-02</t>
        </is>
      </c>
      <c r="W430" t="inlineStr">
        <is>
          <t>1998-11-16</t>
        </is>
      </c>
      <c r="X430" t="inlineStr">
        <is>
          <t>1998-11-16</t>
        </is>
      </c>
      <c r="Y430" t="n">
        <v>432</v>
      </c>
      <c r="Z430" t="n">
        <v>376</v>
      </c>
      <c r="AA430" t="n">
        <v>422</v>
      </c>
      <c r="AB430" t="n">
        <v>4</v>
      </c>
      <c r="AC430" t="n">
        <v>5</v>
      </c>
      <c r="AD430" t="n">
        <v>15</v>
      </c>
      <c r="AE430" t="n">
        <v>15</v>
      </c>
      <c r="AF430" t="n">
        <v>5</v>
      </c>
      <c r="AG430" t="n">
        <v>5</v>
      </c>
      <c r="AH430" t="n">
        <v>3</v>
      </c>
      <c r="AI430" t="n">
        <v>3</v>
      </c>
      <c r="AJ430" t="n">
        <v>8</v>
      </c>
      <c r="AK430" t="n">
        <v>8</v>
      </c>
      <c r="AL430" t="n">
        <v>3</v>
      </c>
      <c r="AM430" t="n">
        <v>3</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HYPERLINK("https://creighton-primo.hosted.exlibrisgroup.com/primo-explore/search?tab=default_tab&amp;search_scope=EVERYTHING&amp;vid=01CRU&amp;lang=en_US&amp;offset=0&amp;query=any,contains,991002985839702656","Catalog Record")</f>
        <v/>
      </c>
      <c r="AT430">
        <f>HYPERLINK("http://www.worldcat.org/oclc/40221861","WorldCat Record")</f>
        <v/>
      </c>
      <c r="AU430" t="inlineStr">
        <is>
          <t>20589435:eng</t>
        </is>
      </c>
      <c r="AV430" t="inlineStr">
        <is>
          <t>40221861</t>
        </is>
      </c>
      <c r="AW430" t="inlineStr">
        <is>
          <t>991002985839702656</t>
        </is>
      </c>
      <c r="AX430" t="inlineStr">
        <is>
          <t>991002985839702656</t>
        </is>
      </c>
      <c r="AY430" t="inlineStr">
        <is>
          <t>2258506380002656</t>
        </is>
      </c>
      <c r="AZ430" t="inlineStr">
        <is>
          <t>BOOK</t>
        </is>
      </c>
      <c r="BB430" t="inlineStr">
        <is>
          <t>9780521624053</t>
        </is>
      </c>
      <c r="BC430" t="inlineStr">
        <is>
          <t>32285003489167</t>
        </is>
      </c>
      <c r="BD430" t="inlineStr">
        <is>
          <t>893518028</t>
        </is>
      </c>
    </row>
    <row r="431">
      <c r="A431" t="inlineStr">
        <is>
          <t>No</t>
        </is>
      </c>
      <c r="B431" t="inlineStr">
        <is>
          <t>QB755 .H43</t>
        </is>
      </c>
      <c r="C431" t="inlineStr">
        <is>
          <t>0                      QB 0755000H  43</t>
        </is>
      </c>
      <c r="D431" t="inlineStr">
        <is>
          <t>Meteorites. Translated by Edward Anders in collaboration with Eugene R. DuFresne.</t>
        </is>
      </c>
      <c r="F431" t="inlineStr">
        <is>
          <t>No</t>
        </is>
      </c>
      <c r="G431" t="inlineStr">
        <is>
          <t>1</t>
        </is>
      </c>
      <c r="H431" t="inlineStr">
        <is>
          <t>No</t>
        </is>
      </c>
      <c r="I431" t="inlineStr">
        <is>
          <t>No</t>
        </is>
      </c>
      <c r="J431" t="inlineStr">
        <is>
          <t>0</t>
        </is>
      </c>
      <c r="K431" t="inlineStr">
        <is>
          <t>Heide, Fritz, 1891-1973.</t>
        </is>
      </c>
      <c r="L431" t="inlineStr">
        <is>
          <t>Chicago, University of Chicago Press [1964]</t>
        </is>
      </c>
      <c r="M431" t="inlineStr">
        <is>
          <t>1964</t>
        </is>
      </c>
      <c r="O431" t="inlineStr">
        <is>
          <t>eng</t>
        </is>
      </c>
      <c r="P431" t="inlineStr">
        <is>
          <t>ilu</t>
        </is>
      </c>
      <c r="R431" t="inlineStr">
        <is>
          <t xml:space="preserve">QB </t>
        </is>
      </c>
      <c r="S431" t="n">
        <v>1</v>
      </c>
      <c r="T431" t="n">
        <v>1</v>
      </c>
      <c r="U431" t="inlineStr">
        <is>
          <t>2000-10-02</t>
        </is>
      </c>
      <c r="V431" t="inlineStr">
        <is>
          <t>2000-10-02</t>
        </is>
      </c>
      <c r="W431" t="inlineStr">
        <is>
          <t>1997-05-05</t>
        </is>
      </c>
      <c r="X431" t="inlineStr">
        <is>
          <t>1997-05-05</t>
        </is>
      </c>
      <c r="Y431" t="n">
        <v>754</v>
      </c>
      <c r="Z431" t="n">
        <v>670</v>
      </c>
      <c r="AA431" t="n">
        <v>678</v>
      </c>
      <c r="AB431" t="n">
        <v>3</v>
      </c>
      <c r="AC431" t="n">
        <v>5</v>
      </c>
      <c r="AD431" t="n">
        <v>17</v>
      </c>
      <c r="AE431" t="n">
        <v>20</v>
      </c>
      <c r="AF431" t="n">
        <v>7</v>
      </c>
      <c r="AG431" t="n">
        <v>8</v>
      </c>
      <c r="AH431" t="n">
        <v>2</v>
      </c>
      <c r="AI431" t="n">
        <v>2</v>
      </c>
      <c r="AJ431" t="n">
        <v>8</v>
      </c>
      <c r="AK431" t="n">
        <v>8</v>
      </c>
      <c r="AL431" t="n">
        <v>2</v>
      </c>
      <c r="AM431" t="n">
        <v>4</v>
      </c>
      <c r="AN431" t="n">
        <v>0</v>
      </c>
      <c r="AO431" t="n">
        <v>0</v>
      </c>
      <c r="AP431" t="inlineStr">
        <is>
          <t>No</t>
        </is>
      </c>
      <c r="AQ431" t="inlineStr">
        <is>
          <t>Yes</t>
        </is>
      </c>
      <c r="AR431">
        <f>HYPERLINK("http://catalog.hathitrust.org/Record/001477099","HathiTrust Record")</f>
        <v/>
      </c>
      <c r="AS431">
        <f>HYPERLINK("https://creighton-primo.hosted.exlibrisgroup.com/primo-explore/search?tab=default_tab&amp;search_scope=EVERYTHING&amp;vid=01CRU&amp;lang=en_US&amp;offset=0&amp;query=any,contains,991002561589702656","Catalog Record")</f>
        <v/>
      </c>
      <c r="AT431">
        <f>HYPERLINK("http://www.worldcat.org/oclc/371822","WorldCat Record")</f>
        <v/>
      </c>
      <c r="AU431" t="inlineStr">
        <is>
          <t>1449925:eng</t>
        </is>
      </c>
      <c r="AV431" t="inlineStr">
        <is>
          <t>371822</t>
        </is>
      </c>
      <c r="AW431" t="inlineStr">
        <is>
          <t>991002561589702656</t>
        </is>
      </c>
      <c r="AX431" t="inlineStr">
        <is>
          <t>991002561589702656</t>
        </is>
      </c>
      <c r="AY431" t="inlineStr">
        <is>
          <t>2259951430002656</t>
        </is>
      </c>
      <c r="AZ431" t="inlineStr">
        <is>
          <t>BOOK</t>
        </is>
      </c>
      <c r="BC431" t="inlineStr">
        <is>
          <t>32285002642568</t>
        </is>
      </c>
      <c r="BD431" t="inlineStr">
        <is>
          <t>893704220</t>
        </is>
      </c>
    </row>
    <row r="432">
      <c r="A432" t="inlineStr">
        <is>
          <t>No</t>
        </is>
      </c>
      <c r="B432" t="inlineStr">
        <is>
          <t>QB755 .N48</t>
        </is>
      </c>
      <c r="C432" t="inlineStr">
        <is>
          <t>0                      QB 0755000N  48</t>
        </is>
      </c>
      <c r="D432" t="inlineStr">
        <is>
          <t>Arizona's meteorite crater; past, present, future.</t>
        </is>
      </c>
      <c r="F432" t="inlineStr">
        <is>
          <t>No</t>
        </is>
      </c>
      <c r="G432" t="inlineStr">
        <is>
          <t>1</t>
        </is>
      </c>
      <c r="H432" t="inlineStr">
        <is>
          <t>No</t>
        </is>
      </c>
      <c r="I432" t="inlineStr">
        <is>
          <t>No</t>
        </is>
      </c>
      <c r="J432" t="inlineStr">
        <is>
          <t>0</t>
        </is>
      </c>
      <c r="K432" t="inlineStr">
        <is>
          <t>Nininger, Harvey Harlow, 1887-</t>
        </is>
      </c>
      <c r="L432" t="inlineStr">
        <is>
          <t>Sedona, Ariz., American Meteorite Museum [c1956]</t>
        </is>
      </c>
      <c r="M432" t="inlineStr">
        <is>
          <t>1956</t>
        </is>
      </c>
      <c r="O432" t="inlineStr">
        <is>
          <t>eng</t>
        </is>
      </c>
      <c r="P432" t="inlineStr">
        <is>
          <t>azu</t>
        </is>
      </c>
      <c r="R432" t="inlineStr">
        <is>
          <t xml:space="preserve">QB </t>
        </is>
      </c>
      <c r="S432" t="n">
        <v>1</v>
      </c>
      <c r="T432" t="n">
        <v>1</v>
      </c>
      <c r="U432" t="inlineStr">
        <is>
          <t>2000-10-02</t>
        </is>
      </c>
      <c r="V432" t="inlineStr">
        <is>
          <t>2000-10-02</t>
        </is>
      </c>
      <c r="W432" t="inlineStr">
        <is>
          <t>1997-05-05</t>
        </is>
      </c>
      <c r="X432" t="inlineStr">
        <is>
          <t>1997-05-05</t>
        </is>
      </c>
      <c r="Y432" t="n">
        <v>238</v>
      </c>
      <c r="Z432" t="n">
        <v>224</v>
      </c>
      <c r="AA432" t="n">
        <v>267</v>
      </c>
      <c r="AB432" t="n">
        <v>2</v>
      </c>
      <c r="AC432" t="n">
        <v>2</v>
      </c>
      <c r="AD432" t="n">
        <v>4</v>
      </c>
      <c r="AE432" t="n">
        <v>4</v>
      </c>
      <c r="AF432" t="n">
        <v>1</v>
      </c>
      <c r="AG432" t="n">
        <v>1</v>
      </c>
      <c r="AH432" t="n">
        <v>1</v>
      </c>
      <c r="AI432" t="n">
        <v>1</v>
      </c>
      <c r="AJ432" t="n">
        <v>1</v>
      </c>
      <c r="AK432" t="n">
        <v>1</v>
      </c>
      <c r="AL432" t="n">
        <v>1</v>
      </c>
      <c r="AM432" t="n">
        <v>1</v>
      </c>
      <c r="AN432" t="n">
        <v>0</v>
      </c>
      <c r="AO432" t="n">
        <v>0</v>
      </c>
      <c r="AP432" t="inlineStr">
        <is>
          <t>No</t>
        </is>
      </c>
      <c r="AQ432" t="inlineStr">
        <is>
          <t>Yes</t>
        </is>
      </c>
      <c r="AR432">
        <f>HYPERLINK("http://catalog.hathitrust.org/Record/001477104","HathiTrust Record")</f>
        <v/>
      </c>
      <c r="AS432">
        <f>HYPERLINK("https://creighton-primo.hosted.exlibrisgroup.com/primo-explore/search?tab=default_tab&amp;search_scope=EVERYTHING&amp;vid=01CRU&amp;lang=en_US&amp;offset=0&amp;query=any,contains,991003783529702656","Catalog Record")</f>
        <v/>
      </c>
      <c r="AT432">
        <f>HYPERLINK("http://www.worldcat.org/oclc/1498634","WorldCat Record")</f>
        <v/>
      </c>
      <c r="AU432" t="inlineStr">
        <is>
          <t>2431449:eng</t>
        </is>
      </c>
      <c r="AV432" t="inlineStr">
        <is>
          <t>1498634</t>
        </is>
      </c>
      <c r="AW432" t="inlineStr">
        <is>
          <t>991003783529702656</t>
        </is>
      </c>
      <c r="AX432" t="inlineStr">
        <is>
          <t>991003783529702656</t>
        </is>
      </c>
      <c r="AY432" t="inlineStr">
        <is>
          <t>2269085040002656</t>
        </is>
      </c>
      <c r="AZ432" t="inlineStr">
        <is>
          <t>BOOK</t>
        </is>
      </c>
      <c r="BC432" t="inlineStr">
        <is>
          <t>32285002642592</t>
        </is>
      </c>
      <c r="BD432" t="inlineStr">
        <is>
          <t>893775188</t>
        </is>
      </c>
    </row>
    <row r="433">
      <c r="A433" t="inlineStr">
        <is>
          <t>No</t>
        </is>
      </c>
      <c r="B433" t="inlineStr">
        <is>
          <t>QB790 .S66</t>
        </is>
      </c>
      <c r="C433" t="inlineStr">
        <is>
          <t>0                      QB 0790000S  66</t>
        </is>
      </c>
      <c r="D433" t="inlineStr">
        <is>
          <t>Diffuse matter in space.</t>
        </is>
      </c>
      <c r="F433" t="inlineStr">
        <is>
          <t>No</t>
        </is>
      </c>
      <c r="G433" t="inlineStr">
        <is>
          <t>1</t>
        </is>
      </c>
      <c r="H433" t="inlineStr">
        <is>
          <t>No</t>
        </is>
      </c>
      <c r="I433" t="inlineStr">
        <is>
          <t>No</t>
        </is>
      </c>
      <c r="J433" t="inlineStr">
        <is>
          <t>0</t>
        </is>
      </c>
      <c r="K433" t="inlineStr">
        <is>
          <t>Spitzer, Lyman, 1914-1997.</t>
        </is>
      </c>
      <c r="L433" t="inlineStr">
        <is>
          <t>New York, Interscience Publishers [1968]</t>
        </is>
      </c>
      <c r="M433" t="inlineStr">
        <is>
          <t>1968</t>
        </is>
      </c>
      <c r="O433" t="inlineStr">
        <is>
          <t>eng</t>
        </is>
      </c>
      <c r="P433" t="inlineStr">
        <is>
          <t>nyu</t>
        </is>
      </c>
      <c r="Q433" t="inlineStr">
        <is>
          <t>Interscience tracts on physics and astronomy ; 28</t>
        </is>
      </c>
      <c r="R433" t="inlineStr">
        <is>
          <t xml:space="preserve">QB </t>
        </is>
      </c>
      <c r="S433" t="n">
        <v>1</v>
      </c>
      <c r="T433" t="n">
        <v>1</v>
      </c>
      <c r="U433" t="inlineStr">
        <is>
          <t>2008-07-08</t>
        </is>
      </c>
      <c r="V433" t="inlineStr">
        <is>
          <t>2008-07-08</t>
        </is>
      </c>
      <c r="W433" t="inlineStr">
        <is>
          <t>1992-11-23</t>
        </is>
      </c>
      <c r="X433" t="inlineStr">
        <is>
          <t>1992-11-23</t>
        </is>
      </c>
      <c r="Y433" t="n">
        <v>474</v>
      </c>
      <c r="Z433" t="n">
        <v>352</v>
      </c>
      <c r="AA433" t="n">
        <v>358</v>
      </c>
      <c r="AB433" t="n">
        <v>2</v>
      </c>
      <c r="AC433" t="n">
        <v>2</v>
      </c>
      <c r="AD433" t="n">
        <v>14</v>
      </c>
      <c r="AE433" t="n">
        <v>14</v>
      </c>
      <c r="AF433" t="n">
        <v>3</v>
      </c>
      <c r="AG433" t="n">
        <v>3</v>
      </c>
      <c r="AH433" t="n">
        <v>2</v>
      </c>
      <c r="AI433" t="n">
        <v>2</v>
      </c>
      <c r="AJ433" t="n">
        <v>10</v>
      </c>
      <c r="AK433" t="n">
        <v>10</v>
      </c>
      <c r="AL433" t="n">
        <v>1</v>
      </c>
      <c r="AM433" t="n">
        <v>1</v>
      </c>
      <c r="AN433" t="n">
        <v>0</v>
      </c>
      <c r="AO433" t="n">
        <v>0</v>
      </c>
      <c r="AP433" t="inlineStr">
        <is>
          <t>No</t>
        </is>
      </c>
      <c r="AQ433" t="inlineStr">
        <is>
          <t>Yes</t>
        </is>
      </c>
      <c r="AR433">
        <f>HYPERLINK("http://catalog.hathitrust.org/Record/001477114","HathiTrust Record")</f>
        <v/>
      </c>
      <c r="AS433">
        <f>HYPERLINK("https://creighton-primo.hosted.exlibrisgroup.com/primo-explore/search?tab=default_tab&amp;search_scope=EVERYTHING&amp;vid=01CRU&amp;lang=en_US&amp;offset=0&amp;query=any,contains,991001987989702656","Catalog Record")</f>
        <v/>
      </c>
      <c r="AT433">
        <f>HYPERLINK("http://www.worldcat.org/oclc/254863","WorldCat Record")</f>
        <v/>
      </c>
      <c r="AU433" t="inlineStr">
        <is>
          <t>342720459:eng</t>
        </is>
      </c>
      <c r="AV433" t="inlineStr">
        <is>
          <t>254863</t>
        </is>
      </c>
      <c r="AW433" t="inlineStr">
        <is>
          <t>991001987989702656</t>
        </is>
      </c>
      <c r="AX433" t="inlineStr">
        <is>
          <t>991001987989702656</t>
        </is>
      </c>
      <c r="AY433" t="inlineStr">
        <is>
          <t>2269374690002656</t>
        </is>
      </c>
      <c r="AZ433" t="inlineStr">
        <is>
          <t>BOOK</t>
        </is>
      </c>
      <c r="BB433" t="inlineStr">
        <is>
          <t>9780470817100</t>
        </is>
      </c>
      <c r="BC433" t="inlineStr">
        <is>
          <t>32285001434116</t>
        </is>
      </c>
      <c r="BD433" t="inlineStr">
        <is>
          <t>893262021</t>
        </is>
      </c>
    </row>
    <row r="434">
      <c r="A434" t="inlineStr">
        <is>
          <t>No</t>
        </is>
      </c>
      <c r="B434" t="inlineStr">
        <is>
          <t>QB790 .S67</t>
        </is>
      </c>
      <c r="C434" t="inlineStr">
        <is>
          <t>0                      QB 0790000S  67</t>
        </is>
      </c>
      <c r="D434" t="inlineStr">
        <is>
          <t>Physical processes in the interstellar medium / Lyman Spitzer, Jr.</t>
        </is>
      </c>
      <c r="F434" t="inlineStr">
        <is>
          <t>No</t>
        </is>
      </c>
      <c r="G434" t="inlineStr">
        <is>
          <t>1</t>
        </is>
      </c>
      <c r="H434" t="inlineStr">
        <is>
          <t>No</t>
        </is>
      </c>
      <c r="I434" t="inlineStr">
        <is>
          <t>No</t>
        </is>
      </c>
      <c r="J434" t="inlineStr">
        <is>
          <t>0</t>
        </is>
      </c>
      <c r="K434" t="inlineStr">
        <is>
          <t>Spitzer, Lyman, 1914-1997.</t>
        </is>
      </c>
      <c r="L434" t="inlineStr">
        <is>
          <t>New York : Wiley, c1978.</t>
        </is>
      </c>
      <c r="M434" t="inlineStr">
        <is>
          <t>1978</t>
        </is>
      </c>
      <c r="O434" t="inlineStr">
        <is>
          <t>eng</t>
        </is>
      </c>
      <c r="P434" t="inlineStr">
        <is>
          <t>nyu</t>
        </is>
      </c>
      <c r="R434" t="inlineStr">
        <is>
          <t xml:space="preserve">QB </t>
        </is>
      </c>
      <c r="S434" t="n">
        <v>3</v>
      </c>
      <c r="T434" t="n">
        <v>3</v>
      </c>
      <c r="U434" t="inlineStr">
        <is>
          <t>2009-09-04</t>
        </is>
      </c>
      <c r="V434" t="inlineStr">
        <is>
          <t>2009-09-04</t>
        </is>
      </c>
      <c r="W434" t="inlineStr">
        <is>
          <t>1999-12-06</t>
        </is>
      </c>
      <c r="X434" t="inlineStr">
        <is>
          <t>1999-12-06</t>
        </is>
      </c>
      <c r="Y434" t="n">
        <v>473</v>
      </c>
      <c r="Z434" t="n">
        <v>341</v>
      </c>
      <c r="AA434" t="n">
        <v>422</v>
      </c>
      <c r="AB434" t="n">
        <v>3</v>
      </c>
      <c r="AC434" t="n">
        <v>3</v>
      </c>
      <c r="AD434" t="n">
        <v>11</v>
      </c>
      <c r="AE434" t="n">
        <v>13</v>
      </c>
      <c r="AF434" t="n">
        <v>2</v>
      </c>
      <c r="AG434" t="n">
        <v>2</v>
      </c>
      <c r="AH434" t="n">
        <v>4</v>
      </c>
      <c r="AI434" t="n">
        <v>4</v>
      </c>
      <c r="AJ434" t="n">
        <v>5</v>
      </c>
      <c r="AK434" t="n">
        <v>7</v>
      </c>
      <c r="AL434" t="n">
        <v>2</v>
      </c>
      <c r="AM434" t="n">
        <v>2</v>
      </c>
      <c r="AN434" t="n">
        <v>0</v>
      </c>
      <c r="AO434" t="n">
        <v>0</v>
      </c>
      <c r="AP434" t="inlineStr">
        <is>
          <t>No</t>
        </is>
      </c>
      <c r="AQ434" t="inlineStr">
        <is>
          <t>Yes</t>
        </is>
      </c>
      <c r="AR434">
        <f>HYPERLINK("http://catalog.hathitrust.org/Record/000747201","HathiTrust Record")</f>
        <v/>
      </c>
      <c r="AS434">
        <f>HYPERLINK("https://creighton-primo.hosted.exlibrisgroup.com/primo-explore/search?tab=default_tab&amp;search_scope=EVERYTHING&amp;vid=01CRU&amp;lang=en_US&amp;offset=0&amp;query=any,contains,991004394219702656","Catalog Record")</f>
        <v/>
      </c>
      <c r="AT434">
        <f>HYPERLINK("http://www.worldcat.org/oclc/3274329","WorldCat Record")</f>
        <v/>
      </c>
      <c r="AU434" t="inlineStr">
        <is>
          <t>342732389:eng</t>
        </is>
      </c>
      <c r="AV434" t="inlineStr">
        <is>
          <t>3274329</t>
        </is>
      </c>
      <c r="AW434" t="inlineStr">
        <is>
          <t>991004394219702656</t>
        </is>
      </c>
      <c r="AX434" t="inlineStr">
        <is>
          <t>991004394219702656</t>
        </is>
      </c>
      <c r="AY434" t="inlineStr">
        <is>
          <t>2256241650002656</t>
        </is>
      </c>
      <c r="AZ434" t="inlineStr">
        <is>
          <t>BOOK</t>
        </is>
      </c>
      <c r="BB434" t="inlineStr">
        <is>
          <t>9780471022329</t>
        </is>
      </c>
      <c r="BC434" t="inlineStr">
        <is>
          <t>32285003628350</t>
        </is>
      </c>
      <c r="BD434" t="inlineStr">
        <is>
          <t>893605979</t>
        </is>
      </c>
    </row>
    <row r="435">
      <c r="A435" t="inlineStr">
        <is>
          <t>No</t>
        </is>
      </c>
      <c r="B435" t="inlineStr">
        <is>
          <t>QB791.3 .B36 1993</t>
        </is>
      </c>
      <c r="C435" t="inlineStr">
        <is>
          <t>0                      QB 0791300B  36          1993</t>
        </is>
      </c>
      <c r="D435" t="inlineStr">
        <is>
          <t>Through a universe darkly : a cosmic tale of ancient ethers, dark matter, and the fate of the universe / Marcia Bartusiak.</t>
        </is>
      </c>
      <c r="F435" t="inlineStr">
        <is>
          <t>No</t>
        </is>
      </c>
      <c r="G435" t="inlineStr">
        <is>
          <t>1</t>
        </is>
      </c>
      <c r="H435" t="inlineStr">
        <is>
          <t>No</t>
        </is>
      </c>
      <c r="I435" t="inlineStr">
        <is>
          <t>No</t>
        </is>
      </c>
      <c r="J435" t="inlineStr">
        <is>
          <t>0</t>
        </is>
      </c>
      <c r="K435" t="inlineStr">
        <is>
          <t>Bartusiak, Marcia, 1950-</t>
        </is>
      </c>
      <c r="L435" t="inlineStr">
        <is>
          <t>New York : HarperCollins, c1993.</t>
        </is>
      </c>
      <c r="M435" t="inlineStr">
        <is>
          <t>1993</t>
        </is>
      </c>
      <c r="N435" t="inlineStr">
        <is>
          <t>1st ed.</t>
        </is>
      </c>
      <c r="O435" t="inlineStr">
        <is>
          <t>eng</t>
        </is>
      </c>
      <c r="P435" t="inlineStr">
        <is>
          <t>nyu</t>
        </is>
      </c>
      <c r="R435" t="inlineStr">
        <is>
          <t xml:space="preserve">QB </t>
        </is>
      </c>
      <c r="S435" t="n">
        <v>3</v>
      </c>
      <c r="T435" t="n">
        <v>3</v>
      </c>
      <c r="U435" t="inlineStr">
        <is>
          <t>2007-11-19</t>
        </is>
      </c>
      <c r="V435" t="inlineStr">
        <is>
          <t>2007-11-19</t>
        </is>
      </c>
      <c r="W435" t="inlineStr">
        <is>
          <t>1994-05-24</t>
        </is>
      </c>
      <c r="X435" t="inlineStr">
        <is>
          <t>1994-05-24</t>
        </is>
      </c>
      <c r="Y435" t="n">
        <v>756</v>
      </c>
      <c r="Z435" t="n">
        <v>713</v>
      </c>
      <c r="AA435" t="n">
        <v>741</v>
      </c>
      <c r="AB435" t="n">
        <v>4</v>
      </c>
      <c r="AC435" t="n">
        <v>5</v>
      </c>
      <c r="AD435" t="n">
        <v>21</v>
      </c>
      <c r="AE435" t="n">
        <v>24</v>
      </c>
      <c r="AF435" t="n">
        <v>8</v>
      </c>
      <c r="AG435" t="n">
        <v>9</v>
      </c>
      <c r="AH435" t="n">
        <v>5</v>
      </c>
      <c r="AI435" t="n">
        <v>5</v>
      </c>
      <c r="AJ435" t="n">
        <v>12</v>
      </c>
      <c r="AK435" t="n">
        <v>13</v>
      </c>
      <c r="AL435" t="n">
        <v>2</v>
      </c>
      <c r="AM435" t="n">
        <v>3</v>
      </c>
      <c r="AN435" t="n">
        <v>0</v>
      </c>
      <c r="AO435" t="n">
        <v>0</v>
      </c>
      <c r="AP435" t="inlineStr">
        <is>
          <t>No</t>
        </is>
      </c>
      <c r="AQ435" t="inlineStr">
        <is>
          <t>Yes</t>
        </is>
      </c>
      <c r="AR435">
        <f>HYPERLINK("http://catalog.hathitrust.org/Record/002654960","HathiTrust Record")</f>
        <v/>
      </c>
      <c r="AS435">
        <f>HYPERLINK("https://creighton-primo.hosted.exlibrisgroup.com/primo-explore/search?tab=default_tab&amp;search_scope=EVERYTHING&amp;vid=01CRU&amp;lang=en_US&amp;offset=0&amp;query=any,contains,991002128369702656","Catalog Record")</f>
        <v/>
      </c>
      <c r="AT435">
        <f>HYPERLINK("http://www.worldcat.org/oclc/27265728","WorldCat Record")</f>
        <v/>
      </c>
      <c r="AU435" t="inlineStr">
        <is>
          <t>55660536:eng</t>
        </is>
      </c>
      <c r="AV435" t="inlineStr">
        <is>
          <t>27265728</t>
        </is>
      </c>
      <c r="AW435" t="inlineStr">
        <is>
          <t>991002128369702656</t>
        </is>
      </c>
      <c r="AX435" t="inlineStr">
        <is>
          <t>991002128369702656</t>
        </is>
      </c>
      <c r="AY435" t="inlineStr">
        <is>
          <t>2269619800002656</t>
        </is>
      </c>
      <c r="AZ435" t="inlineStr">
        <is>
          <t>BOOK</t>
        </is>
      </c>
      <c r="BB435" t="inlineStr">
        <is>
          <t>9780060183103</t>
        </is>
      </c>
      <c r="BC435" t="inlineStr">
        <is>
          <t>32285001898468</t>
        </is>
      </c>
      <c r="BD435" t="inlineStr">
        <is>
          <t>893244782</t>
        </is>
      </c>
    </row>
    <row r="436">
      <c r="A436" t="inlineStr">
        <is>
          <t>No</t>
        </is>
      </c>
      <c r="B436" t="inlineStr">
        <is>
          <t>QB791.3 .K73 1989</t>
        </is>
      </c>
      <c r="C436" t="inlineStr">
        <is>
          <t>0                      QB 0791300K  73          1989</t>
        </is>
      </c>
      <c r="D436" t="inlineStr">
        <is>
          <t>The fifth essence : the search for dark matter in the universe / Lawrence M. Krauss.</t>
        </is>
      </c>
      <c r="F436" t="inlineStr">
        <is>
          <t>No</t>
        </is>
      </c>
      <c r="G436" t="inlineStr">
        <is>
          <t>1</t>
        </is>
      </c>
      <c r="H436" t="inlineStr">
        <is>
          <t>No</t>
        </is>
      </c>
      <c r="I436" t="inlineStr">
        <is>
          <t>No</t>
        </is>
      </c>
      <c r="J436" t="inlineStr">
        <is>
          <t>0</t>
        </is>
      </c>
      <c r="K436" t="inlineStr">
        <is>
          <t>Krauss, Lawrence M., 1954-</t>
        </is>
      </c>
      <c r="L436" t="inlineStr">
        <is>
          <t>New York : Basic Books, c1989.</t>
        </is>
      </c>
      <c r="M436" t="inlineStr">
        <is>
          <t>1989</t>
        </is>
      </c>
      <c r="O436" t="inlineStr">
        <is>
          <t>eng</t>
        </is>
      </c>
      <c r="P436" t="inlineStr">
        <is>
          <t>nyu</t>
        </is>
      </c>
      <c r="R436" t="inlineStr">
        <is>
          <t xml:space="preserve">QB </t>
        </is>
      </c>
      <c r="S436" t="n">
        <v>2</v>
      </c>
      <c r="T436" t="n">
        <v>2</v>
      </c>
      <c r="U436" t="inlineStr">
        <is>
          <t>2007-11-19</t>
        </is>
      </c>
      <c r="V436" t="inlineStr">
        <is>
          <t>2007-11-19</t>
        </is>
      </c>
      <c r="W436" t="inlineStr">
        <is>
          <t>1990-05-17</t>
        </is>
      </c>
      <c r="X436" t="inlineStr">
        <is>
          <t>1990-05-17</t>
        </is>
      </c>
      <c r="Y436" t="n">
        <v>654</v>
      </c>
      <c r="Z436" t="n">
        <v>575</v>
      </c>
      <c r="AA436" t="n">
        <v>587</v>
      </c>
      <c r="AB436" t="n">
        <v>4</v>
      </c>
      <c r="AC436" t="n">
        <v>4</v>
      </c>
      <c r="AD436" t="n">
        <v>20</v>
      </c>
      <c r="AE436" t="n">
        <v>21</v>
      </c>
      <c r="AF436" t="n">
        <v>5</v>
      </c>
      <c r="AG436" t="n">
        <v>6</v>
      </c>
      <c r="AH436" t="n">
        <v>5</v>
      </c>
      <c r="AI436" t="n">
        <v>5</v>
      </c>
      <c r="AJ436" t="n">
        <v>13</v>
      </c>
      <c r="AK436" t="n">
        <v>13</v>
      </c>
      <c r="AL436" t="n">
        <v>3</v>
      </c>
      <c r="AM436" t="n">
        <v>3</v>
      </c>
      <c r="AN436" t="n">
        <v>0</v>
      </c>
      <c r="AO436" t="n">
        <v>0</v>
      </c>
      <c r="AP436" t="inlineStr">
        <is>
          <t>No</t>
        </is>
      </c>
      <c r="AQ436" t="inlineStr">
        <is>
          <t>Yes</t>
        </is>
      </c>
      <c r="AR436">
        <f>HYPERLINK("http://catalog.hathitrust.org/Record/001830994","HathiTrust Record")</f>
        <v/>
      </c>
      <c r="AS436">
        <f>HYPERLINK("https://creighton-primo.hosted.exlibrisgroup.com/primo-explore/search?tab=default_tab&amp;search_scope=EVERYTHING&amp;vid=01CRU&amp;lang=en_US&amp;offset=0&amp;query=any,contains,991001540599702656","Catalog Record")</f>
        <v/>
      </c>
      <c r="AT436">
        <f>HYPERLINK("http://www.worldcat.org/oclc/20130057","WorldCat Record")</f>
        <v/>
      </c>
      <c r="AU436" t="inlineStr">
        <is>
          <t>918026163:eng</t>
        </is>
      </c>
      <c r="AV436" t="inlineStr">
        <is>
          <t>20130057</t>
        </is>
      </c>
      <c r="AW436" t="inlineStr">
        <is>
          <t>991001540599702656</t>
        </is>
      </c>
      <c r="AX436" t="inlineStr">
        <is>
          <t>991001540599702656</t>
        </is>
      </c>
      <c r="AY436" t="inlineStr">
        <is>
          <t>2263686220002656</t>
        </is>
      </c>
      <c r="AZ436" t="inlineStr">
        <is>
          <t>BOOK</t>
        </is>
      </c>
      <c r="BB436" t="inlineStr">
        <is>
          <t>9780465023752</t>
        </is>
      </c>
      <c r="BC436" t="inlineStr">
        <is>
          <t>32285000137736</t>
        </is>
      </c>
      <c r="BD436" t="inlineStr">
        <is>
          <t>893408197</t>
        </is>
      </c>
    </row>
    <row r="437">
      <c r="A437" t="inlineStr">
        <is>
          <t>No</t>
        </is>
      </c>
      <c r="B437" t="inlineStr">
        <is>
          <t>QB791.3 .R56 1991</t>
        </is>
      </c>
      <c r="C437" t="inlineStr">
        <is>
          <t>0                      QB 0791300R  56          1991</t>
        </is>
      </c>
      <c r="D437" t="inlineStr">
        <is>
          <t>The shadows of creation : dark matter and the structure of the universe / Michael Riordan, David N. Schramm.</t>
        </is>
      </c>
      <c r="F437" t="inlineStr">
        <is>
          <t>No</t>
        </is>
      </c>
      <c r="G437" t="inlineStr">
        <is>
          <t>1</t>
        </is>
      </c>
      <c r="H437" t="inlineStr">
        <is>
          <t>No</t>
        </is>
      </c>
      <c r="I437" t="inlineStr">
        <is>
          <t>No</t>
        </is>
      </c>
      <c r="J437" t="inlineStr">
        <is>
          <t>0</t>
        </is>
      </c>
      <c r="K437" t="inlineStr">
        <is>
          <t>Riordan, Michael.</t>
        </is>
      </c>
      <c r="L437" t="inlineStr">
        <is>
          <t>New York : W.H. Freeman and Co., 1991.</t>
        </is>
      </c>
      <c r="M437" t="inlineStr">
        <is>
          <t>1991</t>
        </is>
      </c>
      <c r="O437" t="inlineStr">
        <is>
          <t>eng</t>
        </is>
      </c>
      <c r="P437" t="inlineStr">
        <is>
          <t>nyu</t>
        </is>
      </c>
      <c r="R437" t="inlineStr">
        <is>
          <t xml:space="preserve">QB </t>
        </is>
      </c>
      <c r="S437" t="n">
        <v>5</v>
      </c>
      <c r="T437" t="n">
        <v>5</v>
      </c>
      <c r="U437" t="inlineStr">
        <is>
          <t>2007-11-19</t>
        </is>
      </c>
      <c r="V437" t="inlineStr">
        <is>
          <t>2007-11-19</t>
        </is>
      </c>
      <c r="W437" t="inlineStr">
        <is>
          <t>1991-06-05</t>
        </is>
      </c>
      <c r="X437" t="inlineStr">
        <is>
          <t>1991-06-05</t>
        </is>
      </c>
      <c r="Y437" t="n">
        <v>758</v>
      </c>
      <c r="Z437" t="n">
        <v>631</v>
      </c>
      <c r="AA437" t="n">
        <v>645</v>
      </c>
      <c r="AB437" t="n">
        <v>4</v>
      </c>
      <c r="AC437" t="n">
        <v>5</v>
      </c>
      <c r="AD437" t="n">
        <v>23</v>
      </c>
      <c r="AE437" t="n">
        <v>23</v>
      </c>
      <c r="AF437" t="n">
        <v>7</v>
      </c>
      <c r="AG437" t="n">
        <v>7</v>
      </c>
      <c r="AH437" t="n">
        <v>6</v>
      </c>
      <c r="AI437" t="n">
        <v>6</v>
      </c>
      <c r="AJ437" t="n">
        <v>13</v>
      </c>
      <c r="AK437" t="n">
        <v>13</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HYPERLINK("https://creighton-primo.hosted.exlibrisgroup.com/primo-explore/search?tab=default_tab&amp;search_scope=EVERYTHING&amp;vid=01CRU&amp;lang=en_US&amp;offset=0&amp;query=any,contains,991001741049702656","Catalog Record")</f>
        <v/>
      </c>
      <c r="AT437">
        <f>HYPERLINK("http://www.worldcat.org/oclc/22004718","WorldCat Record")</f>
        <v/>
      </c>
      <c r="AU437" t="inlineStr">
        <is>
          <t>20711255:eng</t>
        </is>
      </c>
      <c r="AV437" t="inlineStr">
        <is>
          <t>22004718</t>
        </is>
      </c>
      <c r="AW437" t="inlineStr">
        <is>
          <t>991001741049702656</t>
        </is>
      </c>
      <c r="AX437" t="inlineStr">
        <is>
          <t>991001741049702656</t>
        </is>
      </c>
      <c r="AY437" t="inlineStr">
        <is>
          <t>2271980950002656</t>
        </is>
      </c>
      <c r="AZ437" t="inlineStr">
        <is>
          <t>BOOK</t>
        </is>
      </c>
      <c r="BB437" t="inlineStr">
        <is>
          <t>9780716721574</t>
        </is>
      </c>
      <c r="BC437" t="inlineStr">
        <is>
          <t>32285000593029</t>
        </is>
      </c>
      <c r="BD437" t="inlineStr">
        <is>
          <t>893316000</t>
        </is>
      </c>
    </row>
    <row r="438">
      <c r="A438" t="inlineStr">
        <is>
          <t>No</t>
        </is>
      </c>
      <c r="B438" t="inlineStr">
        <is>
          <t>QB791.3 .S33 1995</t>
        </is>
      </c>
      <c r="C438" t="inlineStr">
        <is>
          <t>0                      QB 0791300S  33          1995</t>
        </is>
      </c>
      <c r="D438" t="inlineStr">
        <is>
          <t>Modern cosmology and the dark matter problem / D.W. Sciama.</t>
        </is>
      </c>
      <c r="F438" t="inlineStr">
        <is>
          <t>No</t>
        </is>
      </c>
      <c r="G438" t="inlineStr">
        <is>
          <t>1</t>
        </is>
      </c>
      <c r="H438" t="inlineStr">
        <is>
          <t>No</t>
        </is>
      </c>
      <c r="I438" t="inlineStr">
        <is>
          <t>No</t>
        </is>
      </c>
      <c r="J438" t="inlineStr">
        <is>
          <t>0</t>
        </is>
      </c>
      <c r="K438" t="inlineStr">
        <is>
          <t>Sciama, D. W. (Dennis William), 1926-</t>
        </is>
      </c>
      <c r="L438" t="inlineStr">
        <is>
          <t>Cambridge [England] ; New York, NY : Cambridge University Press, 1995, c1993.</t>
        </is>
      </c>
      <c r="M438" t="inlineStr">
        <is>
          <t>1995</t>
        </is>
      </c>
      <c r="O438" t="inlineStr">
        <is>
          <t>eng</t>
        </is>
      </c>
      <c r="P438" t="inlineStr">
        <is>
          <t>enk</t>
        </is>
      </c>
      <c r="Q438" t="inlineStr">
        <is>
          <t>Cambridge lecture notes in physics ; 3</t>
        </is>
      </c>
      <c r="R438" t="inlineStr">
        <is>
          <t xml:space="preserve">QB </t>
        </is>
      </c>
      <c r="S438" t="n">
        <v>3</v>
      </c>
      <c r="T438" t="n">
        <v>3</v>
      </c>
      <c r="U438" t="inlineStr">
        <is>
          <t>2007-11-19</t>
        </is>
      </c>
      <c r="V438" t="inlineStr">
        <is>
          <t>2007-11-19</t>
        </is>
      </c>
      <c r="W438" t="inlineStr">
        <is>
          <t>1996-09-25</t>
        </is>
      </c>
      <c r="X438" t="inlineStr">
        <is>
          <t>1996-09-25</t>
        </is>
      </c>
      <c r="Y438" t="n">
        <v>27</v>
      </c>
      <c r="Z438" t="n">
        <v>15</v>
      </c>
      <c r="AA438" t="n">
        <v>248</v>
      </c>
      <c r="AB438" t="n">
        <v>1</v>
      </c>
      <c r="AC438" t="n">
        <v>3</v>
      </c>
      <c r="AD438" t="n">
        <v>1</v>
      </c>
      <c r="AE438" t="n">
        <v>17</v>
      </c>
      <c r="AF438" t="n">
        <v>0</v>
      </c>
      <c r="AG438" t="n">
        <v>3</v>
      </c>
      <c r="AH438" t="n">
        <v>0</v>
      </c>
      <c r="AI438" t="n">
        <v>6</v>
      </c>
      <c r="AJ438" t="n">
        <v>1</v>
      </c>
      <c r="AK438" t="n">
        <v>8</v>
      </c>
      <c r="AL438" t="n">
        <v>0</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HYPERLINK("https://creighton-primo.hosted.exlibrisgroup.com/primo-explore/search?tab=default_tab&amp;search_scope=EVERYTHING&amp;vid=01CRU&amp;lang=en_US&amp;offset=0&amp;query=any,contains,991002684339702656","Catalog Record")</f>
        <v/>
      </c>
      <c r="AT438">
        <f>HYPERLINK("http://www.worldcat.org/oclc/35083518","WorldCat Record")</f>
        <v/>
      </c>
      <c r="AU438" t="inlineStr">
        <is>
          <t>2864391838:eng</t>
        </is>
      </c>
      <c r="AV438" t="inlineStr">
        <is>
          <t>35083518</t>
        </is>
      </c>
      <c r="AW438" t="inlineStr">
        <is>
          <t>991002684339702656</t>
        </is>
      </c>
      <c r="AX438" t="inlineStr">
        <is>
          <t>991002684339702656</t>
        </is>
      </c>
      <c r="AY438" t="inlineStr">
        <is>
          <t>2254791270002656</t>
        </is>
      </c>
      <c r="AZ438" t="inlineStr">
        <is>
          <t>BOOK</t>
        </is>
      </c>
      <c r="BC438" t="inlineStr">
        <is>
          <t>32285002098217</t>
        </is>
      </c>
      <c r="BD438" t="inlineStr">
        <is>
          <t>893610154</t>
        </is>
      </c>
    </row>
    <row r="439">
      <c r="A439" t="inlineStr">
        <is>
          <t>No</t>
        </is>
      </c>
      <c r="B439" t="inlineStr">
        <is>
          <t>QB791.3 .T83 1988</t>
        </is>
      </c>
      <c r="C439" t="inlineStr">
        <is>
          <t>0                      QB 0791300T  83          1988</t>
        </is>
      </c>
      <c r="D439" t="inlineStr">
        <is>
          <t>The dark matter : contemporary science's quest for the mass hidden in our universe / Wallace Tucker and Karen Tucker.</t>
        </is>
      </c>
      <c r="F439" t="inlineStr">
        <is>
          <t>No</t>
        </is>
      </c>
      <c r="G439" t="inlineStr">
        <is>
          <t>1</t>
        </is>
      </c>
      <c r="H439" t="inlineStr">
        <is>
          <t>No</t>
        </is>
      </c>
      <c r="I439" t="inlineStr">
        <is>
          <t>No</t>
        </is>
      </c>
      <c r="J439" t="inlineStr">
        <is>
          <t>0</t>
        </is>
      </c>
      <c r="K439" t="inlineStr">
        <is>
          <t>Tucker, Wallace H.</t>
        </is>
      </c>
      <c r="L439" t="inlineStr">
        <is>
          <t>New York : Morrow, 1988.</t>
        </is>
      </c>
      <c r="M439" t="inlineStr">
        <is>
          <t>1988</t>
        </is>
      </c>
      <c r="N439" t="inlineStr">
        <is>
          <t>1st ed.</t>
        </is>
      </c>
      <c r="O439" t="inlineStr">
        <is>
          <t>eng</t>
        </is>
      </c>
      <c r="P439" t="inlineStr">
        <is>
          <t>nyu</t>
        </is>
      </c>
      <c r="R439" t="inlineStr">
        <is>
          <t xml:space="preserve">QB </t>
        </is>
      </c>
      <c r="S439" t="n">
        <v>3</v>
      </c>
      <c r="T439" t="n">
        <v>3</v>
      </c>
      <c r="U439" t="inlineStr">
        <is>
          <t>2007-11-19</t>
        </is>
      </c>
      <c r="V439" t="inlineStr">
        <is>
          <t>2007-11-19</t>
        </is>
      </c>
      <c r="W439" t="inlineStr">
        <is>
          <t>1992-11-23</t>
        </is>
      </c>
      <c r="X439" t="inlineStr">
        <is>
          <t>1992-11-23</t>
        </is>
      </c>
      <c r="Y439" t="n">
        <v>805</v>
      </c>
      <c r="Z439" t="n">
        <v>746</v>
      </c>
      <c r="AA439" t="n">
        <v>750</v>
      </c>
      <c r="AB439" t="n">
        <v>5</v>
      </c>
      <c r="AC439" t="n">
        <v>5</v>
      </c>
      <c r="AD439" t="n">
        <v>25</v>
      </c>
      <c r="AE439" t="n">
        <v>25</v>
      </c>
      <c r="AF439" t="n">
        <v>11</v>
      </c>
      <c r="AG439" t="n">
        <v>11</v>
      </c>
      <c r="AH439" t="n">
        <v>6</v>
      </c>
      <c r="AI439" t="n">
        <v>6</v>
      </c>
      <c r="AJ439" t="n">
        <v>11</v>
      </c>
      <c r="AK439" t="n">
        <v>11</v>
      </c>
      <c r="AL439" t="n">
        <v>4</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HYPERLINK("https://creighton-primo.hosted.exlibrisgroup.com/primo-explore/search?tab=default_tab&amp;search_scope=EVERYTHING&amp;vid=01CRU&amp;lang=en_US&amp;offset=0&amp;query=any,contains,991001194729702656","Catalog Record")</f>
        <v/>
      </c>
      <c r="AT439">
        <f>HYPERLINK("http://www.worldcat.org/oclc/17265362","WorldCat Record")</f>
        <v/>
      </c>
      <c r="AU439" t="inlineStr">
        <is>
          <t>15638301:eng</t>
        </is>
      </c>
      <c r="AV439" t="inlineStr">
        <is>
          <t>17265362</t>
        </is>
      </c>
      <c r="AW439" t="inlineStr">
        <is>
          <t>991001194729702656</t>
        </is>
      </c>
      <c r="AX439" t="inlineStr">
        <is>
          <t>991001194729702656</t>
        </is>
      </c>
      <c r="AY439" t="inlineStr">
        <is>
          <t>2264081270002656</t>
        </is>
      </c>
      <c r="AZ439" t="inlineStr">
        <is>
          <t>BOOK</t>
        </is>
      </c>
      <c r="BB439" t="inlineStr">
        <is>
          <t>9780688061128</t>
        </is>
      </c>
      <c r="BC439" t="inlineStr">
        <is>
          <t>32285001434140</t>
        </is>
      </c>
      <c r="BD439" t="inlineStr">
        <is>
          <t>893866039</t>
        </is>
      </c>
    </row>
    <row r="440">
      <c r="A440" t="inlineStr">
        <is>
          <t>No</t>
        </is>
      </c>
      <c r="B440" t="inlineStr">
        <is>
          <t>QB801 .B29</t>
        </is>
      </c>
      <c r="C440" t="inlineStr">
        <is>
          <t>0                      QB 0801000B  29</t>
        </is>
      </c>
      <c r="D440" t="inlineStr">
        <is>
          <t>Evolution of stars and galaxies / edited by Cecilia Payne-Gaposchkin.</t>
        </is>
      </c>
      <c r="F440" t="inlineStr">
        <is>
          <t>No</t>
        </is>
      </c>
      <c r="G440" t="inlineStr">
        <is>
          <t>1</t>
        </is>
      </c>
      <c r="H440" t="inlineStr">
        <is>
          <t>No</t>
        </is>
      </c>
      <c r="I440" t="inlineStr">
        <is>
          <t>No</t>
        </is>
      </c>
      <c r="J440" t="inlineStr">
        <is>
          <t>0</t>
        </is>
      </c>
      <c r="K440" t="inlineStr">
        <is>
          <t>Baade, Walter, 1893-1960.</t>
        </is>
      </c>
      <c r="L440" t="inlineStr">
        <is>
          <t>Cambridge, Harvard University Press, 1963.</t>
        </is>
      </c>
      <c r="M440" t="inlineStr">
        <is>
          <t>1963</t>
        </is>
      </c>
      <c r="O440" t="inlineStr">
        <is>
          <t>eng</t>
        </is>
      </c>
      <c r="P440" t="inlineStr">
        <is>
          <t>mau</t>
        </is>
      </c>
      <c r="R440" t="inlineStr">
        <is>
          <t xml:space="preserve">QB </t>
        </is>
      </c>
      <c r="S440" t="n">
        <v>4</v>
      </c>
      <c r="T440" t="n">
        <v>4</v>
      </c>
      <c r="U440" t="inlineStr">
        <is>
          <t>2006-03-15</t>
        </is>
      </c>
      <c r="V440" t="inlineStr">
        <is>
          <t>2006-03-15</t>
        </is>
      </c>
      <c r="W440" t="inlineStr">
        <is>
          <t>1997-09-17</t>
        </is>
      </c>
      <c r="X440" t="inlineStr">
        <is>
          <t>1997-09-17</t>
        </is>
      </c>
      <c r="Y440" t="n">
        <v>511</v>
      </c>
      <c r="Z440" t="n">
        <v>420</v>
      </c>
      <c r="AA440" t="n">
        <v>511</v>
      </c>
      <c r="AB440" t="n">
        <v>3</v>
      </c>
      <c r="AC440" t="n">
        <v>4</v>
      </c>
      <c r="AD440" t="n">
        <v>10</v>
      </c>
      <c r="AE440" t="n">
        <v>16</v>
      </c>
      <c r="AF440" t="n">
        <v>2</v>
      </c>
      <c r="AG440" t="n">
        <v>4</v>
      </c>
      <c r="AH440" t="n">
        <v>0</v>
      </c>
      <c r="AI440" t="n">
        <v>3</v>
      </c>
      <c r="AJ440" t="n">
        <v>6</v>
      </c>
      <c r="AK440" t="n">
        <v>8</v>
      </c>
      <c r="AL440" t="n">
        <v>2</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HYPERLINK("https://creighton-primo.hosted.exlibrisgroup.com/primo-explore/search?tab=default_tab&amp;search_scope=EVERYTHING&amp;vid=01CRU&amp;lang=en_US&amp;offset=0&amp;query=any,contains,991002225569702656","Catalog Record")</f>
        <v/>
      </c>
      <c r="AT440">
        <f>HYPERLINK("http://www.worldcat.org/oclc/291423","WorldCat Record")</f>
        <v/>
      </c>
      <c r="AU440" t="inlineStr">
        <is>
          <t>1474683:eng</t>
        </is>
      </c>
      <c r="AV440" t="inlineStr">
        <is>
          <t>291423</t>
        </is>
      </c>
      <c r="AW440" t="inlineStr">
        <is>
          <t>991002225569702656</t>
        </is>
      </c>
      <c r="AX440" t="inlineStr">
        <is>
          <t>991002225569702656</t>
        </is>
      </c>
      <c r="AY440" t="inlineStr">
        <is>
          <t>2268000310002656</t>
        </is>
      </c>
      <c r="AZ440" t="inlineStr">
        <is>
          <t>BOOK</t>
        </is>
      </c>
      <c r="BC440" t="inlineStr">
        <is>
          <t>32285003173860</t>
        </is>
      </c>
      <c r="BD440" t="inlineStr">
        <is>
          <t>893244909</t>
        </is>
      </c>
    </row>
    <row r="441">
      <c r="A441" t="inlineStr">
        <is>
          <t>No</t>
        </is>
      </c>
      <c r="B441" t="inlineStr">
        <is>
          <t>QB801 .G24</t>
        </is>
      </c>
      <c r="C441" t="inlineStr">
        <is>
          <t>0                      QB 0801000G  24</t>
        </is>
      </c>
      <c r="D441" t="inlineStr">
        <is>
          <t>Stars and clusters / Cecilia Payne-Gaposchkin.</t>
        </is>
      </c>
      <c r="F441" t="inlineStr">
        <is>
          <t>No</t>
        </is>
      </c>
      <c r="G441" t="inlineStr">
        <is>
          <t>1</t>
        </is>
      </c>
      <c r="H441" t="inlineStr">
        <is>
          <t>No</t>
        </is>
      </c>
      <c r="I441" t="inlineStr">
        <is>
          <t>No</t>
        </is>
      </c>
      <c r="J441" t="inlineStr">
        <is>
          <t>0</t>
        </is>
      </c>
      <c r="K441" t="inlineStr">
        <is>
          <t>Payne-Gaposchkin, Cecilia, 1900-1979.</t>
        </is>
      </c>
      <c r="L441" t="inlineStr">
        <is>
          <t>Cambridge, Mass. : Harvard University Press, 1979.</t>
        </is>
      </c>
      <c r="M441" t="inlineStr">
        <is>
          <t>1979</t>
        </is>
      </c>
      <c r="O441" t="inlineStr">
        <is>
          <t>eng</t>
        </is>
      </c>
      <c r="P441" t="inlineStr">
        <is>
          <t>mau</t>
        </is>
      </c>
      <c r="Q441" t="inlineStr">
        <is>
          <t>The Harvard books on astronomy</t>
        </is>
      </c>
      <c r="R441" t="inlineStr">
        <is>
          <t xml:space="preserve">QB </t>
        </is>
      </c>
      <c r="S441" t="n">
        <v>1</v>
      </c>
      <c r="T441" t="n">
        <v>1</v>
      </c>
      <c r="U441" t="inlineStr">
        <is>
          <t>1992-11-30</t>
        </is>
      </c>
      <c r="V441" t="inlineStr">
        <is>
          <t>1992-11-30</t>
        </is>
      </c>
      <c r="W441" t="inlineStr">
        <is>
          <t>1992-11-23</t>
        </is>
      </c>
      <c r="X441" t="inlineStr">
        <is>
          <t>1992-11-23</t>
        </is>
      </c>
      <c r="Y441" t="n">
        <v>648</v>
      </c>
      <c r="Z441" t="n">
        <v>539</v>
      </c>
      <c r="AA441" t="n">
        <v>547</v>
      </c>
      <c r="AB441" t="n">
        <v>6</v>
      </c>
      <c r="AC441" t="n">
        <v>6</v>
      </c>
      <c r="AD441" t="n">
        <v>16</v>
      </c>
      <c r="AE441" t="n">
        <v>16</v>
      </c>
      <c r="AF441" t="n">
        <v>4</v>
      </c>
      <c r="AG441" t="n">
        <v>4</v>
      </c>
      <c r="AH441" t="n">
        <v>3</v>
      </c>
      <c r="AI441" t="n">
        <v>3</v>
      </c>
      <c r="AJ441" t="n">
        <v>6</v>
      </c>
      <c r="AK441" t="n">
        <v>6</v>
      </c>
      <c r="AL441" t="n">
        <v>4</v>
      </c>
      <c r="AM441" t="n">
        <v>4</v>
      </c>
      <c r="AN441" t="n">
        <v>0</v>
      </c>
      <c r="AO441" t="n">
        <v>0</v>
      </c>
      <c r="AP441" t="inlineStr">
        <is>
          <t>No</t>
        </is>
      </c>
      <c r="AQ441" t="inlineStr">
        <is>
          <t>Yes</t>
        </is>
      </c>
      <c r="AR441">
        <f>HYPERLINK("http://catalog.hathitrust.org/Record/000298267","HathiTrust Record")</f>
        <v/>
      </c>
      <c r="AS441">
        <f>HYPERLINK("https://creighton-primo.hosted.exlibrisgroup.com/primo-explore/search?tab=default_tab&amp;search_scope=EVERYTHING&amp;vid=01CRU&amp;lang=en_US&amp;offset=0&amp;query=any,contains,991004721269702656","Catalog Record")</f>
        <v/>
      </c>
      <c r="AT441">
        <f>HYPERLINK("http://www.worldcat.org/oclc/4804560","WorldCat Record")</f>
        <v/>
      </c>
      <c r="AU441" t="inlineStr">
        <is>
          <t>430600:eng</t>
        </is>
      </c>
      <c r="AV441" t="inlineStr">
        <is>
          <t>4804560</t>
        </is>
      </c>
      <c r="AW441" t="inlineStr">
        <is>
          <t>991004721269702656</t>
        </is>
      </c>
      <c r="AX441" t="inlineStr">
        <is>
          <t>991004721269702656</t>
        </is>
      </c>
      <c r="AY441" t="inlineStr">
        <is>
          <t>2270349070002656</t>
        </is>
      </c>
      <c r="AZ441" t="inlineStr">
        <is>
          <t>BOOK</t>
        </is>
      </c>
      <c r="BB441" t="inlineStr">
        <is>
          <t>9780674834408</t>
        </is>
      </c>
      <c r="BC441" t="inlineStr">
        <is>
          <t>32285001434165</t>
        </is>
      </c>
      <c r="BD441" t="inlineStr">
        <is>
          <t>893901678</t>
        </is>
      </c>
    </row>
    <row r="442">
      <c r="A442" t="inlineStr">
        <is>
          <t>No</t>
        </is>
      </c>
      <c r="B442" t="inlineStr">
        <is>
          <t>QB801 .K23 2001</t>
        </is>
      </c>
      <c r="C442" t="inlineStr">
        <is>
          <t>0                      QB 0801000K  23          2001</t>
        </is>
      </c>
      <c r="D442" t="inlineStr">
        <is>
          <t>Extreme stars : at the edge of creation / James B. Kaler.</t>
        </is>
      </c>
      <c r="F442" t="inlineStr">
        <is>
          <t>No</t>
        </is>
      </c>
      <c r="G442" t="inlineStr">
        <is>
          <t>1</t>
        </is>
      </c>
      <c r="H442" t="inlineStr">
        <is>
          <t>No</t>
        </is>
      </c>
      <c r="I442" t="inlineStr">
        <is>
          <t>No</t>
        </is>
      </c>
      <c r="J442" t="inlineStr">
        <is>
          <t>0</t>
        </is>
      </c>
      <c r="K442" t="inlineStr">
        <is>
          <t>Kaler, James B.</t>
        </is>
      </c>
      <c r="L442" t="inlineStr">
        <is>
          <t>Cambridge ; New York : Cambridge University Press, 2001.</t>
        </is>
      </c>
      <c r="M442" t="inlineStr">
        <is>
          <t>2001</t>
        </is>
      </c>
      <c r="O442" t="inlineStr">
        <is>
          <t>eng</t>
        </is>
      </c>
      <c r="P442" t="inlineStr">
        <is>
          <t>enk</t>
        </is>
      </c>
      <c r="R442" t="inlineStr">
        <is>
          <t xml:space="preserve">QB </t>
        </is>
      </c>
      <c r="S442" t="n">
        <v>2</v>
      </c>
      <c r="T442" t="n">
        <v>2</v>
      </c>
      <c r="U442" t="inlineStr">
        <is>
          <t>2002-03-26</t>
        </is>
      </c>
      <c r="V442" t="inlineStr">
        <is>
          <t>2002-03-26</t>
        </is>
      </c>
      <c r="W442" t="inlineStr">
        <is>
          <t>2002-03-26</t>
        </is>
      </c>
      <c r="X442" t="inlineStr">
        <is>
          <t>2002-03-26</t>
        </is>
      </c>
      <c r="Y442" t="n">
        <v>792</v>
      </c>
      <c r="Z442" t="n">
        <v>699</v>
      </c>
      <c r="AA442" t="n">
        <v>719</v>
      </c>
      <c r="AB442" t="n">
        <v>7</v>
      </c>
      <c r="AC442" t="n">
        <v>7</v>
      </c>
      <c r="AD442" t="n">
        <v>25</v>
      </c>
      <c r="AE442" t="n">
        <v>25</v>
      </c>
      <c r="AF442" t="n">
        <v>10</v>
      </c>
      <c r="AG442" t="n">
        <v>10</v>
      </c>
      <c r="AH442" t="n">
        <v>5</v>
      </c>
      <c r="AI442" t="n">
        <v>5</v>
      </c>
      <c r="AJ442" t="n">
        <v>10</v>
      </c>
      <c r="AK442" t="n">
        <v>10</v>
      </c>
      <c r="AL442" t="n">
        <v>5</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HYPERLINK("https://creighton-primo.hosted.exlibrisgroup.com/primo-explore/search?tab=default_tab&amp;search_scope=EVERYTHING&amp;vid=01CRU&amp;lang=en_US&amp;offset=0&amp;query=any,contains,991003744939702656","Catalog Record")</f>
        <v/>
      </c>
      <c r="AT442">
        <f>HYPERLINK("http://www.worldcat.org/oclc/44613139","WorldCat Record")</f>
        <v/>
      </c>
      <c r="AU442" t="inlineStr">
        <is>
          <t>34088550:eng</t>
        </is>
      </c>
      <c r="AV442" t="inlineStr">
        <is>
          <t>44613139</t>
        </is>
      </c>
      <c r="AW442" t="inlineStr">
        <is>
          <t>991003744939702656</t>
        </is>
      </c>
      <c r="AX442" t="inlineStr">
        <is>
          <t>991003744939702656</t>
        </is>
      </c>
      <c r="AY442" t="inlineStr">
        <is>
          <t>2260738060002656</t>
        </is>
      </c>
      <c r="AZ442" t="inlineStr">
        <is>
          <t>BOOK</t>
        </is>
      </c>
      <c r="BB442" t="inlineStr">
        <is>
          <t>9780521402620</t>
        </is>
      </c>
      <c r="BC442" t="inlineStr">
        <is>
          <t>32285004464706</t>
        </is>
      </c>
      <c r="BD442" t="inlineStr">
        <is>
          <t>893429153</t>
        </is>
      </c>
    </row>
    <row r="443">
      <c r="A443" t="inlineStr">
        <is>
          <t>No</t>
        </is>
      </c>
      <c r="B443" t="inlineStr">
        <is>
          <t>QB801 .M64 1989</t>
        </is>
      </c>
      <c r="C443" t="inlineStr">
        <is>
          <t>0                      QB 0801000M  64          1989</t>
        </is>
      </c>
      <c r="D443" t="inlineStr">
        <is>
          <t>Astronomers' stars / Patrick Moore.</t>
        </is>
      </c>
      <c r="F443" t="inlineStr">
        <is>
          <t>No</t>
        </is>
      </c>
      <c r="G443" t="inlineStr">
        <is>
          <t>1</t>
        </is>
      </c>
      <c r="H443" t="inlineStr">
        <is>
          <t>No</t>
        </is>
      </c>
      <c r="I443" t="inlineStr">
        <is>
          <t>No</t>
        </is>
      </c>
      <c r="J443" t="inlineStr">
        <is>
          <t>0</t>
        </is>
      </c>
      <c r="K443" t="inlineStr">
        <is>
          <t>Moore, Patrick.</t>
        </is>
      </c>
      <c r="L443" t="inlineStr">
        <is>
          <t>New York : Norton, 1989, c1987.</t>
        </is>
      </c>
      <c r="M443" t="inlineStr">
        <is>
          <t>1989</t>
        </is>
      </c>
      <c r="N443" t="inlineStr">
        <is>
          <t>1st American ed.</t>
        </is>
      </c>
      <c r="O443" t="inlineStr">
        <is>
          <t>eng</t>
        </is>
      </c>
      <c r="P443" t="inlineStr">
        <is>
          <t>nyu</t>
        </is>
      </c>
      <c r="R443" t="inlineStr">
        <is>
          <t xml:space="preserve">QB </t>
        </is>
      </c>
      <c r="S443" t="n">
        <v>2</v>
      </c>
      <c r="T443" t="n">
        <v>2</v>
      </c>
      <c r="U443" t="inlineStr">
        <is>
          <t>1992-11-30</t>
        </is>
      </c>
      <c r="V443" t="inlineStr">
        <is>
          <t>1992-11-30</t>
        </is>
      </c>
      <c r="W443" t="inlineStr">
        <is>
          <t>1990-05-23</t>
        </is>
      </c>
      <c r="X443" t="inlineStr">
        <is>
          <t>1990-05-23</t>
        </is>
      </c>
      <c r="Y443" t="n">
        <v>704</v>
      </c>
      <c r="Z443" t="n">
        <v>678</v>
      </c>
      <c r="AA443" t="n">
        <v>691</v>
      </c>
      <c r="AB443" t="n">
        <v>5</v>
      </c>
      <c r="AC443" t="n">
        <v>5</v>
      </c>
      <c r="AD443" t="n">
        <v>15</v>
      </c>
      <c r="AE443" t="n">
        <v>15</v>
      </c>
      <c r="AF443" t="n">
        <v>5</v>
      </c>
      <c r="AG443" t="n">
        <v>5</v>
      </c>
      <c r="AH443" t="n">
        <v>5</v>
      </c>
      <c r="AI443" t="n">
        <v>5</v>
      </c>
      <c r="AJ443" t="n">
        <v>7</v>
      </c>
      <c r="AK443" t="n">
        <v>7</v>
      </c>
      <c r="AL443" t="n">
        <v>3</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HYPERLINK("https://creighton-primo.hosted.exlibrisgroup.com/primo-explore/search?tab=default_tab&amp;search_scope=EVERYTHING&amp;vid=01CRU&amp;lang=en_US&amp;offset=0&amp;query=any,contains,991001318299702656","Catalog Record")</f>
        <v/>
      </c>
      <c r="AT443">
        <f>HYPERLINK("http://www.worldcat.org/oclc/18192054","WorldCat Record")</f>
        <v/>
      </c>
      <c r="AU443" t="inlineStr">
        <is>
          <t>12277566:eng</t>
        </is>
      </c>
      <c r="AV443" t="inlineStr">
        <is>
          <t>18192054</t>
        </is>
      </c>
      <c r="AW443" t="inlineStr">
        <is>
          <t>991001318299702656</t>
        </is>
      </c>
      <c r="AX443" t="inlineStr">
        <is>
          <t>991001318299702656</t>
        </is>
      </c>
      <c r="AY443" t="inlineStr">
        <is>
          <t>2269441770002656</t>
        </is>
      </c>
      <c r="AZ443" t="inlineStr">
        <is>
          <t>BOOK</t>
        </is>
      </c>
      <c r="BB443" t="inlineStr">
        <is>
          <t>9780393026634</t>
        </is>
      </c>
      <c r="BC443" t="inlineStr">
        <is>
          <t>32285000137785</t>
        </is>
      </c>
      <c r="BD443" t="inlineStr">
        <is>
          <t>893778718</t>
        </is>
      </c>
    </row>
    <row r="444">
      <c r="A444" t="inlineStr">
        <is>
          <t>No</t>
        </is>
      </c>
      <c r="B444" t="inlineStr">
        <is>
          <t>QB801 .N5</t>
        </is>
      </c>
      <c r="C444" t="inlineStr">
        <is>
          <t>0                      QB 0801000N  5</t>
        </is>
      </c>
      <c r="D444" t="inlineStr">
        <is>
          <t>The stars : a study of the universe / by Simon Newcomb.</t>
        </is>
      </c>
      <c r="F444" t="inlineStr">
        <is>
          <t>No</t>
        </is>
      </c>
      <c r="G444" t="inlineStr">
        <is>
          <t>1</t>
        </is>
      </c>
      <c r="H444" t="inlineStr">
        <is>
          <t>No</t>
        </is>
      </c>
      <c r="I444" t="inlineStr">
        <is>
          <t>No</t>
        </is>
      </c>
      <c r="J444" t="inlineStr">
        <is>
          <t>0</t>
        </is>
      </c>
      <c r="K444" t="inlineStr">
        <is>
          <t>Newcomb, Simon, 1835-1909.</t>
        </is>
      </c>
      <c r="L444" t="inlineStr">
        <is>
          <t>New York : G.P. Putnam's Sons, 1901.</t>
        </is>
      </c>
      <c r="M444" t="inlineStr">
        <is>
          <t>1901</t>
        </is>
      </c>
      <c r="O444" t="inlineStr">
        <is>
          <t>eng</t>
        </is>
      </c>
      <c r="P444" t="inlineStr">
        <is>
          <t>nyu</t>
        </is>
      </c>
      <c r="Q444" t="inlineStr">
        <is>
          <t>The science series [9]</t>
        </is>
      </c>
      <c r="R444" t="inlineStr">
        <is>
          <t xml:space="preserve">QB </t>
        </is>
      </c>
      <c r="S444" t="n">
        <v>3</v>
      </c>
      <c r="T444" t="n">
        <v>3</v>
      </c>
      <c r="U444" t="inlineStr">
        <is>
          <t>1998-04-29</t>
        </is>
      </c>
      <c r="V444" t="inlineStr">
        <is>
          <t>1998-04-29</t>
        </is>
      </c>
      <c r="W444" t="inlineStr">
        <is>
          <t>1992-12-10</t>
        </is>
      </c>
      <c r="X444" t="inlineStr">
        <is>
          <t>1992-12-10</t>
        </is>
      </c>
      <c r="Y444" t="n">
        <v>102</v>
      </c>
      <c r="Z444" t="n">
        <v>96</v>
      </c>
      <c r="AA444" t="n">
        <v>148</v>
      </c>
      <c r="AB444" t="n">
        <v>1</v>
      </c>
      <c r="AC444" t="n">
        <v>2</v>
      </c>
      <c r="AD444" t="n">
        <v>3</v>
      </c>
      <c r="AE444" t="n">
        <v>4</v>
      </c>
      <c r="AF444" t="n">
        <v>1</v>
      </c>
      <c r="AG444" t="n">
        <v>1</v>
      </c>
      <c r="AH444" t="n">
        <v>2</v>
      </c>
      <c r="AI444" t="n">
        <v>2</v>
      </c>
      <c r="AJ444" t="n">
        <v>0</v>
      </c>
      <c r="AK444" t="n">
        <v>0</v>
      </c>
      <c r="AL444" t="n">
        <v>0</v>
      </c>
      <c r="AM444" t="n">
        <v>1</v>
      </c>
      <c r="AN444" t="n">
        <v>0</v>
      </c>
      <c r="AO444" t="n">
        <v>0</v>
      </c>
      <c r="AP444" t="inlineStr">
        <is>
          <t>Yes</t>
        </is>
      </c>
      <c r="AQ444" t="inlineStr">
        <is>
          <t>No</t>
        </is>
      </c>
      <c r="AR444">
        <f>HYPERLINK("http://catalog.hathitrust.org/Record/001991634","HathiTrust Record")</f>
        <v/>
      </c>
      <c r="AS444">
        <f>HYPERLINK("https://creighton-primo.hosted.exlibrisgroup.com/primo-explore/search?tab=default_tab&amp;search_scope=EVERYTHING&amp;vid=01CRU&amp;lang=en_US&amp;offset=0&amp;query=any,contains,991004203799702656","Catalog Record")</f>
        <v/>
      </c>
      <c r="AT444">
        <f>HYPERLINK("http://www.worldcat.org/oclc/2658757","WorldCat Record")</f>
        <v/>
      </c>
      <c r="AU444" t="inlineStr">
        <is>
          <t>5577655:eng</t>
        </is>
      </c>
      <c r="AV444" t="inlineStr">
        <is>
          <t>2658757</t>
        </is>
      </c>
      <c r="AW444" t="inlineStr">
        <is>
          <t>991004203799702656</t>
        </is>
      </c>
      <c r="AX444" t="inlineStr">
        <is>
          <t>991004203799702656</t>
        </is>
      </c>
      <c r="AY444" t="inlineStr">
        <is>
          <t>2255440600002656</t>
        </is>
      </c>
      <c r="AZ444" t="inlineStr">
        <is>
          <t>BOOK</t>
        </is>
      </c>
      <c r="BC444" t="inlineStr">
        <is>
          <t>32285001440022</t>
        </is>
      </c>
      <c r="BD444" t="inlineStr">
        <is>
          <t>893794596</t>
        </is>
      </c>
    </row>
    <row r="445">
      <c r="A445" t="inlineStr">
        <is>
          <t>No</t>
        </is>
      </c>
      <c r="B445" t="inlineStr">
        <is>
          <t>QB801.6 .K38</t>
        </is>
      </c>
      <c r="C445" t="inlineStr">
        <is>
          <t>0                      QB 0801600K  38</t>
        </is>
      </c>
      <c r="D445" t="inlineStr">
        <is>
          <t>Stars and nebulas / William J. Kaufmann, III.</t>
        </is>
      </c>
      <c r="F445" t="inlineStr">
        <is>
          <t>No</t>
        </is>
      </c>
      <c r="G445" t="inlineStr">
        <is>
          <t>1</t>
        </is>
      </c>
      <c r="H445" t="inlineStr">
        <is>
          <t>No</t>
        </is>
      </c>
      <c r="I445" t="inlineStr">
        <is>
          <t>No</t>
        </is>
      </c>
      <c r="J445" t="inlineStr">
        <is>
          <t>0</t>
        </is>
      </c>
      <c r="K445" t="inlineStr">
        <is>
          <t>Kaufmann, William J.</t>
        </is>
      </c>
      <c r="L445" t="inlineStr">
        <is>
          <t>San Francisco : W. H. Freeman, c1978.</t>
        </is>
      </c>
      <c r="M445" t="inlineStr">
        <is>
          <t>1978</t>
        </is>
      </c>
      <c r="O445" t="inlineStr">
        <is>
          <t>eng</t>
        </is>
      </c>
      <c r="P445" t="inlineStr">
        <is>
          <t>cau</t>
        </is>
      </c>
      <c r="R445" t="inlineStr">
        <is>
          <t xml:space="preserve">QB </t>
        </is>
      </c>
      <c r="S445" t="n">
        <v>4</v>
      </c>
      <c r="T445" t="n">
        <v>4</v>
      </c>
      <c r="U445" t="inlineStr">
        <is>
          <t>1992-12-07</t>
        </is>
      </c>
      <c r="V445" t="inlineStr">
        <is>
          <t>1992-12-07</t>
        </is>
      </c>
      <c r="W445" t="inlineStr">
        <is>
          <t>1992-11-24</t>
        </is>
      </c>
      <c r="X445" t="inlineStr">
        <is>
          <t>1992-11-24</t>
        </is>
      </c>
      <c r="Y445" t="n">
        <v>737</v>
      </c>
      <c r="Z445" t="n">
        <v>629</v>
      </c>
      <c r="AA445" t="n">
        <v>634</v>
      </c>
      <c r="AB445" t="n">
        <v>5</v>
      </c>
      <c r="AC445" t="n">
        <v>5</v>
      </c>
      <c r="AD445" t="n">
        <v>18</v>
      </c>
      <c r="AE445" t="n">
        <v>18</v>
      </c>
      <c r="AF445" t="n">
        <v>7</v>
      </c>
      <c r="AG445" t="n">
        <v>7</v>
      </c>
      <c r="AH445" t="n">
        <v>5</v>
      </c>
      <c r="AI445" t="n">
        <v>5</v>
      </c>
      <c r="AJ445" t="n">
        <v>10</v>
      </c>
      <c r="AK445" t="n">
        <v>10</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HYPERLINK("https://creighton-primo.hosted.exlibrisgroup.com/primo-explore/search?tab=default_tab&amp;search_scope=EVERYTHING&amp;vid=01CRU&amp;lang=en_US&amp;offset=0&amp;query=any,contains,991004555639702656","Catalog Record")</f>
        <v/>
      </c>
      <c r="AT445">
        <f>HYPERLINK("http://www.worldcat.org/oclc/3966146","WorldCat Record")</f>
        <v/>
      </c>
      <c r="AU445" t="inlineStr">
        <is>
          <t>446996:eng</t>
        </is>
      </c>
      <c r="AV445" t="inlineStr">
        <is>
          <t>3966146</t>
        </is>
      </c>
      <c r="AW445" t="inlineStr">
        <is>
          <t>991004555639702656</t>
        </is>
      </c>
      <c r="AX445" t="inlineStr">
        <is>
          <t>991004555639702656</t>
        </is>
      </c>
      <c r="AY445" t="inlineStr">
        <is>
          <t>2263871640002656</t>
        </is>
      </c>
      <c r="AZ445" t="inlineStr">
        <is>
          <t>BOOK</t>
        </is>
      </c>
      <c r="BB445" t="inlineStr">
        <is>
          <t>9780716700814</t>
        </is>
      </c>
      <c r="BC445" t="inlineStr">
        <is>
          <t>32285001434355</t>
        </is>
      </c>
      <c r="BD445" t="inlineStr">
        <is>
          <t>893506984</t>
        </is>
      </c>
    </row>
    <row r="446">
      <c r="A446" t="inlineStr">
        <is>
          <t>No</t>
        </is>
      </c>
      <c r="B446" t="inlineStr">
        <is>
          <t>QB801.6 .K95</t>
        </is>
      </c>
      <c r="C446" t="inlineStr">
        <is>
          <t>0                      QB 0801600K  95</t>
        </is>
      </c>
      <c r="D446" t="inlineStr">
        <is>
          <t>North Star to Southern Cross / Will Kyselka &amp; Ray E. Lanterman.</t>
        </is>
      </c>
      <c r="F446" t="inlineStr">
        <is>
          <t>No</t>
        </is>
      </c>
      <c r="G446" t="inlineStr">
        <is>
          <t>1</t>
        </is>
      </c>
      <c r="H446" t="inlineStr">
        <is>
          <t>No</t>
        </is>
      </c>
      <c r="I446" t="inlineStr">
        <is>
          <t>No</t>
        </is>
      </c>
      <c r="J446" t="inlineStr">
        <is>
          <t>0</t>
        </is>
      </c>
      <c r="K446" t="inlineStr">
        <is>
          <t>Kyselka, Will.</t>
        </is>
      </c>
      <c r="L446" t="inlineStr">
        <is>
          <t>Honolulu : University Press of Hawaii, c1976.</t>
        </is>
      </c>
      <c r="M446" t="inlineStr">
        <is>
          <t>1976</t>
        </is>
      </c>
      <c r="O446" t="inlineStr">
        <is>
          <t>eng</t>
        </is>
      </c>
      <c r="P446" t="inlineStr">
        <is>
          <t>hiu</t>
        </is>
      </c>
      <c r="R446" t="inlineStr">
        <is>
          <t xml:space="preserve">QB </t>
        </is>
      </c>
      <c r="S446" t="n">
        <v>4</v>
      </c>
      <c r="T446" t="n">
        <v>4</v>
      </c>
      <c r="U446" t="inlineStr">
        <is>
          <t>1998-04-29</t>
        </is>
      </c>
      <c r="V446" t="inlineStr">
        <is>
          <t>1998-04-29</t>
        </is>
      </c>
      <c r="W446" t="inlineStr">
        <is>
          <t>1992-12-10</t>
        </is>
      </c>
      <c r="X446" t="inlineStr">
        <is>
          <t>1992-12-10</t>
        </is>
      </c>
      <c r="Y446" t="n">
        <v>410</v>
      </c>
      <c r="Z446" t="n">
        <v>370</v>
      </c>
      <c r="AA446" t="n">
        <v>374</v>
      </c>
      <c r="AB446" t="n">
        <v>5</v>
      </c>
      <c r="AC446" t="n">
        <v>5</v>
      </c>
      <c r="AD446" t="n">
        <v>9</v>
      </c>
      <c r="AE446" t="n">
        <v>9</v>
      </c>
      <c r="AF446" t="n">
        <v>2</v>
      </c>
      <c r="AG446" t="n">
        <v>2</v>
      </c>
      <c r="AH446" t="n">
        <v>1</v>
      </c>
      <c r="AI446" t="n">
        <v>1</v>
      </c>
      <c r="AJ446" t="n">
        <v>4</v>
      </c>
      <c r="AK446" t="n">
        <v>4</v>
      </c>
      <c r="AL446" t="n">
        <v>4</v>
      </c>
      <c r="AM446" t="n">
        <v>4</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HYPERLINK("https://creighton-primo.hosted.exlibrisgroup.com/primo-explore/search?tab=default_tab&amp;search_scope=EVERYTHING&amp;vid=01CRU&amp;lang=en_US&amp;offset=0&amp;query=any,contains,991003946119702656","Catalog Record")</f>
        <v/>
      </c>
      <c r="AT446">
        <f>HYPERLINK("http://www.worldcat.org/oclc/1945428","WorldCat Record")</f>
        <v/>
      </c>
      <c r="AU446" t="inlineStr">
        <is>
          <t>492063:eng</t>
        </is>
      </c>
      <c r="AV446" t="inlineStr">
        <is>
          <t>1945428</t>
        </is>
      </c>
      <c r="AW446" t="inlineStr">
        <is>
          <t>991003946119702656</t>
        </is>
      </c>
      <c r="AX446" t="inlineStr">
        <is>
          <t>991003946119702656</t>
        </is>
      </c>
      <c r="AY446" t="inlineStr">
        <is>
          <t>2264694390002656</t>
        </is>
      </c>
      <c r="AZ446" t="inlineStr">
        <is>
          <t>BOOK</t>
        </is>
      </c>
      <c r="BB446" t="inlineStr">
        <is>
          <t>9780824804114</t>
        </is>
      </c>
      <c r="BC446" t="inlineStr">
        <is>
          <t>32285001440014</t>
        </is>
      </c>
      <c r="BD446" t="inlineStr">
        <is>
          <t>893417034</t>
        </is>
      </c>
    </row>
    <row r="447">
      <c r="A447" t="inlineStr">
        <is>
          <t>No</t>
        </is>
      </c>
      <c r="B447" t="inlineStr">
        <is>
          <t>QB801.6 .R52 1988</t>
        </is>
      </c>
      <c r="C447" t="inlineStr">
        <is>
          <t>0                      QB 0801600R  52          1988</t>
        </is>
      </c>
      <c r="D447" t="inlineStr">
        <is>
          <t>Star tales / Ian Ridpath.</t>
        </is>
      </c>
      <c r="F447" t="inlineStr">
        <is>
          <t>No</t>
        </is>
      </c>
      <c r="G447" t="inlineStr">
        <is>
          <t>1</t>
        </is>
      </c>
      <c r="H447" t="inlineStr">
        <is>
          <t>No</t>
        </is>
      </c>
      <c r="I447" t="inlineStr">
        <is>
          <t>No</t>
        </is>
      </c>
      <c r="J447" t="inlineStr">
        <is>
          <t>0</t>
        </is>
      </c>
      <c r="K447" t="inlineStr">
        <is>
          <t>Ridpath, Ian.</t>
        </is>
      </c>
      <c r="L447" t="inlineStr">
        <is>
          <t>New York : Universe Books, 1988.</t>
        </is>
      </c>
      <c r="M447" t="inlineStr">
        <is>
          <t>1988</t>
        </is>
      </c>
      <c r="O447" t="inlineStr">
        <is>
          <t>eng</t>
        </is>
      </c>
      <c r="P447" t="inlineStr">
        <is>
          <t>nyu</t>
        </is>
      </c>
      <c r="R447" t="inlineStr">
        <is>
          <t xml:space="preserve">QB </t>
        </is>
      </c>
      <c r="S447" t="n">
        <v>7</v>
      </c>
      <c r="T447" t="n">
        <v>7</v>
      </c>
      <c r="U447" t="inlineStr">
        <is>
          <t>2002-09-23</t>
        </is>
      </c>
      <c r="V447" t="inlineStr">
        <is>
          <t>2002-09-23</t>
        </is>
      </c>
      <c r="W447" t="inlineStr">
        <is>
          <t>1991-04-04</t>
        </is>
      </c>
      <c r="X447" t="inlineStr">
        <is>
          <t>1991-04-04</t>
        </is>
      </c>
      <c r="Y447" t="n">
        <v>439</v>
      </c>
      <c r="Z447" t="n">
        <v>415</v>
      </c>
      <c r="AA447" t="n">
        <v>517</v>
      </c>
      <c r="AB447" t="n">
        <v>1</v>
      </c>
      <c r="AC447" t="n">
        <v>1</v>
      </c>
      <c r="AD447" t="n">
        <v>2</v>
      </c>
      <c r="AE447" t="n">
        <v>8</v>
      </c>
      <c r="AF447" t="n">
        <v>1</v>
      </c>
      <c r="AG447" t="n">
        <v>5</v>
      </c>
      <c r="AH447" t="n">
        <v>2</v>
      </c>
      <c r="AI447" t="n">
        <v>3</v>
      </c>
      <c r="AJ447" t="n">
        <v>0</v>
      </c>
      <c r="AK447" t="n">
        <v>2</v>
      </c>
      <c r="AL447" t="n">
        <v>0</v>
      </c>
      <c r="AM447" t="n">
        <v>0</v>
      </c>
      <c r="AN447" t="n">
        <v>0</v>
      </c>
      <c r="AO447" t="n">
        <v>0</v>
      </c>
      <c r="AP447" t="inlineStr">
        <is>
          <t>No</t>
        </is>
      </c>
      <c r="AQ447" t="inlineStr">
        <is>
          <t>Yes</t>
        </is>
      </c>
      <c r="AR447">
        <f>HYPERLINK("http://catalog.hathitrust.org/Record/001074582","HathiTrust Record")</f>
        <v/>
      </c>
      <c r="AS447">
        <f>HYPERLINK("https://creighton-primo.hosted.exlibrisgroup.com/primo-explore/search?tab=default_tab&amp;search_scope=EVERYTHING&amp;vid=01CRU&amp;lang=en_US&amp;offset=0&amp;query=any,contains,991001335909702656","Catalog Record")</f>
        <v/>
      </c>
      <c r="AT447">
        <f>HYPERLINK("http://www.worldcat.org/oclc/18351570","WorldCat Record")</f>
        <v/>
      </c>
      <c r="AU447" t="inlineStr">
        <is>
          <t>17194758:eng</t>
        </is>
      </c>
      <c r="AV447" t="inlineStr">
        <is>
          <t>18351570</t>
        </is>
      </c>
      <c r="AW447" t="inlineStr">
        <is>
          <t>991001335909702656</t>
        </is>
      </c>
      <c r="AX447" t="inlineStr">
        <is>
          <t>991001335909702656</t>
        </is>
      </c>
      <c r="AY447" t="inlineStr">
        <is>
          <t>2265808600002656</t>
        </is>
      </c>
      <c r="AZ447" t="inlineStr">
        <is>
          <t>BOOK</t>
        </is>
      </c>
      <c r="BB447" t="inlineStr">
        <is>
          <t>9780876636947</t>
        </is>
      </c>
      <c r="BC447" t="inlineStr">
        <is>
          <t>32285000565415</t>
        </is>
      </c>
      <c r="BD447" t="inlineStr">
        <is>
          <t>893602524</t>
        </is>
      </c>
    </row>
    <row r="448">
      <c r="A448" t="inlineStr">
        <is>
          <t>No</t>
        </is>
      </c>
      <c r="B448" t="inlineStr">
        <is>
          <t>QB802 .A4 1963</t>
        </is>
      </c>
      <c r="C448" t="inlineStr">
        <is>
          <t>0                      QB 0802000A  4           1963</t>
        </is>
      </c>
      <c r="D448" t="inlineStr">
        <is>
          <t>Star names : their lore and meaning.</t>
        </is>
      </c>
      <c r="F448" t="inlineStr">
        <is>
          <t>No</t>
        </is>
      </c>
      <c r="G448" t="inlineStr">
        <is>
          <t>1</t>
        </is>
      </c>
      <c r="H448" t="inlineStr">
        <is>
          <t>No</t>
        </is>
      </c>
      <c r="I448" t="inlineStr">
        <is>
          <t>No</t>
        </is>
      </c>
      <c r="J448" t="inlineStr">
        <is>
          <t>0</t>
        </is>
      </c>
      <c r="K448" t="inlineStr">
        <is>
          <t>Allen, Richard Hinckley, 1838-1908.</t>
        </is>
      </c>
      <c r="L448" t="inlineStr">
        <is>
          <t>New York : Dover Publications, [1963]</t>
        </is>
      </c>
      <c r="M448" t="inlineStr">
        <is>
          <t>1963</t>
        </is>
      </c>
      <c r="O448" t="inlineStr">
        <is>
          <t>eng</t>
        </is>
      </c>
      <c r="P448" t="inlineStr">
        <is>
          <t>nyu</t>
        </is>
      </c>
      <c r="R448" t="inlineStr">
        <is>
          <t xml:space="preserve">QB </t>
        </is>
      </c>
      <c r="S448" t="n">
        <v>11</v>
      </c>
      <c r="T448" t="n">
        <v>11</v>
      </c>
      <c r="U448" t="inlineStr">
        <is>
          <t>1998-04-29</t>
        </is>
      </c>
      <c r="V448" t="inlineStr">
        <is>
          <t>1998-04-29</t>
        </is>
      </c>
      <c r="W448" t="inlineStr">
        <is>
          <t>1992-05-15</t>
        </is>
      </c>
      <c r="X448" t="inlineStr">
        <is>
          <t>1992-05-15</t>
        </is>
      </c>
      <c r="Y448" t="n">
        <v>1096</v>
      </c>
      <c r="Z448" t="n">
        <v>1009</v>
      </c>
      <c r="AA448" t="n">
        <v>1175</v>
      </c>
      <c r="AB448" t="n">
        <v>7</v>
      </c>
      <c r="AC448" t="n">
        <v>8</v>
      </c>
      <c r="AD448" t="n">
        <v>25</v>
      </c>
      <c r="AE448" t="n">
        <v>28</v>
      </c>
      <c r="AF448" t="n">
        <v>7</v>
      </c>
      <c r="AG448" t="n">
        <v>9</v>
      </c>
      <c r="AH448" t="n">
        <v>4</v>
      </c>
      <c r="AI448" t="n">
        <v>5</v>
      </c>
      <c r="AJ448" t="n">
        <v>13</v>
      </c>
      <c r="AK448" t="n">
        <v>14</v>
      </c>
      <c r="AL448" t="n">
        <v>6</v>
      </c>
      <c r="AM448" t="n">
        <v>7</v>
      </c>
      <c r="AN448" t="n">
        <v>0</v>
      </c>
      <c r="AO448" t="n">
        <v>0</v>
      </c>
      <c r="AP448" t="inlineStr">
        <is>
          <t>No</t>
        </is>
      </c>
      <c r="AQ448" t="inlineStr">
        <is>
          <t>Yes</t>
        </is>
      </c>
      <c r="AR448">
        <f>HYPERLINK("http://catalog.hathitrust.org/Record/000450593","HathiTrust Record")</f>
        <v/>
      </c>
      <c r="AS448">
        <f>HYPERLINK("https://creighton-primo.hosted.exlibrisgroup.com/primo-explore/search?tab=default_tab&amp;search_scope=EVERYTHING&amp;vid=01CRU&amp;lang=en_US&amp;offset=0&amp;query=any,contains,991003087669702656","Catalog Record")</f>
        <v/>
      </c>
      <c r="AT448">
        <f>HYPERLINK("http://www.worldcat.org/oclc/637940","WorldCat Record")</f>
        <v/>
      </c>
      <c r="AU448" t="inlineStr">
        <is>
          <t>507736321:eng</t>
        </is>
      </c>
      <c r="AV448" t="inlineStr">
        <is>
          <t>637940</t>
        </is>
      </c>
      <c r="AW448" t="inlineStr">
        <is>
          <t>991003087669702656</t>
        </is>
      </c>
      <c r="AX448" t="inlineStr">
        <is>
          <t>991003087669702656</t>
        </is>
      </c>
      <c r="AY448" t="inlineStr">
        <is>
          <t>2256482780002656</t>
        </is>
      </c>
      <c r="AZ448" t="inlineStr">
        <is>
          <t>BOOK</t>
        </is>
      </c>
      <c r="BC448" t="inlineStr">
        <is>
          <t>32285001110518</t>
        </is>
      </c>
      <c r="BD448" t="inlineStr">
        <is>
          <t>893317632</t>
        </is>
      </c>
    </row>
    <row r="449">
      <c r="A449" t="inlineStr">
        <is>
          <t>No</t>
        </is>
      </c>
      <c r="B449" t="inlineStr">
        <is>
          <t>QB802 .B35 1995</t>
        </is>
      </c>
      <c r="C449" t="inlineStr">
        <is>
          <t>0                      QB 0802000B  35          1995</t>
        </is>
      </c>
      <c r="D449" t="inlineStr">
        <is>
          <t>The Cambridge guide to the constellations / Michael E. Bakich.</t>
        </is>
      </c>
      <c r="F449" t="inlineStr">
        <is>
          <t>No</t>
        </is>
      </c>
      <c r="G449" t="inlineStr">
        <is>
          <t>1</t>
        </is>
      </c>
      <c r="H449" t="inlineStr">
        <is>
          <t>No</t>
        </is>
      </c>
      <c r="I449" t="inlineStr">
        <is>
          <t>No</t>
        </is>
      </c>
      <c r="J449" t="inlineStr">
        <is>
          <t>0</t>
        </is>
      </c>
      <c r="K449" t="inlineStr">
        <is>
          <t>Bakich, Michael E.</t>
        </is>
      </c>
      <c r="L449" t="inlineStr">
        <is>
          <t>Cambridge ; New York, NY, USA : Cambridge University Press, 1995.</t>
        </is>
      </c>
      <c r="M449" t="inlineStr">
        <is>
          <t>1995</t>
        </is>
      </c>
      <c r="O449" t="inlineStr">
        <is>
          <t>eng</t>
        </is>
      </c>
      <c r="P449" t="inlineStr">
        <is>
          <t>enk</t>
        </is>
      </c>
      <c r="R449" t="inlineStr">
        <is>
          <t xml:space="preserve">QB </t>
        </is>
      </c>
      <c r="S449" t="n">
        <v>7</v>
      </c>
      <c r="T449" t="n">
        <v>7</v>
      </c>
      <c r="U449" t="inlineStr">
        <is>
          <t>1999-11-29</t>
        </is>
      </c>
      <c r="V449" t="inlineStr">
        <is>
          <t>1999-11-29</t>
        </is>
      </c>
      <c r="W449" t="inlineStr">
        <is>
          <t>1996-08-08</t>
        </is>
      </c>
      <c r="X449" t="inlineStr">
        <is>
          <t>1996-08-08</t>
        </is>
      </c>
      <c r="Y449" t="n">
        <v>778</v>
      </c>
      <c r="Z449" t="n">
        <v>664</v>
      </c>
      <c r="AA449" t="n">
        <v>669</v>
      </c>
      <c r="AB449" t="n">
        <v>5</v>
      </c>
      <c r="AC449" t="n">
        <v>5</v>
      </c>
      <c r="AD449" t="n">
        <v>16</v>
      </c>
      <c r="AE449" t="n">
        <v>16</v>
      </c>
      <c r="AF449" t="n">
        <v>5</v>
      </c>
      <c r="AG449" t="n">
        <v>5</v>
      </c>
      <c r="AH449" t="n">
        <v>3</v>
      </c>
      <c r="AI449" t="n">
        <v>3</v>
      </c>
      <c r="AJ449" t="n">
        <v>10</v>
      </c>
      <c r="AK449" t="n">
        <v>10</v>
      </c>
      <c r="AL449" t="n">
        <v>2</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HYPERLINK("https://creighton-primo.hosted.exlibrisgroup.com/primo-explore/search?tab=default_tab&amp;search_scope=EVERYTHING&amp;vid=01CRU&amp;lang=en_US&amp;offset=0&amp;query=any,contains,991002306119702656","Catalog Record")</f>
        <v/>
      </c>
      <c r="AT449">
        <f>HYPERLINK("http://www.worldcat.org/oclc/29910221","WorldCat Record")</f>
        <v/>
      </c>
      <c r="AU449" t="inlineStr">
        <is>
          <t>144017594:eng</t>
        </is>
      </c>
      <c r="AV449" t="inlineStr">
        <is>
          <t>29910221</t>
        </is>
      </c>
      <c r="AW449" t="inlineStr">
        <is>
          <t>991002306119702656</t>
        </is>
      </c>
      <c r="AX449" t="inlineStr">
        <is>
          <t>991002306119702656</t>
        </is>
      </c>
      <c r="AY449" t="inlineStr">
        <is>
          <t>2272121790002656</t>
        </is>
      </c>
      <c r="AZ449" t="inlineStr">
        <is>
          <t>BOOK</t>
        </is>
      </c>
      <c r="BB449" t="inlineStr">
        <is>
          <t>9780521449212</t>
        </is>
      </c>
      <c r="BC449" t="inlineStr">
        <is>
          <t>32285002272333</t>
        </is>
      </c>
      <c r="BD449" t="inlineStr">
        <is>
          <t>893597281</t>
        </is>
      </c>
    </row>
    <row r="450">
      <c r="A450" t="inlineStr">
        <is>
          <t>No</t>
        </is>
      </c>
      <c r="B450" t="inlineStr">
        <is>
          <t>QB802 .B7 1967</t>
        </is>
      </c>
      <c r="C450" t="inlineStr">
        <is>
          <t>0                      QB 0802000B  7           1967</t>
        </is>
      </c>
      <c r="D450" t="inlineStr">
        <is>
          <t>Sphaera : neue griechische Texte und Untersuchungen zur Geschichte der Sternbilder / Franz Boll.</t>
        </is>
      </c>
      <c r="F450" t="inlineStr">
        <is>
          <t>No</t>
        </is>
      </c>
      <c r="G450" t="inlineStr">
        <is>
          <t>1</t>
        </is>
      </c>
      <c r="H450" t="inlineStr">
        <is>
          <t>No</t>
        </is>
      </c>
      <c r="I450" t="inlineStr">
        <is>
          <t>No</t>
        </is>
      </c>
      <c r="J450" t="inlineStr">
        <is>
          <t>0</t>
        </is>
      </c>
      <c r="K450" t="inlineStr">
        <is>
          <t>Boll, Franz, 1867-1924.</t>
        </is>
      </c>
      <c r="L450" t="inlineStr">
        <is>
          <t>Hildesheim : G. Olms, 1967.</t>
        </is>
      </c>
      <c r="M450" t="inlineStr">
        <is>
          <t>1967</t>
        </is>
      </c>
      <c r="O450" t="inlineStr">
        <is>
          <t>ger</t>
        </is>
      </c>
      <c r="P450" t="inlineStr">
        <is>
          <t xml:space="preserve">gw </t>
        </is>
      </c>
      <c r="R450" t="inlineStr">
        <is>
          <t xml:space="preserve">QB </t>
        </is>
      </c>
      <c r="S450" t="n">
        <v>6</v>
      </c>
      <c r="T450" t="n">
        <v>6</v>
      </c>
      <c r="U450" t="inlineStr">
        <is>
          <t>1998-06-23</t>
        </is>
      </c>
      <c r="V450" t="inlineStr">
        <is>
          <t>1998-06-23</t>
        </is>
      </c>
      <c r="W450" t="inlineStr">
        <is>
          <t>1992-09-01</t>
        </is>
      </c>
      <c r="X450" t="inlineStr">
        <is>
          <t>1992-09-01</t>
        </is>
      </c>
      <c r="Y450" t="n">
        <v>58</v>
      </c>
      <c r="Z450" t="n">
        <v>35</v>
      </c>
      <c r="AA450" t="n">
        <v>122</v>
      </c>
      <c r="AB450" t="n">
        <v>1</v>
      </c>
      <c r="AC450" t="n">
        <v>1</v>
      </c>
      <c r="AD450" t="n">
        <v>2</v>
      </c>
      <c r="AE450" t="n">
        <v>2</v>
      </c>
      <c r="AF450" t="n">
        <v>0</v>
      </c>
      <c r="AG450" t="n">
        <v>0</v>
      </c>
      <c r="AH450" t="n">
        <v>0</v>
      </c>
      <c r="AI450" t="n">
        <v>0</v>
      </c>
      <c r="AJ450" t="n">
        <v>2</v>
      </c>
      <c r="AK450" t="n">
        <v>2</v>
      </c>
      <c r="AL450" t="n">
        <v>0</v>
      </c>
      <c r="AM450" t="n">
        <v>0</v>
      </c>
      <c r="AN450" t="n">
        <v>0</v>
      </c>
      <c r="AO450" t="n">
        <v>0</v>
      </c>
      <c r="AP450" t="inlineStr">
        <is>
          <t>No</t>
        </is>
      </c>
      <c r="AQ450" t="inlineStr">
        <is>
          <t>Yes</t>
        </is>
      </c>
      <c r="AR450">
        <f>HYPERLINK("http://catalog.hathitrust.org/Record/001477154","HathiTrust Record")</f>
        <v/>
      </c>
      <c r="AS450">
        <f>HYPERLINK("https://creighton-primo.hosted.exlibrisgroup.com/primo-explore/search?tab=default_tab&amp;search_scope=EVERYTHING&amp;vid=01CRU&amp;lang=en_US&amp;offset=0&amp;query=any,contains,991004953469702656","Catalog Record")</f>
        <v/>
      </c>
      <c r="AT450">
        <f>HYPERLINK("http://www.worldcat.org/oclc/6260261","WorldCat Record")</f>
        <v/>
      </c>
      <c r="AU450" t="inlineStr">
        <is>
          <t>5538351:ger</t>
        </is>
      </c>
      <c r="AV450" t="inlineStr">
        <is>
          <t>6260261</t>
        </is>
      </c>
      <c r="AW450" t="inlineStr">
        <is>
          <t>991004953469702656</t>
        </is>
      </c>
      <c r="AX450" t="inlineStr">
        <is>
          <t>991004953469702656</t>
        </is>
      </c>
      <c r="AY450" t="inlineStr">
        <is>
          <t>2260876090002656</t>
        </is>
      </c>
      <c r="AZ450" t="inlineStr">
        <is>
          <t>BOOK</t>
        </is>
      </c>
      <c r="BC450" t="inlineStr">
        <is>
          <t>32285001285278</t>
        </is>
      </c>
      <c r="BD450" t="inlineStr">
        <is>
          <t>893242018</t>
        </is>
      </c>
    </row>
    <row r="451">
      <c r="A451" t="inlineStr">
        <is>
          <t>No</t>
        </is>
      </c>
      <c r="B451" t="inlineStr">
        <is>
          <t>QB802 .L43 1977</t>
        </is>
      </c>
      <c r="C451" t="inlineStr">
        <is>
          <t>0                      QB 0802000L  43          1977</t>
        </is>
      </c>
      <c r="D451" t="inlineStr">
        <is>
          <t>Les noms latins d'astres et de constellations / par André Le Boeuffle.</t>
        </is>
      </c>
      <c r="F451" t="inlineStr">
        <is>
          <t>No</t>
        </is>
      </c>
      <c r="G451" t="inlineStr">
        <is>
          <t>1</t>
        </is>
      </c>
      <c r="H451" t="inlineStr">
        <is>
          <t>No</t>
        </is>
      </c>
      <c r="I451" t="inlineStr">
        <is>
          <t>No</t>
        </is>
      </c>
      <c r="J451" t="inlineStr">
        <is>
          <t>0</t>
        </is>
      </c>
      <c r="K451" t="inlineStr">
        <is>
          <t>Le Bœuffle, André.</t>
        </is>
      </c>
      <c r="L451" t="inlineStr">
        <is>
          <t>Paris : Belles lettres, 1977.</t>
        </is>
      </c>
      <c r="M451" t="inlineStr">
        <is>
          <t>1977</t>
        </is>
      </c>
      <c r="O451" t="inlineStr">
        <is>
          <t>fre</t>
        </is>
      </c>
      <c r="P451" t="inlineStr">
        <is>
          <t xml:space="preserve">fr </t>
        </is>
      </c>
      <c r="Q451" t="inlineStr">
        <is>
          <t>Collection d'études anciennes</t>
        </is>
      </c>
      <c r="R451" t="inlineStr">
        <is>
          <t xml:space="preserve">QB </t>
        </is>
      </c>
      <c r="S451" t="n">
        <v>3</v>
      </c>
      <c r="T451" t="n">
        <v>3</v>
      </c>
      <c r="U451" t="inlineStr">
        <is>
          <t>1995-11-04</t>
        </is>
      </c>
      <c r="V451" t="inlineStr">
        <is>
          <t>1995-11-04</t>
        </is>
      </c>
      <c r="W451" t="inlineStr">
        <is>
          <t>1992-01-10</t>
        </is>
      </c>
      <c r="X451" t="inlineStr">
        <is>
          <t>1992-01-10</t>
        </is>
      </c>
      <c r="Y451" t="n">
        <v>101</v>
      </c>
      <c r="Z451" t="n">
        <v>49</v>
      </c>
      <c r="AA451" t="n">
        <v>51</v>
      </c>
      <c r="AB451" t="n">
        <v>2</v>
      </c>
      <c r="AC451" t="n">
        <v>2</v>
      </c>
      <c r="AD451" t="n">
        <v>4</v>
      </c>
      <c r="AE451" t="n">
        <v>4</v>
      </c>
      <c r="AF451" t="n">
        <v>0</v>
      </c>
      <c r="AG451" t="n">
        <v>0</v>
      </c>
      <c r="AH451" t="n">
        <v>1</v>
      </c>
      <c r="AI451" t="n">
        <v>1</v>
      </c>
      <c r="AJ451" t="n">
        <v>3</v>
      </c>
      <c r="AK451" t="n">
        <v>3</v>
      </c>
      <c r="AL451" t="n">
        <v>1</v>
      </c>
      <c r="AM451" t="n">
        <v>1</v>
      </c>
      <c r="AN451" t="n">
        <v>0</v>
      </c>
      <c r="AO451" t="n">
        <v>0</v>
      </c>
      <c r="AP451" t="inlineStr">
        <is>
          <t>No</t>
        </is>
      </c>
      <c r="AQ451" t="inlineStr">
        <is>
          <t>Yes</t>
        </is>
      </c>
      <c r="AR451">
        <f>HYPERLINK("http://catalog.hathitrust.org/Record/006121401","HathiTrust Record")</f>
        <v/>
      </c>
      <c r="AS451">
        <f>HYPERLINK("https://creighton-primo.hosted.exlibrisgroup.com/primo-explore/search?tab=default_tab&amp;search_scope=EVERYTHING&amp;vid=01CRU&amp;lang=en_US&amp;offset=0&amp;query=any,contains,991004644349702656","Catalog Record")</f>
        <v/>
      </c>
      <c r="AT451">
        <f>HYPERLINK("http://www.worldcat.org/oclc/4489655","WorldCat Record")</f>
        <v/>
      </c>
      <c r="AU451" t="inlineStr">
        <is>
          <t>353381029:fre</t>
        </is>
      </c>
      <c r="AV451" t="inlineStr">
        <is>
          <t>4489655</t>
        </is>
      </c>
      <c r="AW451" t="inlineStr">
        <is>
          <t>991004644349702656</t>
        </is>
      </c>
      <c r="AX451" t="inlineStr">
        <is>
          <t>991004644349702656</t>
        </is>
      </c>
      <c r="AY451" t="inlineStr">
        <is>
          <t>2270918680002656</t>
        </is>
      </c>
      <c r="AZ451" t="inlineStr">
        <is>
          <t>BOOK</t>
        </is>
      </c>
      <c r="BC451" t="inlineStr">
        <is>
          <t>32285000863885</t>
        </is>
      </c>
      <c r="BD451" t="inlineStr">
        <is>
          <t>893247806</t>
        </is>
      </c>
    </row>
    <row r="452">
      <c r="A452" t="inlineStr">
        <is>
          <t>No</t>
        </is>
      </c>
      <c r="B452" t="inlineStr">
        <is>
          <t>QB803 .G55 1968</t>
        </is>
      </c>
      <c r="C452" t="inlineStr">
        <is>
          <t>0                      QB 0803000G  55          1968</t>
        </is>
      </c>
      <c r="D452" t="inlineStr">
        <is>
          <t>The origin of the zodiac / Rupert Gleadow.</t>
        </is>
      </c>
      <c r="F452" t="inlineStr">
        <is>
          <t>No</t>
        </is>
      </c>
      <c r="G452" t="inlineStr">
        <is>
          <t>1</t>
        </is>
      </c>
      <c r="H452" t="inlineStr">
        <is>
          <t>No</t>
        </is>
      </c>
      <c r="I452" t="inlineStr">
        <is>
          <t>No</t>
        </is>
      </c>
      <c r="J452" t="inlineStr">
        <is>
          <t>0</t>
        </is>
      </c>
      <c r="K452" t="inlineStr">
        <is>
          <t>Gleadow, Rupert.</t>
        </is>
      </c>
      <c r="L452" t="inlineStr">
        <is>
          <t>New York : Castle Books, [c1968]</t>
        </is>
      </c>
      <c r="M452" t="inlineStr">
        <is>
          <t>1968</t>
        </is>
      </c>
      <c r="O452" t="inlineStr">
        <is>
          <t>eng</t>
        </is>
      </c>
      <c r="P452" t="inlineStr">
        <is>
          <t xml:space="preserve">xx </t>
        </is>
      </c>
      <c r="R452" t="inlineStr">
        <is>
          <t xml:space="preserve">QB </t>
        </is>
      </c>
      <c r="S452" t="n">
        <v>26</v>
      </c>
      <c r="T452" t="n">
        <v>26</v>
      </c>
      <c r="U452" t="inlineStr">
        <is>
          <t>2007-07-05</t>
        </is>
      </c>
      <c r="V452" t="inlineStr">
        <is>
          <t>2007-07-05</t>
        </is>
      </c>
      <c r="W452" t="inlineStr">
        <is>
          <t>1992-10-14</t>
        </is>
      </c>
      <c r="X452" t="inlineStr">
        <is>
          <t>1992-10-14</t>
        </is>
      </c>
      <c r="Y452" t="n">
        <v>86</v>
      </c>
      <c r="Z452" t="n">
        <v>81</v>
      </c>
      <c r="AA452" t="n">
        <v>539</v>
      </c>
      <c r="AB452" t="n">
        <v>1</v>
      </c>
      <c r="AC452" t="n">
        <v>5</v>
      </c>
      <c r="AD452" t="n">
        <v>2</v>
      </c>
      <c r="AE452" t="n">
        <v>11</v>
      </c>
      <c r="AF452" t="n">
        <v>1</v>
      </c>
      <c r="AG452" t="n">
        <v>4</v>
      </c>
      <c r="AH452" t="n">
        <v>0</v>
      </c>
      <c r="AI452" t="n">
        <v>3</v>
      </c>
      <c r="AJ452" t="n">
        <v>2</v>
      </c>
      <c r="AK452" t="n">
        <v>5</v>
      </c>
      <c r="AL452" t="n">
        <v>0</v>
      </c>
      <c r="AM452" t="n">
        <v>2</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HYPERLINK("https://creighton-primo.hosted.exlibrisgroup.com/primo-explore/search?tab=default_tab&amp;search_scope=EVERYTHING&amp;vid=01CRU&amp;lang=en_US&amp;offset=0&amp;query=any,contains,991003245729702656","Catalog Record")</f>
        <v/>
      </c>
      <c r="AT452">
        <f>HYPERLINK("http://www.worldcat.org/oclc/769478","WorldCat Record")</f>
        <v/>
      </c>
      <c r="AU452" t="inlineStr">
        <is>
          <t>1137183:eng</t>
        </is>
      </c>
      <c r="AV452" t="inlineStr">
        <is>
          <t>769478</t>
        </is>
      </c>
      <c r="AW452" t="inlineStr">
        <is>
          <t>991003245729702656</t>
        </is>
      </c>
      <c r="AX452" t="inlineStr">
        <is>
          <t>991003245729702656</t>
        </is>
      </c>
      <c r="AY452" t="inlineStr">
        <is>
          <t>2270608040002656</t>
        </is>
      </c>
      <c r="AZ452" t="inlineStr">
        <is>
          <t>BOOK</t>
        </is>
      </c>
      <c r="BC452" t="inlineStr">
        <is>
          <t>32285001317725</t>
        </is>
      </c>
      <c r="BD452" t="inlineStr">
        <is>
          <t>893330113</t>
        </is>
      </c>
    </row>
    <row r="453">
      <c r="A453" t="inlineStr">
        <is>
          <t>No</t>
        </is>
      </c>
      <c r="B453" t="inlineStr">
        <is>
          <t>QB805 .H83 1979</t>
        </is>
      </c>
      <c r="C453" t="inlineStr">
        <is>
          <t>0                      QB 0805000H  83          1979</t>
        </is>
      </c>
      <c r="D453" t="inlineStr">
        <is>
          <t>The star of Bethlehem : an astronomer's confirmation / David Hughes.</t>
        </is>
      </c>
      <c r="F453" t="inlineStr">
        <is>
          <t>No</t>
        </is>
      </c>
      <c r="G453" t="inlineStr">
        <is>
          <t>1</t>
        </is>
      </c>
      <c r="H453" t="inlineStr">
        <is>
          <t>No</t>
        </is>
      </c>
      <c r="I453" t="inlineStr">
        <is>
          <t>No</t>
        </is>
      </c>
      <c r="J453" t="inlineStr">
        <is>
          <t>0</t>
        </is>
      </c>
      <c r="K453" t="inlineStr">
        <is>
          <t>Hughes, David W. (David Wolstenholme), 1941-</t>
        </is>
      </c>
      <c r="L453" t="inlineStr">
        <is>
          <t>New York : Walker, 1979.</t>
        </is>
      </c>
      <c r="M453" t="inlineStr">
        <is>
          <t>1979</t>
        </is>
      </c>
      <c r="O453" t="inlineStr">
        <is>
          <t>eng</t>
        </is>
      </c>
      <c r="P453" t="inlineStr">
        <is>
          <t>nyu</t>
        </is>
      </c>
      <c r="R453" t="inlineStr">
        <is>
          <t xml:space="preserve">QB </t>
        </is>
      </c>
      <c r="S453" t="n">
        <v>1</v>
      </c>
      <c r="T453" t="n">
        <v>1</v>
      </c>
      <c r="U453" t="inlineStr">
        <is>
          <t>2006-10-03</t>
        </is>
      </c>
      <c r="V453" t="inlineStr">
        <is>
          <t>2006-10-03</t>
        </is>
      </c>
      <c r="W453" t="inlineStr">
        <is>
          <t>1992-11-24</t>
        </is>
      </c>
      <c r="X453" t="inlineStr">
        <is>
          <t>1992-11-24</t>
        </is>
      </c>
      <c r="Y453" t="n">
        <v>454</v>
      </c>
      <c r="Z453" t="n">
        <v>434</v>
      </c>
      <c r="AA453" t="n">
        <v>449</v>
      </c>
      <c r="AB453" t="n">
        <v>2</v>
      </c>
      <c r="AC453" t="n">
        <v>2</v>
      </c>
      <c r="AD453" t="n">
        <v>12</v>
      </c>
      <c r="AE453" t="n">
        <v>12</v>
      </c>
      <c r="AF453" t="n">
        <v>4</v>
      </c>
      <c r="AG453" t="n">
        <v>4</v>
      </c>
      <c r="AH453" t="n">
        <v>7</v>
      </c>
      <c r="AI453" t="n">
        <v>7</v>
      </c>
      <c r="AJ453" t="n">
        <v>5</v>
      </c>
      <c r="AK453" t="n">
        <v>5</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HYPERLINK("https://creighton-primo.hosted.exlibrisgroup.com/primo-explore/search?tab=default_tab&amp;search_scope=EVERYTHING&amp;vid=01CRU&amp;lang=en_US&amp;offset=0&amp;query=any,contains,991004874819702656","Catalog Record")</f>
        <v/>
      </c>
      <c r="AT453">
        <f>HYPERLINK("http://www.worldcat.org/oclc/5779975","WorldCat Record")</f>
        <v/>
      </c>
      <c r="AU453" t="inlineStr">
        <is>
          <t>3855421857:eng</t>
        </is>
      </c>
      <c r="AV453" t="inlineStr">
        <is>
          <t>5779975</t>
        </is>
      </c>
      <c r="AW453" t="inlineStr">
        <is>
          <t>991004874819702656</t>
        </is>
      </c>
      <c r="AX453" t="inlineStr">
        <is>
          <t>991004874819702656</t>
        </is>
      </c>
      <c r="AY453" t="inlineStr">
        <is>
          <t>2259636760002656</t>
        </is>
      </c>
      <c r="AZ453" t="inlineStr">
        <is>
          <t>BOOK</t>
        </is>
      </c>
      <c r="BB453" t="inlineStr">
        <is>
          <t>9780802706447</t>
        </is>
      </c>
      <c r="BC453" t="inlineStr">
        <is>
          <t>32285001434363</t>
        </is>
      </c>
      <c r="BD453" t="inlineStr">
        <is>
          <t>893513765</t>
        </is>
      </c>
    </row>
    <row r="454">
      <c r="A454" t="inlineStr">
        <is>
          <t>No</t>
        </is>
      </c>
      <c r="B454" t="inlineStr">
        <is>
          <t>QB805 .K525 1999</t>
        </is>
      </c>
      <c r="C454" t="inlineStr">
        <is>
          <t>0                      QB 0805000K  525         1999</t>
        </is>
      </c>
      <c r="D454" t="inlineStr">
        <is>
          <t>The star of Bethlehem : an astronomer's view / Mark Kidger.</t>
        </is>
      </c>
      <c r="F454" t="inlineStr">
        <is>
          <t>No</t>
        </is>
      </c>
      <c r="G454" t="inlineStr">
        <is>
          <t>1</t>
        </is>
      </c>
      <c r="H454" t="inlineStr">
        <is>
          <t>No</t>
        </is>
      </c>
      <c r="I454" t="inlineStr">
        <is>
          <t>No</t>
        </is>
      </c>
      <c r="J454" t="inlineStr">
        <is>
          <t>0</t>
        </is>
      </c>
      <c r="K454" t="inlineStr">
        <is>
          <t>Kidger, Mark R. (Mark Richard), 1960-</t>
        </is>
      </c>
      <c r="L454" t="inlineStr">
        <is>
          <t>Princeton, N.J. : Princeton University Press, c1999.</t>
        </is>
      </c>
      <c r="M454" t="inlineStr">
        <is>
          <t>1999</t>
        </is>
      </c>
      <c r="O454" t="inlineStr">
        <is>
          <t>eng</t>
        </is>
      </c>
      <c r="P454" t="inlineStr">
        <is>
          <t>nju</t>
        </is>
      </c>
      <c r="R454" t="inlineStr">
        <is>
          <t xml:space="preserve">QB </t>
        </is>
      </c>
      <c r="S454" t="n">
        <v>2</v>
      </c>
      <c r="T454" t="n">
        <v>2</v>
      </c>
      <c r="U454" t="inlineStr">
        <is>
          <t>2006-10-03</t>
        </is>
      </c>
      <c r="V454" t="inlineStr">
        <is>
          <t>2006-10-03</t>
        </is>
      </c>
      <c r="W454" t="inlineStr">
        <is>
          <t>2000-01-13</t>
        </is>
      </c>
      <c r="X454" t="inlineStr">
        <is>
          <t>2000-01-13</t>
        </is>
      </c>
      <c r="Y454" t="n">
        <v>1016</v>
      </c>
      <c r="Z454" t="n">
        <v>928</v>
      </c>
      <c r="AA454" t="n">
        <v>1081</v>
      </c>
      <c r="AB454" t="n">
        <v>4</v>
      </c>
      <c r="AC454" t="n">
        <v>4</v>
      </c>
      <c r="AD454" t="n">
        <v>29</v>
      </c>
      <c r="AE454" t="n">
        <v>36</v>
      </c>
      <c r="AF454" t="n">
        <v>13</v>
      </c>
      <c r="AG454" t="n">
        <v>18</v>
      </c>
      <c r="AH454" t="n">
        <v>6</v>
      </c>
      <c r="AI454" t="n">
        <v>9</v>
      </c>
      <c r="AJ454" t="n">
        <v>14</v>
      </c>
      <c r="AK454" t="n">
        <v>17</v>
      </c>
      <c r="AL454" t="n">
        <v>3</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HYPERLINK("https://creighton-primo.hosted.exlibrisgroup.com/primo-explore/search?tab=default_tab&amp;search_scope=EVERYTHING&amp;vid=01CRU&amp;lang=en_US&amp;offset=0&amp;query=any,contains,991003023729702656","Catalog Record")</f>
        <v/>
      </c>
      <c r="AT454">
        <f>HYPERLINK("http://www.worldcat.org/oclc/41273124","WorldCat Record")</f>
        <v/>
      </c>
      <c r="AU454" t="inlineStr">
        <is>
          <t>198345423:eng</t>
        </is>
      </c>
      <c r="AV454" t="inlineStr">
        <is>
          <t>41273124</t>
        </is>
      </c>
      <c r="AW454" t="inlineStr">
        <is>
          <t>991003023729702656</t>
        </is>
      </c>
      <c r="AX454" t="inlineStr">
        <is>
          <t>991003023729702656</t>
        </is>
      </c>
      <c r="AY454" t="inlineStr">
        <is>
          <t>2271394830002656</t>
        </is>
      </c>
      <c r="AZ454" t="inlineStr">
        <is>
          <t>BOOK</t>
        </is>
      </c>
      <c r="BB454" t="inlineStr">
        <is>
          <t>9780691058238</t>
        </is>
      </c>
      <c r="BC454" t="inlineStr">
        <is>
          <t>32285003641684</t>
        </is>
      </c>
      <c r="BD454" t="inlineStr">
        <is>
          <t>893786881</t>
        </is>
      </c>
    </row>
    <row r="455">
      <c r="A455" t="inlineStr">
        <is>
          <t>No</t>
        </is>
      </c>
      <c r="B455" t="inlineStr">
        <is>
          <t>QB806 .C64 1988</t>
        </is>
      </c>
      <c r="C455" t="inlineStr">
        <is>
          <t>0                      QB 0806000C  64          1988</t>
        </is>
      </c>
      <c r="D455" t="inlineStr">
        <is>
          <t>In darkness born : the story of star formation / Martin Cohen.</t>
        </is>
      </c>
      <c r="F455" t="inlineStr">
        <is>
          <t>No</t>
        </is>
      </c>
      <c r="G455" t="inlineStr">
        <is>
          <t>1</t>
        </is>
      </c>
      <c r="H455" t="inlineStr">
        <is>
          <t>No</t>
        </is>
      </c>
      <c r="I455" t="inlineStr">
        <is>
          <t>No</t>
        </is>
      </c>
      <c r="J455" t="inlineStr">
        <is>
          <t>0</t>
        </is>
      </c>
      <c r="K455" t="inlineStr">
        <is>
          <t>Cohen, Martin, 1948-</t>
        </is>
      </c>
      <c r="L455" t="inlineStr">
        <is>
          <t>Cambridge [Cambridgeshire] ; New York : Cambridge University Press, c1988.</t>
        </is>
      </c>
      <c r="M455" t="inlineStr">
        <is>
          <t>1987</t>
        </is>
      </c>
      <c r="O455" t="inlineStr">
        <is>
          <t>eng</t>
        </is>
      </c>
      <c r="P455" t="inlineStr">
        <is>
          <t>enk</t>
        </is>
      </c>
      <c r="R455" t="inlineStr">
        <is>
          <t xml:space="preserve">QB </t>
        </is>
      </c>
      <c r="S455" t="n">
        <v>1</v>
      </c>
      <c r="T455" t="n">
        <v>1</v>
      </c>
      <c r="U455" t="inlineStr">
        <is>
          <t>2009-03-15</t>
        </is>
      </c>
      <c r="V455" t="inlineStr">
        <is>
          <t>2009-03-15</t>
        </is>
      </c>
      <c r="W455" t="inlineStr">
        <is>
          <t>1992-11-24</t>
        </is>
      </c>
      <c r="X455" t="inlineStr">
        <is>
          <t>1992-11-24</t>
        </is>
      </c>
      <c r="Y455" t="n">
        <v>739</v>
      </c>
      <c r="Z455" t="n">
        <v>625</v>
      </c>
      <c r="AA455" t="n">
        <v>642</v>
      </c>
      <c r="AB455" t="n">
        <v>5</v>
      </c>
      <c r="AC455" t="n">
        <v>5</v>
      </c>
      <c r="AD455" t="n">
        <v>27</v>
      </c>
      <c r="AE455" t="n">
        <v>28</v>
      </c>
      <c r="AF455" t="n">
        <v>10</v>
      </c>
      <c r="AG455" t="n">
        <v>11</v>
      </c>
      <c r="AH455" t="n">
        <v>6</v>
      </c>
      <c r="AI455" t="n">
        <v>6</v>
      </c>
      <c r="AJ455" t="n">
        <v>13</v>
      </c>
      <c r="AK455" t="n">
        <v>13</v>
      </c>
      <c r="AL455" t="n">
        <v>4</v>
      </c>
      <c r="AM455" t="n">
        <v>4</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HYPERLINK("https://creighton-primo.hosted.exlibrisgroup.com/primo-explore/search?tab=default_tab&amp;search_scope=EVERYTHING&amp;vid=01CRU&amp;lang=en_US&amp;offset=0&amp;query=any,contains,991000711609702656","Catalog Record")</f>
        <v/>
      </c>
      <c r="AT455">
        <f>HYPERLINK("http://www.worldcat.org/oclc/12583800","WorldCat Record")</f>
        <v/>
      </c>
      <c r="AU455" t="inlineStr">
        <is>
          <t>795377975:eng</t>
        </is>
      </c>
      <c r="AV455" t="inlineStr">
        <is>
          <t>12583800</t>
        </is>
      </c>
      <c r="AW455" t="inlineStr">
        <is>
          <t>991000711609702656</t>
        </is>
      </c>
      <c r="AX455" t="inlineStr">
        <is>
          <t>991000711609702656</t>
        </is>
      </c>
      <c r="AY455" t="inlineStr">
        <is>
          <t>2270979870002656</t>
        </is>
      </c>
      <c r="AZ455" t="inlineStr">
        <is>
          <t>BOOK</t>
        </is>
      </c>
      <c r="BB455" t="inlineStr">
        <is>
          <t>9780521262705</t>
        </is>
      </c>
      <c r="BC455" t="inlineStr">
        <is>
          <t>32285001434371</t>
        </is>
      </c>
      <c r="BD455" t="inlineStr">
        <is>
          <t>893509033</t>
        </is>
      </c>
    </row>
    <row r="456">
      <c r="A456" t="inlineStr">
        <is>
          <t>No</t>
        </is>
      </c>
      <c r="B456" t="inlineStr">
        <is>
          <t>QB806 .H37 1994</t>
        </is>
      </c>
      <c r="C456" t="inlineStr">
        <is>
          <t>0                      QB 0806000H  37          1994</t>
        </is>
      </c>
      <c r="D456" t="inlineStr">
        <is>
          <t>Stellar evolution / Amos Harpaz.</t>
        </is>
      </c>
      <c r="F456" t="inlineStr">
        <is>
          <t>No</t>
        </is>
      </c>
      <c r="G456" t="inlineStr">
        <is>
          <t>1</t>
        </is>
      </c>
      <c r="H456" t="inlineStr">
        <is>
          <t>No</t>
        </is>
      </c>
      <c r="I456" t="inlineStr">
        <is>
          <t>No</t>
        </is>
      </c>
      <c r="J456" t="inlineStr">
        <is>
          <t>0</t>
        </is>
      </c>
      <c r="K456" t="inlineStr">
        <is>
          <t>Harpaz, Amos.</t>
        </is>
      </c>
      <c r="L456" t="inlineStr">
        <is>
          <t>Wellesley, Mass. : A.K. Peters, c1994.</t>
        </is>
      </c>
      <c r="M456" t="inlineStr">
        <is>
          <t>1994</t>
        </is>
      </c>
      <c r="O456" t="inlineStr">
        <is>
          <t>eng</t>
        </is>
      </c>
      <c r="P456" t="inlineStr">
        <is>
          <t>mau</t>
        </is>
      </c>
      <c r="R456" t="inlineStr">
        <is>
          <t xml:space="preserve">QB </t>
        </is>
      </c>
      <c r="S456" t="n">
        <v>4</v>
      </c>
      <c r="T456" t="n">
        <v>4</v>
      </c>
      <c r="U456" t="inlineStr">
        <is>
          <t>2009-03-24</t>
        </is>
      </c>
      <c r="V456" t="inlineStr">
        <is>
          <t>2009-03-24</t>
        </is>
      </c>
      <c r="W456" t="inlineStr">
        <is>
          <t>1996-02-14</t>
        </is>
      </c>
      <c r="X456" t="inlineStr">
        <is>
          <t>1996-02-14</t>
        </is>
      </c>
      <c r="Y456" t="n">
        <v>265</v>
      </c>
      <c r="Z456" t="n">
        <v>225</v>
      </c>
      <c r="AA456" t="n">
        <v>251</v>
      </c>
      <c r="AB456" t="n">
        <v>2</v>
      </c>
      <c r="AC456" t="n">
        <v>2</v>
      </c>
      <c r="AD456" t="n">
        <v>10</v>
      </c>
      <c r="AE456" t="n">
        <v>10</v>
      </c>
      <c r="AF456" t="n">
        <v>3</v>
      </c>
      <c r="AG456" t="n">
        <v>3</v>
      </c>
      <c r="AH456" t="n">
        <v>1</v>
      </c>
      <c r="AI456" t="n">
        <v>1</v>
      </c>
      <c r="AJ456" t="n">
        <v>7</v>
      </c>
      <c r="AK456" t="n">
        <v>7</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HYPERLINK("https://creighton-primo.hosted.exlibrisgroup.com/primo-explore/search?tab=default_tab&amp;search_scope=EVERYTHING&amp;vid=01CRU&amp;lang=en_US&amp;offset=0&amp;query=any,contains,991002256749702656","Catalog Record")</f>
        <v/>
      </c>
      <c r="AT456">
        <f>HYPERLINK("http://www.worldcat.org/oclc/29254332","WorldCat Record")</f>
        <v/>
      </c>
      <c r="AU456" t="inlineStr">
        <is>
          <t>390582:eng</t>
        </is>
      </c>
      <c r="AV456" t="inlineStr">
        <is>
          <t>29254332</t>
        </is>
      </c>
      <c r="AW456" t="inlineStr">
        <is>
          <t>991002256749702656</t>
        </is>
      </c>
      <c r="AX456" t="inlineStr">
        <is>
          <t>991002256749702656</t>
        </is>
      </c>
      <c r="AY456" t="inlineStr">
        <is>
          <t>2255820130002656</t>
        </is>
      </c>
      <c r="AZ456" t="inlineStr">
        <is>
          <t>BOOK</t>
        </is>
      </c>
      <c r="BB456" t="inlineStr">
        <is>
          <t>9781568810126</t>
        </is>
      </c>
      <c r="BC456" t="inlineStr">
        <is>
          <t>32285002135464</t>
        </is>
      </c>
      <c r="BD456" t="inlineStr">
        <is>
          <t>893685150</t>
        </is>
      </c>
    </row>
    <row r="457">
      <c r="A457" t="inlineStr">
        <is>
          <t>No</t>
        </is>
      </c>
      <c r="B457" t="inlineStr">
        <is>
          <t>QB806 .K5313 1983</t>
        </is>
      </c>
      <c r="C457" t="inlineStr">
        <is>
          <t>0                      QB 0806000K  5313        1983</t>
        </is>
      </c>
      <c r="D457" t="inlineStr">
        <is>
          <t>100 billion suns : the birth, life, and death of the stars / Rudolf Kippenhahn ; translated by Jean Steinberg.</t>
        </is>
      </c>
      <c r="F457" t="inlineStr">
        <is>
          <t>No</t>
        </is>
      </c>
      <c r="G457" t="inlineStr">
        <is>
          <t>1</t>
        </is>
      </c>
      <c r="H457" t="inlineStr">
        <is>
          <t>No</t>
        </is>
      </c>
      <c r="I457" t="inlineStr">
        <is>
          <t>No</t>
        </is>
      </c>
      <c r="J457" t="inlineStr">
        <is>
          <t>0</t>
        </is>
      </c>
      <c r="K457" t="inlineStr">
        <is>
          <t>Kippenhahn, Rudolf, 1926-</t>
        </is>
      </c>
      <c r="L457" t="inlineStr">
        <is>
          <t>New York : Basic Books, c1983.</t>
        </is>
      </c>
      <c r="M457" t="inlineStr">
        <is>
          <t>1983</t>
        </is>
      </c>
      <c r="O457" t="inlineStr">
        <is>
          <t>eng</t>
        </is>
      </c>
      <c r="P457" t="inlineStr">
        <is>
          <t>nyu</t>
        </is>
      </c>
      <c r="R457" t="inlineStr">
        <is>
          <t xml:space="preserve">QB </t>
        </is>
      </c>
      <c r="S457" t="n">
        <v>4</v>
      </c>
      <c r="T457" t="n">
        <v>4</v>
      </c>
      <c r="U457" t="inlineStr">
        <is>
          <t>2006-03-15</t>
        </is>
      </c>
      <c r="V457" t="inlineStr">
        <is>
          <t>2006-03-15</t>
        </is>
      </c>
      <c r="W457" t="inlineStr">
        <is>
          <t>1990-06-07</t>
        </is>
      </c>
      <c r="X457" t="inlineStr">
        <is>
          <t>1990-06-07</t>
        </is>
      </c>
      <c r="Y457" t="n">
        <v>1077</v>
      </c>
      <c r="Z457" t="n">
        <v>1009</v>
      </c>
      <c r="AA457" t="n">
        <v>1137</v>
      </c>
      <c r="AB457" t="n">
        <v>5</v>
      </c>
      <c r="AC457" t="n">
        <v>6</v>
      </c>
      <c r="AD457" t="n">
        <v>26</v>
      </c>
      <c r="AE457" t="n">
        <v>30</v>
      </c>
      <c r="AF457" t="n">
        <v>10</v>
      </c>
      <c r="AG457" t="n">
        <v>12</v>
      </c>
      <c r="AH457" t="n">
        <v>4</v>
      </c>
      <c r="AI457" t="n">
        <v>4</v>
      </c>
      <c r="AJ457" t="n">
        <v>14</v>
      </c>
      <c r="AK457" t="n">
        <v>16</v>
      </c>
      <c r="AL457" t="n">
        <v>4</v>
      </c>
      <c r="AM457" t="n">
        <v>5</v>
      </c>
      <c r="AN457" t="n">
        <v>0</v>
      </c>
      <c r="AO457" t="n">
        <v>0</v>
      </c>
      <c r="AP457" t="inlineStr">
        <is>
          <t>No</t>
        </is>
      </c>
      <c r="AQ457" t="inlineStr">
        <is>
          <t>Yes</t>
        </is>
      </c>
      <c r="AR457">
        <f>HYPERLINK("http://catalog.hathitrust.org/Record/000240042","HathiTrust Record")</f>
        <v/>
      </c>
      <c r="AS457">
        <f>HYPERLINK("https://creighton-primo.hosted.exlibrisgroup.com/primo-explore/search?tab=default_tab&amp;search_scope=EVERYTHING&amp;vid=01CRU&amp;lang=en_US&amp;offset=0&amp;query=any,contains,991000158859702656","Catalog Record")</f>
        <v/>
      </c>
      <c r="AT457">
        <f>HYPERLINK("http://www.worldcat.org/oclc/9255684","WorldCat Record")</f>
        <v/>
      </c>
      <c r="AU457" t="inlineStr">
        <is>
          <t>2754359944:eng</t>
        </is>
      </c>
      <c r="AV457" t="inlineStr">
        <is>
          <t>9255684</t>
        </is>
      </c>
      <c r="AW457" t="inlineStr">
        <is>
          <t>991000158859702656</t>
        </is>
      </c>
      <c r="AX457" t="inlineStr">
        <is>
          <t>991000158859702656</t>
        </is>
      </c>
      <c r="AY457" t="inlineStr">
        <is>
          <t>2256487800002656</t>
        </is>
      </c>
      <c r="AZ457" t="inlineStr">
        <is>
          <t>BOOK</t>
        </is>
      </c>
      <c r="BB457" t="inlineStr">
        <is>
          <t>9780465052639</t>
        </is>
      </c>
      <c r="BC457" t="inlineStr">
        <is>
          <t>32285000184209</t>
        </is>
      </c>
      <c r="BD457" t="inlineStr">
        <is>
          <t>893607709</t>
        </is>
      </c>
    </row>
    <row r="458">
      <c r="A458" t="inlineStr">
        <is>
          <t>No</t>
        </is>
      </c>
      <c r="B458" t="inlineStr">
        <is>
          <t>QB806 .L66 1996</t>
        </is>
      </c>
      <c r="C458" t="inlineStr">
        <is>
          <t>0                      QB 0806000L  66          1996</t>
        </is>
      </c>
      <c r="D458" t="inlineStr">
        <is>
          <t>Our evolving universe / Malcolm S. Longair.</t>
        </is>
      </c>
      <c r="F458" t="inlineStr">
        <is>
          <t>No</t>
        </is>
      </c>
      <c r="G458" t="inlineStr">
        <is>
          <t>1</t>
        </is>
      </c>
      <c r="H458" t="inlineStr">
        <is>
          <t>No</t>
        </is>
      </c>
      <c r="I458" t="inlineStr">
        <is>
          <t>No</t>
        </is>
      </c>
      <c r="J458" t="inlineStr">
        <is>
          <t>0</t>
        </is>
      </c>
      <c r="K458" t="inlineStr">
        <is>
          <t>Longair, Malcolm S., 1941-</t>
        </is>
      </c>
      <c r="L458" t="inlineStr">
        <is>
          <t>Cambridge, [Eng.] ; New York : Cambridge University Press, 1996.</t>
        </is>
      </c>
      <c r="M458" t="inlineStr">
        <is>
          <t>1996</t>
        </is>
      </c>
      <c r="O458" t="inlineStr">
        <is>
          <t>eng</t>
        </is>
      </c>
      <c r="P458" t="inlineStr">
        <is>
          <t>enk</t>
        </is>
      </c>
      <c r="R458" t="inlineStr">
        <is>
          <t xml:space="preserve">QB </t>
        </is>
      </c>
      <c r="S458" t="n">
        <v>2</v>
      </c>
      <c r="T458" t="n">
        <v>2</v>
      </c>
      <c r="U458" t="inlineStr">
        <is>
          <t>2006-03-15</t>
        </is>
      </c>
      <c r="V458" t="inlineStr">
        <is>
          <t>2006-03-15</t>
        </is>
      </c>
      <c r="W458" t="inlineStr">
        <is>
          <t>1996-06-07</t>
        </is>
      </c>
      <c r="X458" t="inlineStr">
        <is>
          <t>1996-06-07</t>
        </is>
      </c>
      <c r="Y458" t="n">
        <v>516</v>
      </c>
      <c r="Z458" t="n">
        <v>379</v>
      </c>
      <c r="AA458" t="n">
        <v>385</v>
      </c>
      <c r="AB458" t="n">
        <v>3</v>
      </c>
      <c r="AC458" t="n">
        <v>3</v>
      </c>
      <c r="AD458" t="n">
        <v>16</v>
      </c>
      <c r="AE458" t="n">
        <v>16</v>
      </c>
      <c r="AF458" t="n">
        <v>3</v>
      </c>
      <c r="AG458" t="n">
        <v>3</v>
      </c>
      <c r="AH458" t="n">
        <v>5</v>
      </c>
      <c r="AI458" t="n">
        <v>5</v>
      </c>
      <c r="AJ458" t="n">
        <v>10</v>
      </c>
      <c r="AK458" t="n">
        <v>10</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HYPERLINK("https://creighton-primo.hosted.exlibrisgroup.com/primo-explore/search?tab=default_tab&amp;search_scope=EVERYTHING&amp;vid=01CRU&amp;lang=en_US&amp;offset=0&amp;query=any,contains,991002495209702656","Catalog Record")</f>
        <v/>
      </c>
      <c r="AT458">
        <f>HYPERLINK("http://www.worldcat.org/oclc/32467214","WorldCat Record")</f>
        <v/>
      </c>
      <c r="AU458" t="inlineStr">
        <is>
          <t>836781:eng</t>
        </is>
      </c>
      <c r="AV458" t="inlineStr">
        <is>
          <t>32467214</t>
        </is>
      </c>
      <c r="AW458" t="inlineStr">
        <is>
          <t>991002495209702656</t>
        </is>
      </c>
      <c r="AX458" t="inlineStr">
        <is>
          <t>991002495209702656</t>
        </is>
      </c>
      <c r="AY458" t="inlineStr">
        <is>
          <t>2262879790002656</t>
        </is>
      </c>
      <c r="AZ458" t="inlineStr">
        <is>
          <t>BOOK</t>
        </is>
      </c>
      <c r="BB458" t="inlineStr">
        <is>
          <t>9780521550918</t>
        </is>
      </c>
      <c r="BC458" t="inlineStr">
        <is>
          <t>32285002190048</t>
        </is>
      </c>
      <c r="BD458" t="inlineStr">
        <is>
          <t>893710360</t>
        </is>
      </c>
    </row>
    <row r="459">
      <c r="A459" t="inlineStr">
        <is>
          <t>No</t>
        </is>
      </c>
      <c r="B459" t="inlineStr">
        <is>
          <t>QB806 .M4 1967</t>
        </is>
      </c>
      <c r="C459" t="inlineStr">
        <is>
          <t>0                      QB 0806000M  4           1967</t>
        </is>
      </c>
      <c r="D459" t="inlineStr">
        <is>
          <t>Stellar evolution, by A.J. Meadows.</t>
        </is>
      </c>
      <c r="F459" t="inlineStr">
        <is>
          <t>No</t>
        </is>
      </c>
      <c r="G459" t="inlineStr">
        <is>
          <t>1</t>
        </is>
      </c>
      <c r="H459" t="inlineStr">
        <is>
          <t>No</t>
        </is>
      </c>
      <c r="I459" t="inlineStr">
        <is>
          <t>No</t>
        </is>
      </c>
      <c r="J459" t="inlineStr">
        <is>
          <t>0</t>
        </is>
      </c>
      <c r="K459" t="inlineStr">
        <is>
          <t>Meadows, A. J. (Arthur Jack)</t>
        </is>
      </c>
      <c r="L459" t="inlineStr">
        <is>
          <t>Oxford, New York, Pergamon Press [1967]</t>
        </is>
      </c>
      <c r="M459" t="inlineStr">
        <is>
          <t>1967</t>
        </is>
      </c>
      <c r="N459" t="inlineStr">
        <is>
          <t>[1st ed.].</t>
        </is>
      </c>
      <c r="O459" t="inlineStr">
        <is>
          <t>eng</t>
        </is>
      </c>
      <c r="P459" t="inlineStr">
        <is>
          <t>enk</t>
        </is>
      </c>
      <c r="Q459" t="inlineStr">
        <is>
          <t>Pergamon international popular science</t>
        </is>
      </c>
      <c r="R459" t="inlineStr">
        <is>
          <t xml:space="preserve">QB </t>
        </is>
      </c>
      <c r="S459" t="n">
        <v>1</v>
      </c>
      <c r="T459" t="n">
        <v>1</v>
      </c>
      <c r="U459" t="inlineStr">
        <is>
          <t>1992-04-07</t>
        </is>
      </c>
      <c r="V459" t="inlineStr">
        <is>
          <t>1992-04-07</t>
        </is>
      </c>
      <c r="W459" t="inlineStr">
        <is>
          <t>1992-03-31</t>
        </is>
      </c>
      <c r="X459" t="inlineStr">
        <is>
          <t>1992-03-31</t>
        </is>
      </c>
      <c r="Y459" t="n">
        <v>497</v>
      </c>
      <c r="Z459" t="n">
        <v>425</v>
      </c>
      <c r="AA459" t="n">
        <v>611</v>
      </c>
      <c r="AB459" t="n">
        <v>4</v>
      </c>
      <c r="AC459" t="n">
        <v>5</v>
      </c>
      <c r="AD459" t="n">
        <v>14</v>
      </c>
      <c r="AE459" t="n">
        <v>21</v>
      </c>
      <c r="AF459" t="n">
        <v>4</v>
      </c>
      <c r="AG459" t="n">
        <v>6</v>
      </c>
      <c r="AH459" t="n">
        <v>3</v>
      </c>
      <c r="AI459" t="n">
        <v>5</v>
      </c>
      <c r="AJ459" t="n">
        <v>6</v>
      </c>
      <c r="AK459" t="n">
        <v>9</v>
      </c>
      <c r="AL459" t="n">
        <v>3</v>
      </c>
      <c r="AM459" t="n">
        <v>4</v>
      </c>
      <c r="AN459" t="n">
        <v>0</v>
      </c>
      <c r="AO459" t="n">
        <v>0</v>
      </c>
      <c r="AP459" t="inlineStr">
        <is>
          <t>No</t>
        </is>
      </c>
      <c r="AQ459" t="inlineStr">
        <is>
          <t>Yes</t>
        </is>
      </c>
      <c r="AR459">
        <f>HYPERLINK("http://catalog.hathitrust.org/Record/001477160","HathiTrust Record")</f>
        <v/>
      </c>
      <c r="AS459">
        <f>HYPERLINK("https://creighton-primo.hosted.exlibrisgroup.com/primo-explore/search?tab=default_tab&amp;search_scope=EVERYTHING&amp;vid=01CRU&amp;lang=en_US&amp;offset=0&amp;query=any,contains,991002931219702656","Catalog Record")</f>
        <v/>
      </c>
      <c r="AT459">
        <f>HYPERLINK("http://www.worldcat.org/oclc/530957","WorldCat Record")</f>
        <v/>
      </c>
      <c r="AU459" t="inlineStr">
        <is>
          <t>407268:eng</t>
        </is>
      </c>
      <c r="AV459" t="inlineStr">
        <is>
          <t>530957</t>
        </is>
      </c>
      <c r="AW459" t="inlineStr">
        <is>
          <t>991002931219702656</t>
        </is>
      </c>
      <c r="AX459" t="inlineStr">
        <is>
          <t>991002931219702656</t>
        </is>
      </c>
      <c r="AY459" t="inlineStr">
        <is>
          <t>2266448760002656</t>
        </is>
      </c>
      <c r="AZ459" t="inlineStr">
        <is>
          <t>BOOK</t>
        </is>
      </c>
      <c r="BC459" t="inlineStr">
        <is>
          <t>32285001050300</t>
        </is>
      </c>
      <c r="BD459" t="inlineStr">
        <is>
          <t>893251785</t>
        </is>
      </c>
    </row>
    <row r="460">
      <c r="A460" t="inlineStr">
        <is>
          <t>No</t>
        </is>
      </c>
      <c r="B460" t="inlineStr">
        <is>
          <t>QB806 .P3 1968</t>
        </is>
      </c>
      <c r="C460" t="inlineStr">
        <is>
          <t>0                      QB 0806000P  3           1968</t>
        </is>
      </c>
      <c r="D460" t="inlineStr">
        <is>
          <t>The evolution of stars : how they form, age, and die / edited by Thornton Page &amp; Lou Williams Page.</t>
        </is>
      </c>
      <c r="F460" t="inlineStr">
        <is>
          <t>No</t>
        </is>
      </c>
      <c r="G460" t="inlineStr">
        <is>
          <t>1</t>
        </is>
      </c>
      <c r="H460" t="inlineStr">
        <is>
          <t>No</t>
        </is>
      </c>
      <c r="I460" t="inlineStr">
        <is>
          <t>No</t>
        </is>
      </c>
      <c r="J460" t="inlineStr">
        <is>
          <t>0</t>
        </is>
      </c>
      <c r="K460" t="inlineStr">
        <is>
          <t>Page, Thornton compiler.</t>
        </is>
      </c>
      <c r="L460" t="inlineStr">
        <is>
          <t>New York : Macmillan, [1967, c1968]</t>
        </is>
      </c>
      <c r="M460" t="inlineStr">
        <is>
          <t>1967</t>
        </is>
      </c>
      <c r="O460" t="inlineStr">
        <is>
          <t>eng</t>
        </is>
      </c>
      <c r="P460" t="inlineStr">
        <is>
          <t>nyu</t>
        </is>
      </c>
      <c r="Q460" t="inlineStr">
        <is>
          <t>Sky and telescope library of astronomy ; v. 6</t>
        </is>
      </c>
      <c r="R460" t="inlineStr">
        <is>
          <t xml:space="preserve">QB </t>
        </is>
      </c>
      <c r="S460" t="n">
        <v>4</v>
      </c>
      <c r="T460" t="n">
        <v>4</v>
      </c>
      <c r="U460" t="inlineStr">
        <is>
          <t>2006-03-15</t>
        </is>
      </c>
      <c r="V460" t="inlineStr">
        <is>
          <t>2006-03-15</t>
        </is>
      </c>
      <c r="W460" t="inlineStr">
        <is>
          <t>1992-05-15</t>
        </is>
      </c>
      <c r="X460" t="inlineStr">
        <is>
          <t>1992-05-15</t>
        </is>
      </c>
      <c r="Y460" t="n">
        <v>643</v>
      </c>
      <c r="Z460" t="n">
        <v>590</v>
      </c>
      <c r="AA460" t="n">
        <v>602</v>
      </c>
      <c r="AB460" t="n">
        <v>3</v>
      </c>
      <c r="AC460" t="n">
        <v>3</v>
      </c>
      <c r="AD460" t="n">
        <v>16</v>
      </c>
      <c r="AE460" t="n">
        <v>16</v>
      </c>
      <c r="AF460" t="n">
        <v>5</v>
      </c>
      <c r="AG460" t="n">
        <v>5</v>
      </c>
      <c r="AH460" t="n">
        <v>5</v>
      </c>
      <c r="AI460" t="n">
        <v>5</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HYPERLINK("https://creighton-primo.hosted.exlibrisgroup.com/primo-explore/search?tab=default_tab&amp;search_scope=EVERYTHING&amp;vid=01CRU&amp;lang=en_US&amp;offset=0&amp;query=any,contains,991003363979702656","Catalog Record")</f>
        <v/>
      </c>
      <c r="AT460">
        <f>HYPERLINK("http://www.worldcat.org/oclc/900472","WorldCat Record")</f>
        <v/>
      </c>
      <c r="AU460" t="inlineStr">
        <is>
          <t>1833673:eng</t>
        </is>
      </c>
      <c r="AV460" t="inlineStr">
        <is>
          <t>900472</t>
        </is>
      </c>
      <c r="AW460" t="inlineStr">
        <is>
          <t>991003363979702656</t>
        </is>
      </c>
      <c r="AX460" t="inlineStr">
        <is>
          <t>991003363979702656</t>
        </is>
      </c>
      <c r="AY460" t="inlineStr">
        <is>
          <t>2266366570002656</t>
        </is>
      </c>
      <c r="AZ460" t="inlineStr">
        <is>
          <t>BOOK</t>
        </is>
      </c>
      <c r="BC460" t="inlineStr">
        <is>
          <t>32285001111078</t>
        </is>
      </c>
      <c r="BD460" t="inlineStr">
        <is>
          <t>893258358</t>
        </is>
      </c>
    </row>
    <row r="461">
      <c r="A461" t="inlineStr">
        <is>
          <t>No</t>
        </is>
      </c>
      <c r="B461" t="inlineStr">
        <is>
          <t>QB806 .R37</t>
        </is>
      </c>
      <c r="C461" t="inlineStr">
        <is>
          <t>0                      QB 0806000R  37</t>
        </is>
      </c>
      <c r="D461" t="inlineStr">
        <is>
          <t>Stellar formation / by V. C. Reddish.</t>
        </is>
      </c>
      <c r="F461" t="inlineStr">
        <is>
          <t>No</t>
        </is>
      </c>
      <c r="G461" t="inlineStr">
        <is>
          <t>1</t>
        </is>
      </c>
      <c r="H461" t="inlineStr">
        <is>
          <t>No</t>
        </is>
      </c>
      <c r="I461" t="inlineStr">
        <is>
          <t>No</t>
        </is>
      </c>
      <c r="J461" t="inlineStr">
        <is>
          <t>0</t>
        </is>
      </c>
      <c r="K461" t="inlineStr">
        <is>
          <t>Reddish, V. C.</t>
        </is>
      </c>
      <c r="L461" t="inlineStr">
        <is>
          <t>Oxford ; New York : Pergamon Press, 1978.</t>
        </is>
      </c>
      <c r="M461" t="inlineStr">
        <is>
          <t>1978</t>
        </is>
      </c>
      <c r="N461" t="inlineStr">
        <is>
          <t>1st ed.</t>
        </is>
      </c>
      <c r="O461" t="inlineStr">
        <is>
          <t>eng</t>
        </is>
      </c>
      <c r="P461" t="inlineStr">
        <is>
          <t>enk</t>
        </is>
      </c>
      <c r="Q461" t="inlineStr">
        <is>
          <t>International series in natural philosophy ; v. 97</t>
        </is>
      </c>
      <c r="R461" t="inlineStr">
        <is>
          <t xml:space="preserve">QB </t>
        </is>
      </c>
      <c r="S461" t="n">
        <v>1</v>
      </c>
      <c r="T461" t="n">
        <v>1</v>
      </c>
      <c r="U461" t="inlineStr">
        <is>
          <t>2006-03-15</t>
        </is>
      </c>
      <c r="V461" t="inlineStr">
        <is>
          <t>2006-03-15</t>
        </is>
      </c>
      <c r="W461" t="inlineStr">
        <is>
          <t>1992-11-24</t>
        </is>
      </c>
      <c r="X461" t="inlineStr">
        <is>
          <t>1992-11-24</t>
        </is>
      </c>
      <c r="Y461" t="n">
        <v>318</v>
      </c>
      <c r="Z461" t="n">
        <v>201</v>
      </c>
      <c r="AA461" t="n">
        <v>236</v>
      </c>
      <c r="AB461" t="n">
        <v>2</v>
      </c>
      <c r="AC461" t="n">
        <v>2</v>
      </c>
      <c r="AD461" t="n">
        <v>4</v>
      </c>
      <c r="AE461" t="n">
        <v>5</v>
      </c>
      <c r="AF461" t="n">
        <v>1</v>
      </c>
      <c r="AG461" t="n">
        <v>1</v>
      </c>
      <c r="AH461" t="n">
        <v>2</v>
      </c>
      <c r="AI461" t="n">
        <v>3</v>
      </c>
      <c r="AJ461" t="n">
        <v>0</v>
      </c>
      <c r="AK461" t="n">
        <v>0</v>
      </c>
      <c r="AL461" t="n">
        <v>1</v>
      </c>
      <c r="AM461" t="n">
        <v>1</v>
      </c>
      <c r="AN461" t="n">
        <v>0</v>
      </c>
      <c r="AO461" t="n">
        <v>0</v>
      </c>
      <c r="AP461" t="inlineStr">
        <is>
          <t>No</t>
        </is>
      </c>
      <c r="AQ461" t="inlineStr">
        <is>
          <t>Yes</t>
        </is>
      </c>
      <c r="AR461">
        <f>HYPERLINK("http://catalog.hathitrust.org/Record/000257860","HathiTrust Record")</f>
        <v/>
      </c>
      <c r="AS461">
        <f>HYPERLINK("https://creighton-primo.hosted.exlibrisgroup.com/primo-explore/search?tab=default_tab&amp;search_scope=EVERYTHING&amp;vid=01CRU&amp;lang=en_US&amp;offset=0&amp;query=any,contains,991004674989702656","Catalog Record")</f>
        <v/>
      </c>
      <c r="AT461">
        <f>HYPERLINK("http://www.worldcat.org/oclc/4530401","WorldCat Record")</f>
        <v/>
      </c>
      <c r="AU461" t="inlineStr">
        <is>
          <t>365668303:eng</t>
        </is>
      </c>
      <c r="AV461" t="inlineStr">
        <is>
          <t>4530401</t>
        </is>
      </c>
      <c r="AW461" t="inlineStr">
        <is>
          <t>991004674989702656</t>
        </is>
      </c>
      <c r="AX461" t="inlineStr">
        <is>
          <t>991004674989702656</t>
        </is>
      </c>
      <c r="AY461" t="inlineStr">
        <is>
          <t>2257748890002656</t>
        </is>
      </c>
      <c r="AZ461" t="inlineStr">
        <is>
          <t>BOOK</t>
        </is>
      </c>
      <c r="BB461" t="inlineStr">
        <is>
          <t>9780080230535</t>
        </is>
      </c>
      <c r="BC461" t="inlineStr">
        <is>
          <t>32285001434421</t>
        </is>
      </c>
      <c r="BD461" t="inlineStr">
        <is>
          <t>893694192</t>
        </is>
      </c>
    </row>
    <row r="462">
      <c r="A462" t="inlineStr">
        <is>
          <t>No</t>
        </is>
      </c>
      <c r="B462" t="inlineStr">
        <is>
          <t>QB806 .S25 2005</t>
        </is>
      </c>
      <c r="C462" t="inlineStr">
        <is>
          <t>0                      QB 0806000S  25          2005</t>
        </is>
      </c>
      <c r="D462" t="inlineStr">
        <is>
          <t>Evolution of stars and stellar populations / Maurizio Salaris, Santi Cassisi.</t>
        </is>
      </c>
      <c r="F462" t="inlineStr">
        <is>
          <t>No</t>
        </is>
      </c>
      <c r="G462" t="inlineStr">
        <is>
          <t>1</t>
        </is>
      </c>
      <c r="H462" t="inlineStr">
        <is>
          <t>No</t>
        </is>
      </c>
      <c r="I462" t="inlineStr">
        <is>
          <t>No</t>
        </is>
      </c>
      <c r="J462" t="inlineStr">
        <is>
          <t>0</t>
        </is>
      </c>
      <c r="K462" t="inlineStr">
        <is>
          <t>Salaris, Maurizio.</t>
        </is>
      </c>
      <c r="L462" t="inlineStr">
        <is>
          <t>Chichester, West Sussex, England ; Hoboken, NJ, USA : J. Wiley, c2005.</t>
        </is>
      </c>
      <c r="M462" t="inlineStr">
        <is>
          <t>2005</t>
        </is>
      </c>
      <c r="O462" t="inlineStr">
        <is>
          <t>eng</t>
        </is>
      </c>
      <c r="P462" t="inlineStr">
        <is>
          <t>nju</t>
        </is>
      </c>
      <c r="R462" t="inlineStr">
        <is>
          <t xml:space="preserve">QB </t>
        </is>
      </c>
      <c r="S462" t="n">
        <v>1</v>
      </c>
      <c r="T462" t="n">
        <v>1</v>
      </c>
      <c r="U462" t="inlineStr">
        <is>
          <t>2006-08-07</t>
        </is>
      </c>
      <c r="V462" t="inlineStr">
        <is>
          <t>2006-08-07</t>
        </is>
      </c>
      <c r="W462" t="inlineStr">
        <is>
          <t>2006-08-07</t>
        </is>
      </c>
      <c r="X462" t="inlineStr">
        <is>
          <t>2006-08-07</t>
        </is>
      </c>
      <c r="Y462" t="n">
        <v>404</v>
      </c>
      <c r="Z462" t="n">
        <v>323</v>
      </c>
      <c r="AA462" t="n">
        <v>388</v>
      </c>
      <c r="AB462" t="n">
        <v>1</v>
      </c>
      <c r="AC462" t="n">
        <v>1</v>
      </c>
      <c r="AD462" t="n">
        <v>17</v>
      </c>
      <c r="AE462" t="n">
        <v>18</v>
      </c>
      <c r="AF462" t="n">
        <v>8</v>
      </c>
      <c r="AG462" t="n">
        <v>9</v>
      </c>
      <c r="AH462" t="n">
        <v>1</v>
      </c>
      <c r="AI462" t="n">
        <v>1</v>
      </c>
      <c r="AJ462" t="n">
        <v>12</v>
      </c>
      <c r="AK462" t="n">
        <v>13</v>
      </c>
      <c r="AL462" t="n">
        <v>0</v>
      </c>
      <c r="AM462" t="n">
        <v>0</v>
      </c>
      <c r="AN462" t="n">
        <v>0</v>
      </c>
      <c r="AO462" t="n">
        <v>0</v>
      </c>
      <c r="AP462" t="inlineStr">
        <is>
          <t>No</t>
        </is>
      </c>
      <c r="AQ462" t="inlineStr">
        <is>
          <t>Yes</t>
        </is>
      </c>
      <c r="AR462">
        <f>HYPERLINK("http://catalog.hathitrust.org/Record/005118439","HathiTrust Record")</f>
        <v/>
      </c>
      <c r="AS462">
        <f>HYPERLINK("https://creighton-primo.hosted.exlibrisgroup.com/primo-explore/search?tab=default_tab&amp;search_scope=EVERYTHING&amp;vid=01CRU&amp;lang=en_US&amp;offset=0&amp;query=any,contains,991004850899702656","Catalog Record")</f>
        <v/>
      </c>
      <c r="AT462">
        <f>HYPERLINK("http://www.worldcat.org/oclc/61162273","WorldCat Record")</f>
        <v/>
      </c>
      <c r="AU462" t="inlineStr">
        <is>
          <t>918629:eng</t>
        </is>
      </c>
      <c r="AV462" t="inlineStr">
        <is>
          <t>61162273</t>
        </is>
      </c>
      <c r="AW462" t="inlineStr">
        <is>
          <t>991004850899702656</t>
        </is>
      </c>
      <c r="AX462" t="inlineStr">
        <is>
          <t>991004850899702656</t>
        </is>
      </c>
      <c r="AY462" t="inlineStr">
        <is>
          <t>2269060910002656</t>
        </is>
      </c>
      <c r="AZ462" t="inlineStr">
        <is>
          <t>BOOK</t>
        </is>
      </c>
      <c r="BB462" t="inlineStr">
        <is>
          <t>9780470092194</t>
        </is>
      </c>
      <c r="BC462" t="inlineStr">
        <is>
          <t>32285005199673</t>
        </is>
      </c>
      <c r="BD462" t="inlineStr">
        <is>
          <t>893801424</t>
        </is>
      </c>
    </row>
    <row r="463">
      <c r="A463" t="inlineStr">
        <is>
          <t>No</t>
        </is>
      </c>
      <c r="B463" t="inlineStr">
        <is>
          <t>QB806 .S5413 1978</t>
        </is>
      </c>
      <c r="C463" t="inlineStr">
        <is>
          <t>0                      QB 0806000S  5413        1978</t>
        </is>
      </c>
      <c r="D463" t="inlineStr">
        <is>
          <t>Stars, their birth, life, and death / Iosif S. Shklovskii ; translated by Richard B. Rodman. --</t>
        </is>
      </c>
      <c r="F463" t="inlineStr">
        <is>
          <t>No</t>
        </is>
      </c>
      <c r="G463" t="inlineStr">
        <is>
          <t>1</t>
        </is>
      </c>
      <c r="H463" t="inlineStr">
        <is>
          <t>No</t>
        </is>
      </c>
      <c r="I463" t="inlineStr">
        <is>
          <t>No</t>
        </is>
      </c>
      <c r="J463" t="inlineStr">
        <is>
          <t>0</t>
        </is>
      </c>
      <c r="K463" t="inlineStr">
        <is>
          <t>Shklovskiĭ, I. S.</t>
        </is>
      </c>
      <c r="L463" t="inlineStr">
        <is>
          <t>San Francisco : W. H. Freeman, c1978.</t>
        </is>
      </c>
      <c r="M463" t="inlineStr">
        <is>
          <t>1978</t>
        </is>
      </c>
      <c r="O463" t="inlineStr">
        <is>
          <t>eng</t>
        </is>
      </c>
      <c r="P463" t="inlineStr">
        <is>
          <t>cau</t>
        </is>
      </c>
      <c r="R463" t="inlineStr">
        <is>
          <t xml:space="preserve">QB </t>
        </is>
      </c>
      <c r="S463" t="n">
        <v>5</v>
      </c>
      <c r="T463" t="n">
        <v>5</v>
      </c>
      <c r="U463" t="inlineStr">
        <is>
          <t>2009-03-24</t>
        </is>
      </c>
      <c r="V463" t="inlineStr">
        <is>
          <t>2009-03-24</t>
        </is>
      </c>
      <c r="W463" t="inlineStr">
        <is>
          <t>1992-04-20</t>
        </is>
      </c>
      <c r="X463" t="inlineStr">
        <is>
          <t>1992-04-20</t>
        </is>
      </c>
      <c r="Y463" t="n">
        <v>787</v>
      </c>
      <c r="Z463" t="n">
        <v>657</v>
      </c>
      <c r="AA463" t="n">
        <v>663</v>
      </c>
      <c r="AB463" t="n">
        <v>4</v>
      </c>
      <c r="AC463" t="n">
        <v>4</v>
      </c>
      <c r="AD463" t="n">
        <v>20</v>
      </c>
      <c r="AE463" t="n">
        <v>20</v>
      </c>
      <c r="AF463" t="n">
        <v>7</v>
      </c>
      <c r="AG463" t="n">
        <v>7</v>
      </c>
      <c r="AH463" t="n">
        <v>6</v>
      </c>
      <c r="AI463" t="n">
        <v>6</v>
      </c>
      <c r="AJ463" t="n">
        <v>8</v>
      </c>
      <c r="AK463" t="n">
        <v>8</v>
      </c>
      <c r="AL463" t="n">
        <v>3</v>
      </c>
      <c r="AM463" t="n">
        <v>3</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HYPERLINK("https://creighton-primo.hosted.exlibrisgroup.com/primo-explore/search?tab=default_tab&amp;search_scope=EVERYTHING&amp;vid=01CRU&amp;lang=en_US&amp;offset=0&amp;query=any,contains,991004407849702656","Catalog Record")</f>
        <v/>
      </c>
      <c r="AT463">
        <f>HYPERLINK("http://www.worldcat.org/oclc/3327903","WorldCat Record")</f>
        <v/>
      </c>
      <c r="AU463" t="inlineStr">
        <is>
          <t>9729676:eng</t>
        </is>
      </c>
      <c r="AV463" t="inlineStr">
        <is>
          <t>3327903</t>
        </is>
      </c>
      <c r="AW463" t="inlineStr">
        <is>
          <t>991004407849702656</t>
        </is>
      </c>
      <c r="AX463" t="inlineStr">
        <is>
          <t>991004407849702656</t>
        </is>
      </c>
      <c r="AY463" t="inlineStr">
        <is>
          <t>2267365020002656</t>
        </is>
      </c>
      <c r="AZ463" t="inlineStr">
        <is>
          <t>BOOK</t>
        </is>
      </c>
      <c r="BB463" t="inlineStr">
        <is>
          <t>9780716700241</t>
        </is>
      </c>
      <c r="BC463" t="inlineStr">
        <is>
          <t>32285001044295</t>
        </is>
      </c>
      <c r="BD463" t="inlineStr">
        <is>
          <t>893894966</t>
        </is>
      </c>
    </row>
    <row r="464">
      <c r="A464" t="inlineStr">
        <is>
          <t>No</t>
        </is>
      </c>
      <c r="B464" t="inlineStr">
        <is>
          <t>QB808 .C47 1989</t>
        </is>
      </c>
      <c r="C464" t="inlineStr">
        <is>
          <t>0                      QB 0808000C  47          1989</t>
        </is>
      </c>
      <c r="D464" t="inlineStr">
        <is>
          <t>Stellar structure and stellar atmospheres.</t>
        </is>
      </c>
      <c r="F464" t="inlineStr">
        <is>
          <t>No</t>
        </is>
      </c>
      <c r="G464" t="inlineStr">
        <is>
          <t>1</t>
        </is>
      </c>
      <c r="H464" t="inlineStr">
        <is>
          <t>No</t>
        </is>
      </c>
      <c r="I464" t="inlineStr">
        <is>
          <t>No</t>
        </is>
      </c>
      <c r="J464" t="inlineStr">
        <is>
          <t>0</t>
        </is>
      </c>
      <c r="K464" t="inlineStr">
        <is>
          <t>Chandrasekhar, S. (Subrahmanyan), 1910-1995.</t>
        </is>
      </c>
      <c r="L464" t="inlineStr">
        <is>
          <t>Chicago : University of Chicago Press, 1989.</t>
        </is>
      </c>
      <c r="M464" t="inlineStr">
        <is>
          <t>1989</t>
        </is>
      </c>
      <c r="O464" t="inlineStr">
        <is>
          <t>eng</t>
        </is>
      </c>
      <c r="P464" t="inlineStr">
        <is>
          <t>ilu</t>
        </is>
      </c>
      <c r="Q464" t="inlineStr">
        <is>
          <t>Selected papers / S. Chandrasekhar ; v. 1</t>
        </is>
      </c>
      <c r="R464" t="inlineStr">
        <is>
          <t xml:space="preserve">QB </t>
        </is>
      </c>
      <c r="S464" t="n">
        <v>1</v>
      </c>
      <c r="T464" t="n">
        <v>1</v>
      </c>
      <c r="U464" t="inlineStr">
        <is>
          <t>1998-12-23</t>
        </is>
      </c>
      <c r="V464" t="inlineStr">
        <is>
          <t>1998-12-23</t>
        </is>
      </c>
      <c r="W464" t="inlineStr">
        <is>
          <t>1989-11-01</t>
        </is>
      </c>
      <c r="X464" t="inlineStr">
        <is>
          <t>1989-11-01</t>
        </is>
      </c>
      <c r="Y464" t="n">
        <v>190</v>
      </c>
      <c r="Z464" t="n">
        <v>152</v>
      </c>
      <c r="AA464" t="n">
        <v>163</v>
      </c>
      <c r="AB464" t="n">
        <v>3</v>
      </c>
      <c r="AC464" t="n">
        <v>3</v>
      </c>
      <c r="AD464" t="n">
        <v>6</v>
      </c>
      <c r="AE464" t="n">
        <v>6</v>
      </c>
      <c r="AF464" t="n">
        <v>0</v>
      </c>
      <c r="AG464" t="n">
        <v>0</v>
      </c>
      <c r="AH464" t="n">
        <v>2</v>
      </c>
      <c r="AI464" t="n">
        <v>2</v>
      </c>
      <c r="AJ464" t="n">
        <v>2</v>
      </c>
      <c r="AK464" t="n">
        <v>2</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HYPERLINK("https://creighton-primo.hosted.exlibrisgroup.com/primo-explore/search?tab=default_tab&amp;search_scope=EVERYTHING&amp;vid=01CRU&amp;lang=en_US&amp;offset=0&amp;query=any,contains,991001344229702656","Catalog Record")</f>
        <v/>
      </c>
      <c r="AT464">
        <f>HYPERLINK("http://www.worldcat.org/oclc/18411670","WorldCat Record")</f>
        <v/>
      </c>
      <c r="AU464" t="inlineStr">
        <is>
          <t>53100809:eng</t>
        </is>
      </c>
      <c r="AV464" t="inlineStr">
        <is>
          <t>18411670</t>
        </is>
      </c>
      <c r="AW464" t="inlineStr">
        <is>
          <t>991001344229702656</t>
        </is>
      </c>
      <c r="AX464" t="inlineStr">
        <is>
          <t>991001344229702656</t>
        </is>
      </c>
      <c r="AY464" t="inlineStr">
        <is>
          <t>2254890190002656</t>
        </is>
      </c>
      <c r="AZ464" t="inlineStr">
        <is>
          <t>BOOK</t>
        </is>
      </c>
      <c r="BB464" t="inlineStr">
        <is>
          <t>9780226100906</t>
        </is>
      </c>
      <c r="BC464" t="inlineStr">
        <is>
          <t>32285000010818</t>
        </is>
      </c>
      <c r="BD464" t="inlineStr">
        <is>
          <t>893602531</t>
        </is>
      </c>
    </row>
    <row r="465">
      <c r="A465" t="inlineStr">
        <is>
          <t>No</t>
        </is>
      </c>
      <c r="B465" t="inlineStr">
        <is>
          <t>QB808 .H36 1994</t>
        </is>
      </c>
      <c r="C465" t="inlineStr">
        <is>
          <t>0                      QB 0808000H  36          1994</t>
        </is>
      </c>
      <c r="D465" t="inlineStr">
        <is>
          <t>Stellar interiors : physical principles, structure, and evolution / Carl J. Hansen, S. D. Kawaler.</t>
        </is>
      </c>
      <c r="F465" t="inlineStr">
        <is>
          <t>No</t>
        </is>
      </c>
      <c r="G465" t="inlineStr">
        <is>
          <t>1</t>
        </is>
      </c>
      <c r="H465" t="inlineStr">
        <is>
          <t>No</t>
        </is>
      </c>
      <c r="I465" t="inlineStr">
        <is>
          <t>No</t>
        </is>
      </c>
      <c r="J465" t="inlineStr">
        <is>
          <t>0</t>
        </is>
      </c>
      <c r="K465" t="inlineStr">
        <is>
          <t>Hansen, Carl J.</t>
        </is>
      </c>
      <c r="L465" t="inlineStr">
        <is>
          <t>New York : Springer-Verlag, 1994.</t>
        </is>
      </c>
      <c r="M465" t="inlineStr">
        <is>
          <t>1994</t>
        </is>
      </c>
      <c r="N465" t="inlineStr">
        <is>
          <t>1st ed.</t>
        </is>
      </c>
      <c r="O465" t="inlineStr">
        <is>
          <t>eng</t>
        </is>
      </c>
      <c r="P465" t="inlineStr">
        <is>
          <t>nyu</t>
        </is>
      </c>
      <c r="Q465" t="inlineStr">
        <is>
          <t>Astronomy and astrophysics library</t>
        </is>
      </c>
      <c r="R465" t="inlineStr">
        <is>
          <t xml:space="preserve">QB </t>
        </is>
      </c>
      <c r="S465" t="n">
        <v>1</v>
      </c>
      <c r="T465" t="n">
        <v>1</v>
      </c>
      <c r="U465" t="inlineStr">
        <is>
          <t>2006-03-15</t>
        </is>
      </c>
      <c r="V465" t="inlineStr">
        <is>
          <t>2006-03-15</t>
        </is>
      </c>
      <c r="W465" t="inlineStr">
        <is>
          <t>1996-09-05</t>
        </is>
      </c>
      <c r="X465" t="inlineStr">
        <is>
          <t>1996-09-05</t>
        </is>
      </c>
      <c r="Y465" t="n">
        <v>382</v>
      </c>
      <c r="Z465" t="n">
        <v>292</v>
      </c>
      <c r="AA465" t="n">
        <v>390</v>
      </c>
      <c r="AB465" t="n">
        <v>1</v>
      </c>
      <c r="AC465" t="n">
        <v>2</v>
      </c>
      <c r="AD465" t="n">
        <v>17</v>
      </c>
      <c r="AE465" t="n">
        <v>21</v>
      </c>
      <c r="AF465" t="n">
        <v>8</v>
      </c>
      <c r="AG465" t="n">
        <v>10</v>
      </c>
      <c r="AH465" t="n">
        <v>1</v>
      </c>
      <c r="AI465" t="n">
        <v>2</v>
      </c>
      <c r="AJ465" t="n">
        <v>12</v>
      </c>
      <c r="AK465" t="n">
        <v>14</v>
      </c>
      <c r="AL465" t="n">
        <v>0</v>
      </c>
      <c r="AM465" t="n">
        <v>1</v>
      </c>
      <c r="AN465" t="n">
        <v>0</v>
      </c>
      <c r="AO465" t="n">
        <v>0</v>
      </c>
      <c r="AP465" t="inlineStr">
        <is>
          <t>No</t>
        </is>
      </c>
      <c r="AQ465" t="inlineStr">
        <is>
          <t>Yes</t>
        </is>
      </c>
      <c r="AR465">
        <f>HYPERLINK("http://catalog.hathitrust.org/Record/002932203","HathiTrust Record")</f>
        <v/>
      </c>
      <c r="AS465">
        <f>HYPERLINK("https://creighton-primo.hosted.exlibrisgroup.com/primo-explore/search?tab=default_tab&amp;search_scope=EVERYTHING&amp;vid=01CRU&amp;lang=en_US&amp;offset=0&amp;query=any,contains,991004571859702656","Catalog Record")</f>
        <v/>
      </c>
      <c r="AT465">
        <f>HYPERLINK("http://www.worldcat.org/oclc/28723614","WorldCat Record")</f>
        <v/>
      </c>
      <c r="AU465" t="inlineStr">
        <is>
          <t>689830:eng</t>
        </is>
      </c>
      <c r="AV465" t="inlineStr">
        <is>
          <t>28723614</t>
        </is>
      </c>
      <c r="AW465" t="inlineStr">
        <is>
          <t>991004571859702656</t>
        </is>
      </c>
      <c r="AX465" t="inlineStr">
        <is>
          <t>991004571859702656</t>
        </is>
      </c>
      <c r="AY465" t="inlineStr">
        <is>
          <t>2262536790002656</t>
        </is>
      </c>
      <c r="AZ465" t="inlineStr">
        <is>
          <t>BOOK</t>
        </is>
      </c>
      <c r="BB465" t="inlineStr">
        <is>
          <t>9780387941387</t>
        </is>
      </c>
      <c r="BC465" t="inlineStr">
        <is>
          <t>32285002198249</t>
        </is>
      </c>
      <c r="BD465" t="inlineStr">
        <is>
          <t>893888898</t>
        </is>
      </c>
    </row>
    <row r="466">
      <c r="A466" t="inlineStr">
        <is>
          <t>No</t>
        </is>
      </c>
      <c r="B466" t="inlineStr">
        <is>
          <t>QB808 .K57 1990</t>
        </is>
      </c>
      <c r="C466" t="inlineStr">
        <is>
          <t>0                      QB 0808000K  57          1990</t>
        </is>
      </c>
      <c r="D466" t="inlineStr">
        <is>
          <t>Stellar structure and evolution / R. Kippenhahn, A. Weigert.</t>
        </is>
      </c>
      <c r="F466" t="inlineStr">
        <is>
          <t>No</t>
        </is>
      </c>
      <c r="G466" t="inlineStr">
        <is>
          <t>1</t>
        </is>
      </c>
      <c r="H466" t="inlineStr">
        <is>
          <t>No</t>
        </is>
      </c>
      <c r="I466" t="inlineStr">
        <is>
          <t>No</t>
        </is>
      </c>
      <c r="J466" t="inlineStr">
        <is>
          <t>0</t>
        </is>
      </c>
      <c r="K466" t="inlineStr">
        <is>
          <t>Kippenhahn, Rudolf, 1926-</t>
        </is>
      </c>
      <c r="L466" t="inlineStr">
        <is>
          <t>Berlin ; New York : Springer-Verlag, c1990.</t>
        </is>
      </c>
      <c r="M466" t="inlineStr">
        <is>
          <t>1990</t>
        </is>
      </c>
      <c r="O466" t="inlineStr">
        <is>
          <t>eng</t>
        </is>
      </c>
      <c r="P466" t="inlineStr">
        <is>
          <t xml:space="preserve">gw </t>
        </is>
      </c>
      <c r="Q466" t="inlineStr">
        <is>
          <t>Astronomy and astrophysics library</t>
        </is>
      </c>
      <c r="R466" t="inlineStr">
        <is>
          <t xml:space="preserve">QB </t>
        </is>
      </c>
      <c r="S466" t="n">
        <v>4</v>
      </c>
      <c r="T466" t="n">
        <v>4</v>
      </c>
      <c r="U466" t="inlineStr">
        <is>
          <t>2006-03-15</t>
        </is>
      </c>
      <c r="V466" t="inlineStr">
        <is>
          <t>2006-03-15</t>
        </is>
      </c>
      <c r="W466" t="inlineStr">
        <is>
          <t>1990-12-19</t>
        </is>
      </c>
      <c r="X466" t="inlineStr">
        <is>
          <t>1990-12-19</t>
        </is>
      </c>
      <c r="Y466" t="n">
        <v>325</v>
      </c>
      <c r="Z466" t="n">
        <v>226</v>
      </c>
      <c r="AA466" t="n">
        <v>345</v>
      </c>
      <c r="AB466" t="n">
        <v>2</v>
      </c>
      <c r="AC466" t="n">
        <v>2</v>
      </c>
      <c r="AD466" t="n">
        <v>8</v>
      </c>
      <c r="AE466" t="n">
        <v>15</v>
      </c>
      <c r="AF466" t="n">
        <v>3</v>
      </c>
      <c r="AG466" t="n">
        <v>4</v>
      </c>
      <c r="AH466" t="n">
        <v>2</v>
      </c>
      <c r="AI466" t="n">
        <v>3</v>
      </c>
      <c r="AJ466" t="n">
        <v>4</v>
      </c>
      <c r="AK466" t="n">
        <v>9</v>
      </c>
      <c r="AL466" t="n">
        <v>1</v>
      </c>
      <c r="AM466" t="n">
        <v>1</v>
      </c>
      <c r="AN466" t="n">
        <v>0</v>
      </c>
      <c r="AO466" t="n">
        <v>0</v>
      </c>
      <c r="AP466" t="inlineStr">
        <is>
          <t>No</t>
        </is>
      </c>
      <c r="AQ466" t="inlineStr">
        <is>
          <t>Yes</t>
        </is>
      </c>
      <c r="AR466">
        <f>HYPERLINK("http://catalog.hathitrust.org/Record/002053694","HathiTrust Record")</f>
        <v/>
      </c>
      <c r="AS466">
        <f>HYPERLINK("https://creighton-primo.hosted.exlibrisgroup.com/primo-explore/search?tab=default_tab&amp;search_scope=EVERYTHING&amp;vid=01CRU&amp;lang=en_US&amp;offset=0&amp;query=any,contains,991001600419702656","Catalog Record")</f>
        <v/>
      </c>
      <c r="AT466">
        <f>HYPERLINK("http://www.worldcat.org/oclc/20669910","WorldCat Record")</f>
        <v/>
      </c>
      <c r="AU466" t="inlineStr">
        <is>
          <t>21544483:eng</t>
        </is>
      </c>
      <c r="AV466" t="inlineStr">
        <is>
          <t>20669910</t>
        </is>
      </c>
      <c r="AW466" t="inlineStr">
        <is>
          <t>991001600419702656</t>
        </is>
      </c>
      <c r="AX466" t="inlineStr">
        <is>
          <t>991001600419702656</t>
        </is>
      </c>
      <c r="AY466" t="inlineStr">
        <is>
          <t>2268184940002656</t>
        </is>
      </c>
      <c r="AZ466" t="inlineStr">
        <is>
          <t>BOOK</t>
        </is>
      </c>
      <c r="BB466" t="inlineStr">
        <is>
          <t>9780387502113</t>
        </is>
      </c>
      <c r="BC466" t="inlineStr">
        <is>
          <t>32285000405422</t>
        </is>
      </c>
      <c r="BD466" t="inlineStr">
        <is>
          <t>893715535</t>
        </is>
      </c>
    </row>
    <row r="467">
      <c r="A467" t="inlineStr">
        <is>
          <t>No</t>
        </is>
      </c>
      <c r="B467" t="inlineStr">
        <is>
          <t>QB813 .H57 2001</t>
        </is>
      </c>
      <c r="C467" t="inlineStr">
        <is>
          <t>0                      QB 0813000H  57          2001</t>
        </is>
      </c>
      <c r="D467" t="inlineStr">
        <is>
          <t>Parallax : the race to measure the cosmos / Alan W. Hirshfeld.</t>
        </is>
      </c>
      <c r="F467" t="inlineStr">
        <is>
          <t>No</t>
        </is>
      </c>
      <c r="G467" t="inlineStr">
        <is>
          <t>1</t>
        </is>
      </c>
      <c r="H467" t="inlineStr">
        <is>
          <t>No</t>
        </is>
      </c>
      <c r="I467" t="inlineStr">
        <is>
          <t>No</t>
        </is>
      </c>
      <c r="J467" t="inlineStr">
        <is>
          <t>0</t>
        </is>
      </c>
      <c r="K467" t="inlineStr">
        <is>
          <t>Hirshfeld, Alan.</t>
        </is>
      </c>
      <c r="L467" t="inlineStr">
        <is>
          <t>New York : W.H. Freeman and Co., c2001.</t>
        </is>
      </c>
      <c r="M467" t="inlineStr">
        <is>
          <t>2001</t>
        </is>
      </c>
      <c r="O467" t="inlineStr">
        <is>
          <t>eng</t>
        </is>
      </c>
      <c r="P467" t="inlineStr">
        <is>
          <t>nyu</t>
        </is>
      </c>
      <c r="R467" t="inlineStr">
        <is>
          <t xml:space="preserve">QB </t>
        </is>
      </c>
      <c r="S467" t="n">
        <v>1</v>
      </c>
      <c r="T467" t="n">
        <v>1</v>
      </c>
      <c r="U467" t="inlineStr">
        <is>
          <t>2001-09-27</t>
        </is>
      </c>
      <c r="V467" t="inlineStr">
        <is>
          <t>2001-09-27</t>
        </is>
      </c>
      <c r="W467" t="inlineStr">
        <is>
          <t>2001-09-27</t>
        </is>
      </c>
      <c r="X467" t="inlineStr">
        <is>
          <t>2001-09-27</t>
        </is>
      </c>
      <c r="Y467" t="n">
        <v>719</v>
      </c>
      <c r="Z467" t="n">
        <v>641</v>
      </c>
      <c r="AA467" t="n">
        <v>772</v>
      </c>
      <c r="AB467" t="n">
        <v>8</v>
      </c>
      <c r="AC467" t="n">
        <v>10</v>
      </c>
      <c r="AD467" t="n">
        <v>30</v>
      </c>
      <c r="AE467" t="n">
        <v>35</v>
      </c>
      <c r="AF467" t="n">
        <v>10</v>
      </c>
      <c r="AG467" t="n">
        <v>11</v>
      </c>
      <c r="AH467" t="n">
        <v>6</v>
      </c>
      <c r="AI467" t="n">
        <v>8</v>
      </c>
      <c r="AJ467" t="n">
        <v>16</v>
      </c>
      <c r="AK467" t="n">
        <v>18</v>
      </c>
      <c r="AL467" t="n">
        <v>7</v>
      </c>
      <c r="AM467" t="n">
        <v>8</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HYPERLINK("https://creighton-primo.hosted.exlibrisgroup.com/primo-explore/search?tab=default_tab&amp;search_scope=EVERYTHING&amp;vid=01CRU&amp;lang=en_US&amp;offset=0&amp;query=any,contains,991003617119702656","Catalog Record")</f>
        <v/>
      </c>
      <c r="AT467">
        <f>HYPERLINK("http://www.worldcat.org/oclc/45583430","WorldCat Record")</f>
        <v/>
      </c>
      <c r="AU467" t="inlineStr">
        <is>
          <t>136781:eng</t>
        </is>
      </c>
      <c r="AV467" t="inlineStr">
        <is>
          <t>45583430</t>
        </is>
      </c>
      <c r="AW467" t="inlineStr">
        <is>
          <t>991003617119702656</t>
        </is>
      </c>
      <c r="AX467" t="inlineStr">
        <is>
          <t>991003617119702656</t>
        </is>
      </c>
      <c r="AY467" t="inlineStr">
        <is>
          <t>2266070920002656</t>
        </is>
      </c>
      <c r="AZ467" t="inlineStr">
        <is>
          <t>BOOK</t>
        </is>
      </c>
      <c r="BB467" t="inlineStr">
        <is>
          <t>9780716737117</t>
        </is>
      </c>
      <c r="BC467" t="inlineStr">
        <is>
          <t>32285004393905</t>
        </is>
      </c>
      <c r="BD467" t="inlineStr">
        <is>
          <t>893711569</t>
        </is>
      </c>
    </row>
    <row r="468">
      <c r="A468" t="inlineStr">
        <is>
          <t>No</t>
        </is>
      </c>
      <c r="B468" t="inlineStr">
        <is>
          <t>QB820 .B68 1998</t>
        </is>
      </c>
      <c r="C468" t="inlineStr">
        <is>
          <t>0                      QB 0820000B  68          1998</t>
        </is>
      </c>
      <c r="D468" t="inlineStr">
        <is>
          <t>Looking for earths : the race to find new solar systems / Alan Boss.</t>
        </is>
      </c>
      <c r="F468" t="inlineStr">
        <is>
          <t>No</t>
        </is>
      </c>
      <c r="G468" t="inlineStr">
        <is>
          <t>1</t>
        </is>
      </c>
      <c r="H468" t="inlineStr">
        <is>
          <t>No</t>
        </is>
      </c>
      <c r="I468" t="inlineStr">
        <is>
          <t>No</t>
        </is>
      </c>
      <c r="J468" t="inlineStr">
        <is>
          <t>0</t>
        </is>
      </c>
      <c r="K468" t="inlineStr">
        <is>
          <t>Boss, Alan, 1951-</t>
        </is>
      </c>
      <c r="L468" t="inlineStr">
        <is>
          <t>New York : John Wiley, c1998.</t>
        </is>
      </c>
      <c r="M468" t="inlineStr">
        <is>
          <t>1998</t>
        </is>
      </c>
      <c r="O468" t="inlineStr">
        <is>
          <t>eng</t>
        </is>
      </c>
      <c r="P468" t="inlineStr">
        <is>
          <t>nyu</t>
        </is>
      </c>
      <c r="R468" t="inlineStr">
        <is>
          <t xml:space="preserve">QB </t>
        </is>
      </c>
      <c r="S468" t="n">
        <v>4</v>
      </c>
      <c r="T468" t="n">
        <v>4</v>
      </c>
      <c r="U468" t="inlineStr">
        <is>
          <t>1999-12-22</t>
        </is>
      </c>
      <c r="V468" t="inlineStr">
        <is>
          <t>1999-12-22</t>
        </is>
      </c>
      <c r="W468" t="inlineStr">
        <is>
          <t>1999-12-13</t>
        </is>
      </c>
      <c r="X468" t="inlineStr">
        <is>
          <t>1999-12-13</t>
        </is>
      </c>
      <c r="Y468" t="n">
        <v>715</v>
      </c>
      <c r="Z468" t="n">
        <v>620</v>
      </c>
      <c r="AA468" t="n">
        <v>631</v>
      </c>
      <c r="AB468" t="n">
        <v>4</v>
      </c>
      <c r="AC468" t="n">
        <v>4</v>
      </c>
      <c r="AD468" t="n">
        <v>17</v>
      </c>
      <c r="AE468" t="n">
        <v>17</v>
      </c>
      <c r="AF468" t="n">
        <v>5</v>
      </c>
      <c r="AG468" t="n">
        <v>5</v>
      </c>
      <c r="AH468" t="n">
        <v>3</v>
      </c>
      <c r="AI468" t="n">
        <v>3</v>
      </c>
      <c r="AJ468" t="n">
        <v>11</v>
      </c>
      <c r="AK468" t="n">
        <v>11</v>
      </c>
      <c r="AL468" t="n">
        <v>3</v>
      </c>
      <c r="AM468" t="n">
        <v>3</v>
      </c>
      <c r="AN468" t="n">
        <v>0</v>
      </c>
      <c r="AO468" t="n">
        <v>0</v>
      </c>
      <c r="AP468" t="inlineStr">
        <is>
          <t>No</t>
        </is>
      </c>
      <c r="AQ468" t="inlineStr">
        <is>
          <t>Yes</t>
        </is>
      </c>
      <c r="AR468">
        <f>HYPERLINK("http://catalog.hathitrust.org/Record/003996243","HathiTrust Record")</f>
        <v/>
      </c>
      <c r="AS468">
        <f>HYPERLINK("https://creighton-primo.hosted.exlibrisgroup.com/primo-explore/search?tab=default_tab&amp;search_scope=EVERYTHING&amp;vid=01CRU&amp;lang=en_US&amp;offset=0&amp;query=any,contains,991002890679702656","Catalog Record")</f>
        <v/>
      </c>
      <c r="AT468">
        <f>HYPERLINK("http://www.worldcat.org/oclc/38081886","WorldCat Record")</f>
        <v/>
      </c>
      <c r="AU468" t="inlineStr">
        <is>
          <t>837027199:eng</t>
        </is>
      </c>
      <c r="AV468" t="inlineStr">
        <is>
          <t>38081886</t>
        </is>
      </c>
      <c r="AW468" t="inlineStr">
        <is>
          <t>991002890679702656</t>
        </is>
      </c>
      <c r="AX468" t="inlineStr">
        <is>
          <t>991002890679702656</t>
        </is>
      </c>
      <c r="AY468" t="inlineStr">
        <is>
          <t>2268909460002656</t>
        </is>
      </c>
      <c r="AZ468" t="inlineStr">
        <is>
          <t>BOOK</t>
        </is>
      </c>
      <c r="BB468" t="inlineStr">
        <is>
          <t>9780471184218</t>
        </is>
      </c>
      <c r="BC468" t="inlineStr">
        <is>
          <t>32285003632246</t>
        </is>
      </c>
      <c r="BD468" t="inlineStr">
        <is>
          <t>893598021</t>
        </is>
      </c>
    </row>
    <row r="469">
      <c r="A469" t="inlineStr">
        <is>
          <t>No</t>
        </is>
      </c>
      <c r="B469" t="inlineStr">
        <is>
          <t>QB820 .D67 2002</t>
        </is>
      </c>
      <c r="C469" t="inlineStr">
        <is>
          <t>0                      QB 0820000D  67          2002</t>
        </is>
      </c>
      <c r="D469" t="inlineStr">
        <is>
          <t>Distant wanderers : the search for planets beyond the solar system / Bruce Dorminey.</t>
        </is>
      </c>
      <c r="F469" t="inlineStr">
        <is>
          <t>No</t>
        </is>
      </c>
      <c r="G469" t="inlineStr">
        <is>
          <t>1</t>
        </is>
      </c>
      <c r="H469" t="inlineStr">
        <is>
          <t>No</t>
        </is>
      </c>
      <c r="I469" t="inlineStr">
        <is>
          <t>No</t>
        </is>
      </c>
      <c r="J469" t="inlineStr">
        <is>
          <t>0</t>
        </is>
      </c>
      <c r="K469" t="inlineStr">
        <is>
          <t>Dorminey, Bruce.</t>
        </is>
      </c>
      <c r="L469" t="inlineStr">
        <is>
          <t>New York : Copernicus, c2002.</t>
        </is>
      </c>
      <c r="M469" t="inlineStr">
        <is>
          <t>2002</t>
        </is>
      </c>
      <c r="O469" t="inlineStr">
        <is>
          <t>eng</t>
        </is>
      </c>
      <c r="P469" t="inlineStr">
        <is>
          <t>nyu</t>
        </is>
      </c>
      <c r="R469" t="inlineStr">
        <is>
          <t xml:space="preserve">QB </t>
        </is>
      </c>
      <c r="S469" t="n">
        <v>1</v>
      </c>
      <c r="T469" t="n">
        <v>1</v>
      </c>
      <c r="U469" t="inlineStr">
        <is>
          <t>2002-07-15</t>
        </is>
      </c>
      <c r="V469" t="inlineStr">
        <is>
          <t>2002-07-15</t>
        </is>
      </c>
      <c r="W469" t="inlineStr">
        <is>
          <t>2002-07-10</t>
        </is>
      </c>
      <c r="X469" t="inlineStr">
        <is>
          <t>2002-07-10</t>
        </is>
      </c>
      <c r="Y469" t="n">
        <v>674</v>
      </c>
      <c r="Z469" t="n">
        <v>609</v>
      </c>
      <c r="AA469" t="n">
        <v>637</v>
      </c>
      <c r="AB469" t="n">
        <v>5</v>
      </c>
      <c r="AC469" t="n">
        <v>5</v>
      </c>
      <c r="AD469" t="n">
        <v>23</v>
      </c>
      <c r="AE469" t="n">
        <v>25</v>
      </c>
      <c r="AF469" t="n">
        <v>10</v>
      </c>
      <c r="AG469" t="n">
        <v>11</v>
      </c>
      <c r="AH469" t="n">
        <v>5</v>
      </c>
      <c r="AI469" t="n">
        <v>6</v>
      </c>
      <c r="AJ469" t="n">
        <v>11</v>
      </c>
      <c r="AK469" t="n">
        <v>12</v>
      </c>
      <c r="AL469" t="n">
        <v>4</v>
      </c>
      <c r="AM469" t="n">
        <v>4</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HYPERLINK("https://creighton-primo.hosted.exlibrisgroup.com/primo-explore/search?tab=default_tab&amp;search_scope=EVERYTHING&amp;vid=01CRU&amp;lang=en_US&amp;offset=0&amp;query=any,contains,991003821679702656","Catalog Record")</f>
        <v/>
      </c>
      <c r="AT469">
        <f>HYPERLINK("http://www.worldcat.org/oclc/47666987","WorldCat Record")</f>
        <v/>
      </c>
      <c r="AU469" t="inlineStr">
        <is>
          <t>198037855:eng</t>
        </is>
      </c>
      <c r="AV469" t="inlineStr">
        <is>
          <t>47666987</t>
        </is>
      </c>
      <c r="AW469" t="inlineStr">
        <is>
          <t>991003821679702656</t>
        </is>
      </c>
      <c r="AX469" t="inlineStr">
        <is>
          <t>991003821679702656</t>
        </is>
      </c>
      <c r="AY469" t="inlineStr">
        <is>
          <t>2266523820002656</t>
        </is>
      </c>
      <c r="AZ469" t="inlineStr">
        <is>
          <t>BOOK</t>
        </is>
      </c>
      <c r="BB469" t="inlineStr">
        <is>
          <t>9780387950747</t>
        </is>
      </c>
      <c r="BC469" t="inlineStr">
        <is>
          <t>32285004497276</t>
        </is>
      </c>
      <c r="BD469" t="inlineStr">
        <is>
          <t>893512399</t>
        </is>
      </c>
    </row>
    <row r="470">
      <c r="A470" t="inlineStr">
        <is>
          <t>No</t>
        </is>
      </c>
      <c r="B470" t="inlineStr">
        <is>
          <t>QB820 .M3913 2003</t>
        </is>
      </c>
      <c r="C470" t="inlineStr">
        <is>
          <t>0                      QB 0820000M  3913        2003</t>
        </is>
      </c>
      <c r="D470" t="inlineStr">
        <is>
          <t>New worlds in the cosmos : the discovery of exoplanets / Michel Mayor and Pierre-Yves Frei.</t>
        </is>
      </c>
      <c r="F470" t="inlineStr">
        <is>
          <t>No</t>
        </is>
      </c>
      <c r="G470" t="inlineStr">
        <is>
          <t>1</t>
        </is>
      </c>
      <c r="H470" t="inlineStr">
        <is>
          <t>No</t>
        </is>
      </c>
      <c r="I470" t="inlineStr">
        <is>
          <t>No</t>
        </is>
      </c>
      <c r="J470" t="inlineStr">
        <is>
          <t>0</t>
        </is>
      </c>
      <c r="K470" t="inlineStr">
        <is>
          <t>Mayor, M. (Michel)</t>
        </is>
      </c>
      <c r="L470" t="inlineStr">
        <is>
          <t>Cambridge ; New York : Cambridge University Press, 2003.</t>
        </is>
      </c>
      <c r="M470" t="inlineStr">
        <is>
          <t>2003</t>
        </is>
      </c>
      <c r="O470" t="inlineStr">
        <is>
          <t>eng</t>
        </is>
      </c>
      <c r="P470" t="inlineStr">
        <is>
          <t>enk</t>
        </is>
      </c>
      <c r="R470" t="inlineStr">
        <is>
          <t xml:space="preserve">QB </t>
        </is>
      </c>
      <c r="S470" t="n">
        <v>1</v>
      </c>
      <c r="T470" t="n">
        <v>1</v>
      </c>
      <c r="U470" t="inlineStr">
        <is>
          <t>2005-05-09</t>
        </is>
      </c>
      <c r="V470" t="inlineStr">
        <is>
          <t>2005-05-09</t>
        </is>
      </c>
      <c r="W470" t="inlineStr">
        <is>
          <t>2005-05-09</t>
        </is>
      </c>
      <c r="X470" t="inlineStr">
        <is>
          <t>2005-05-09</t>
        </is>
      </c>
      <c r="Y470" t="n">
        <v>570</v>
      </c>
      <c r="Z470" t="n">
        <v>487</v>
      </c>
      <c r="AA470" t="n">
        <v>503</v>
      </c>
      <c r="AB470" t="n">
        <v>4</v>
      </c>
      <c r="AC470" t="n">
        <v>4</v>
      </c>
      <c r="AD470" t="n">
        <v>17</v>
      </c>
      <c r="AE470" t="n">
        <v>17</v>
      </c>
      <c r="AF470" t="n">
        <v>8</v>
      </c>
      <c r="AG470" t="n">
        <v>8</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HYPERLINK("https://creighton-primo.hosted.exlibrisgroup.com/primo-explore/search?tab=default_tab&amp;search_scope=EVERYTHING&amp;vid=01CRU&amp;lang=en_US&amp;offset=0&amp;query=any,contains,991004540409702656","Catalog Record")</f>
        <v/>
      </c>
      <c r="AT470">
        <f>HYPERLINK("http://www.worldcat.org/oclc/51518497","WorldCat Record")</f>
        <v/>
      </c>
      <c r="AU470" t="inlineStr">
        <is>
          <t>710191:eng</t>
        </is>
      </c>
      <c r="AV470" t="inlineStr">
        <is>
          <t>51518497</t>
        </is>
      </c>
      <c r="AW470" t="inlineStr">
        <is>
          <t>991004540409702656</t>
        </is>
      </c>
      <c r="AX470" t="inlineStr">
        <is>
          <t>991004540409702656</t>
        </is>
      </c>
      <c r="AY470" t="inlineStr">
        <is>
          <t>2259846730002656</t>
        </is>
      </c>
      <c r="AZ470" t="inlineStr">
        <is>
          <t>BOOK</t>
        </is>
      </c>
      <c r="BB470" t="inlineStr">
        <is>
          <t>9780521812078</t>
        </is>
      </c>
      <c r="BC470" t="inlineStr">
        <is>
          <t>32285005036081</t>
        </is>
      </c>
      <c r="BD470" t="inlineStr">
        <is>
          <t>893417751</t>
        </is>
      </c>
    </row>
    <row r="471">
      <c r="A471" t="inlineStr">
        <is>
          <t>No</t>
        </is>
      </c>
      <c r="B471" t="inlineStr">
        <is>
          <t>QB835 .H5913 1985</t>
        </is>
      </c>
      <c r="C471" t="inlineStr">
        <is>
          <t>0                      QB 0835000H  5913        1985</t>
        </is>
      </c>
      <c r="D471" t="inlineStr">
        <is>
          <t>Variable stars / C. Hoffmeister, G. Richter, W. Wenzel ; translated by S. Dunlop.</t>
        </is>
      </c>
      <c r="F471" t="inlineStr">
        <is>
          <t>No</t>
        </is>
      </c>
      <c r="G471" t="inlineStr">
        <is>
          <t>1</t>
        </is>
      </c>
      <c r="H471" t="inlineStr">
        <is>
          <t>No</t>
        </is>
      </c>
      <c r="I471" t="inlineStr">
        <is>
          <t>No</t>
        </is>
      </c>
      <c r="J471" t="inlineStr">
        <is>
          <t>0</t>
        </is>
      </c>
      <c r="K471" t="inlineStr">
        <is>
          <t>Hoffmeister, C. (Cuno), 1892-1968.</t>
        </is>
      </c>
      <c r="L471" t="inlineStr">
        <is>
          <t>Berlin ; New York : Springer-Verlag, c1985.</t>
        </is>
      </c>
      <c r="M471" t="inlineStr">
        <is>
          <t>1985</t>
        </is>
      </c>
      <c r="O471" t="inlineStr">
        <is>
          <t>eng</t>
        </is>
      </c>
      <c r="P471" t="inlineStr">
        <is>
          <t xml:space="preserve">gw </t>
        </is>
      </c>
      <c r="R471" t="inlineStr">
        <is>
          <t xml:space="preserve">QB </t>
        </is>
      </c>
      <c r="S471" t="n">
        <v>2</v>
      </c>
      <c r="T471" t="n">
        <v>2</v>
      </c>
      <c r="U471" t="inlineStr">
        <is>
          <t>2007-02-06</t>
        </is>
      </c>
      <c r="V471" t="inlineStr">
        <is>
          <t>2007-02-06</t>
        </is>
      </c>
      <c r="W471" t="inlineStr">
        <is>
          <t>1992-11-24</t>
        </is>
      </c>
      <c r="X471" t="inlineStr">
        <is>
          <t>1992-11-24</t>
        </is>
      </c>
      <c r="Y471" t="n">
        <v>247</v>
      </c>
      <c r="Z471" t="n">
        <v>183</v>
      </c>
      <c r="AA471" t="n">
        <v>186</v>
      </c>
      <c r="AB471" t="n">
        <v>2</v>
      </c>
      <c r="AC471" t="n">
        <v>2</v>
      </c>
      <c r="AD471" t="n">
        <v>7</v>
      </c>
      <c r="AE471" t="n">
        <v>7</v>
      </c>
      <c r="AF471" t="n">
        <v>3</v>
      </c>
      <c r="AG471" t="n">
        <v>3</v>
      </c>
      <c r="AH471" t="n">
        <v>3</v>
      </c>
      <c r="AI471" t="n">
        <v>3</v>
      </c>
      <c r="AJ471" t="n">
        <v>3</v>
      </c>
      <c r="AK471" t="n">
        <v>3</v>
      </c>
      <c r="AL471" t="n">
        <v>1</v>
      </c>
      <c r="AM471" t="n">
        <v>1</v>
      </c>
      <c r="AN471" t="n">
        <v>0</v>
      </c>
      <c r="AO471" t="n">
        <v>0</v>
      </c>
      <c r="AP471" t="inlineStr">
        <is>
          <t>No</t>
        </is>
      </c>
      <c r="AQ471" t="inlineStr">
        <is>
          <t>Yes</t>
        </is>
      </c>
      <c r="AR471">
        <f>HYPERLINK("http://catalog.hathitrust.org/Record/000577496","HathiTrust Record")</f>
        <v/>
      </c>
      <c r="AS471">
        <f>HYPERLINK("https://creighton-primo.hosted.exlibrisgroup.com/primo-explore/search?tab=default_tab&amp;search_scope=EVERYTHING&amp;vid=01CRU&amp;lang=en_US&amp;offset=0&amp;query=any,contains,991000610899702656","Catalog Record")</f>
        <v/>
      </c>
      <c r="AT471">
        <f>HYPERLINK("http://www.worldcat.org/oclc/11915378","WorldCat Record")</f>
        <v/>
      </c>
      <c r="AU471" t="inlineStr">
        <is>
          <t>4494900927:eng</t>
        </is>
      </c>
      <c r="AV471" t="inlineStr">
        <is>
          <t>11915378</t>
        </is>
      </c>
      <c r="AW471" t="inlineStr">
        <is>
          <t>991000610899702656</t>
        </is>
      </c>
      <c r="AX471" t="inlineStr">
        <is>
          <t>991000610899702656</t>
        </is>
      </c>
      <c r="AY471" t="inlineStr">
        <is>
          <t>2270839750002656</t>
        </is>
      </c>
      <c r="AZ471" t="inlineStr">
        <is>
          <t>BOOK</t>
        </is>
      </c>
      <c r="BB471" t="inlineStr">
        <is>
          <t>9780387134031</t>
        </is>
      </c>
      <c r="BC471" t="inlineStr">
        <is>
          <t>32285001434520</t>
        </is>
      </c>
      <c r="BD471" t="inlineStr">
        <is>
          <t>893508944</t>
        </is>
      </c>
    </row>
    <row r="472">
      <c r="A472" t="inlineStr">
        <is>
          <t>No</t>
        </is>
      </c>
      <c r="B472" t="inlineStr">
        <is>
          <t>QB835 .N65 2004</t>
        </is>
      </c>
      <c r="C472" t="inlineStr">
        <is>
          <t>0                      QB 0835000N  65          2004</t>
        </is>
      </c>
      <c r="D472" t="inlineStr">
        <is>
          <t>Observing variable stars, novae, and supernovae / Gerald North ; (with accompanying CD-ROM by Nick James).</t>
        </is>
      </c>
      <c r="F472" t="inlineStr">
        <is>
          <t>No</t>
        </is>
      </c>
      <c r="G472" t="inlineStr">
        <is>
          <t>1</t>
        </is>
      </c>
      <c r="H472" t="inlineStr">
        <is>
          <t>No</t>
        </is>
      </c>
      <c r="I472" t="inlineStr">
        <is>
          <t>No</t>
        </is>
      </c>
      <c r="J472" t="inlineStr">
        <is>
          <t>0</t>
        </is>
      </c>
      <c r="K472" t="inlineStr">
        <is>
          <t>North, Gerald.</t>
        </is>
      </c>
      <c r="L472" t="inlineStr">
        <is>
          <t>Cambridge, UK ; New York : Cambridge University Press, 2004.</t>
        </is>
      </c>
      <c r="M472" t="inlineStr">
        <is>
          <t>2004</t>
        </is>
      </c>
      <c r="O472" t="inlineStr">
        <is>
          <t>eng</t>
        </is>
      </c>
      <c r="P472" t="inlineStr">
        <is>
          <t>enk</t>
        </is>
      </c>
      <c r="R472" t="inlineStr">
        <is>
          <t xml:space="preserve">QB </t>
        </is>
      </c>
      <c r="S472" t="n">
        <v>2</v>
      </c>
      <c r="T472" t="n">
        <v>2</v>
      </c>
      <c r="U472" t="inlineStr">
        <is>
          <t>2007-02-06</t>
        </is>
      </c>
      <c r="V472" t="inlineStr">
        <is>
          <t>2007-02-06</t>
        </is>
      </c>
      <c r="W472" t="inlineStr">
        <is>
          <t>2005-11-23</t>
        </is>
      </c>
      <c r="X472" t="inlineStr">
        <is>
          <t>2005-11-23</t>
        </is>
      </c>
      <c r="Y472" t="n">
        <v>325</v>
      </c>
      <c r="Z472" t="n">
        <v>284</v>
      </c>
      <c r="AA472" t="n">
        <v>290</v>
      </c>
      <c r="AB472" t="n">
        <v>4</v>
      </c>
      <c r="AC472" t="n">
        <v>4</v>
      </c>
      <c r="AD472" t="n">
        <v>12</v>
      </c>
      <c r="AE472" t="n">
        <v>12</v>
      </c>
      <c r="AF472" t="n">
        <v>3</v>
      </c>
      <c r="AG472" t="n">
        <v>3</v>
      </c>
      <c r="AH472" t="n">
        <v>4</v>
      </c>
      <c r="AI472" t="n">
        <v>4</v>
      </c>
      <c r="AJ472" t="n">
        <v>5</v>
      </c>
      <c r="AK472" t="n">
        <v>5</v>
      </c>
      <c r="AL472" t="n">
        <v>3</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HYPERLINK("https://creighton-primo.hosted.exlibrisgroup.com/primo-explore/search?tab=default_tab&amp;search_scope=EVERYTHING&amp;vid=01CRU&amp;lang=en_US&amp;offset=0&amp;query=any,contains,991004653359702656","Catalog Record")</f>
        <v/>
      </c>
      <c r="AT472">
        <f>HYPERLINK("http://www.worldcat.org/oclc/61161343","WorldCat Record")</f>
        <v/>
      </c>
      <c r="AU472" t="inlineStr">
        <is>
          <t>5621637751:eng</t>
        </is>
      </c>
      <c r="AV472" t="inlineStr">
        <is>
          <t>61161343</t>
        </is>
      </c>
      <c r="AW472" t="inlineStr">
        <is>
          <t>991004653359702656</t>
        </is>
      </c>
      <c r="AX472" t="inlineStr">
        <is>
          <t>991004653359702656</t>
        </is>
      </c>
      <c r="AY472" t="inlineStr">
        <is>
          <t>2270900390002656</t>
        </is>
      </c>
      <c r="AZ472" t="inlineStr">
        <is>
          <t>BOOK</t>
        </is>
      </c>
      <c r="BB472" t="inlineStr">
        <is>
          <t>9780521820479</t>
        </is>
      </c>
      <c r="BC472" t="inlineStr">
        <is>
          <t>32285005105969</t>
        </is>
      </c>
      <c r="BD472" t="inlineStr">
        <is>
          <t>893712862</t>
        </is>
      </c>
    </row>
    <row r="473">
      <c r="A473" t="inlineStr">
        <is>
          <t>No</t>
        </is>
      </c>
      <c r="B473" t="inlineStr">
        <is>
          <t>QB835 .P4313 1987</t>
        </is>
      </c>
      <c r="C473" t="inlineStr">
        <is>
          <t>0                      QB 0835000P  4313        1987</t>
        </is>
      </c>
      <c r="D473" t="inlineStr">
        <is>
          <t>Variable stars / Michel Petit ; with a foreword by Paolo Maffei ; translated from the French by W.J. Duffin.</t>
        </is>
      </c>
      <c r="F473" t="inlineStr">
        <is>
          <t>No</t>
        </is>
      </c>
      <c r="G473" t="inlineStr">
        <is>
          <t>1</t>
        </is>
      </c>
      <c r="H473" t="inlineStr">
        <is>
          <t>No</t>
        </is>
      </c>
      <c r="I473" t="inlineStr">
        <is>
          <t>No</t>
        </is>
      </c>
      <c r="J473" t="inlineStr">
        <is>
          <t>0</t>
        </is>
      </c>
      <c r="K473" t="inlineStr">
        <is>
          <t>Petit, Michel, 1935-</t>
        </is>
      </c>
      <c r="L473" t="inlineStr">
        <is>
          <t>Chichester ; New York : Wiley, c1987.</t>
        </is>
      </c>
      <c r="M473" t="inlineStr">
        <is>
          <t>1987</t>
        </is>
      </c>
      <c r="O473" t="inlineStr">
        <is>
          <t>eng</t>
        </is>
      </c>
      <c r="P473" t="inlineStr">
        <is>
          <t>enk</t>
        </is>
      </c>
      <c r="R473" t="inlineStr">
        <is>
          <t xml:space="preserve">QB </t>
        </is>
      </c>
      <c r="S473" t="n">
        <v>2</v>
      </c>
      <c r="T473" t="n">
        <v>2</v>
      </c>
      <c r="U473" t="inlineStr">
        <is>
          <t>2007-02-06</t>
        </is>
      </c>
      <c r="V473" t="inlineStr">
        <is>
          <t>2007-02-06</t>
        </is>
      </c>
      <c r="W473" t="inlineStr">
        <is>
          <t>1992-11-24</t>
        </is>
      </c>
      <c r="X473" t="inlineStr">
        <is>
          <t>1992-11-24</t>
        </is>
      </c>
      <c r="Y473" t="n">
        <v>319</v>
      </c>
      <c r="Z473" t="n">
        <v>257</v>
      </c>
      <c r="AA473" t="n">
        <v>263</v>
      </c>
      <c r="AB473" t="n">
        <v>3</v>
      </c>
      <c r="AC473" t="n">
        <v>3</v>
      </c>
      <c r="AD473" t="n">
        <v>8</v>
      </c>
      <c r="AE473" t="n">
        <v>8</v>
      </c>
      <c r="AF473" t="n">
        <v>1</v>
      </c>
      <c r="AG473" t="n">
        <v>1</v>
      </c>
      <c r="AH473" t="n">
        <v>2</v>
      </c>
      <c r="AI473" t="n">
        <v>2</v>
      </c>
      <c r="AJ473" t="n">
        <v>3</v>
      </c>
      <c r="AK473" t="n">
        <v>3</v>
      </c>
      <c r="AL473" t="n">
        <v>2</v>
      </c>
      <c r="AM473" t="n">
        <v>2</v>
      </c>
      <c r="AN473" t="n">
        <v>0</v>
      </c>
      <c r="AO473" t="n">
        <v>0</v>
      </c>
      <c r="AP473" t="inlineStr">
        <is>
          <t>No</t>
        </is>
      </c>
      <c r="AQ473" t="inlineStr">
        <is>
          <t>Yes</t>
        </is>
      </c>
      <c r="AR473">
        <f>HYPERLINK("http://catalog.hathitrust.org/Record/000812862","HathiTrust Record")</f>
        <v/>
      </c>
      <c r="AS473">
        <f>HYPERLINK("https://creighton-primo.hosted.exlibrisgroup.com/primo-explore/search?tab=default_tab&amp;search_scope=EVERYTHING&amp;vid=01CRU&amp;lang=en_US&amp;offset=0&amp;query=any,contains,991000800299702656","Catalog Record")</f>
        <v/>
      </c>
      <c r="AT473">
        <f>HYPERLINK("http://www.worldcat.org/oclc/13218697","WorldCat Record")</f>
        <v/>
      </c>
      <c r="AU473" t="inlineStr">
        <is>
          <t>7141497:eng</t>
        </is>
      </c>
      <c r="AV473" t="inlineStr">
        <is>
          <t>13218697</t>
        </is>
      </c>
      <c r="AW473" t="inlineStr">
        <is>
          <t>991000800299702656</t>
        </is>
      </c>
      <c r="AX473" t="inlineStr">
        <is>
          <t>991000800299702656</t>
        </is>
      </c>
      <c r="AY473" t="inlineStr">
        <is>
          <t>2260677250002656</t>
        </is>
      </c>
      <c r="AZ473" t="inlineStr">
        <is>
          <t>BOOK</t>
        </is>
      </c>
      <c r="BB473" t="inlineStr">
        <is>
          <t>9780471909200</t>
        </is>
      </c>
      <c r="BC473" t="inlineStr">
        <is>
          <t>32285001434538</t>
        </is>
      </c>
      <c r="BD473" t="inlineStr">
        <is>
          <t>893608295</t>
        </is>
      </c>
    </row>
    <row r="474">
      <c r="A474" t="inlineStr">
        <is>
          <t>No</t>
        </is>
      </c>
      <c r="B474" t="inlineStr">
        <is>
          <t>QB843 .S95 1988</t>
        </is>
      </c>
      <c r="C474" t="inlineStr">
        <is>
          <t>0                      QB 0843000S  95          1988</t>
        </is>
      </c>
      <c r="D474" t="inlineStr">
        <is>
          <t>The supernova story / Laurence A. Marschall.</t>
        </is>
      </c>
      <c r="F474" t="inlineStr">
        <is>
          <t>No</t>
        </is>
      </c>
      <c r="G474" t="inlineStr">
        <is>
          <t>1</t>
        </is>
      </c>
      <c r="H474" t="inlineStr">
        <is>
          <t>No</t>
        </is>
      </c>
      <c r="I474" t="inlineStr">
        <is>
          <t>No</t>
        </is>
      </c>
      <c r="J474" t="inlineStr">
        <is>
          <t>0</t>
        </is>
      </c>
      <c r="K474" t="inlineStr">
        <is>
          <t>Marschall, Laurence A.</t>
        </is>
      </c>
      <c r="L474" t="inlineStr">
        <is>
          <t>New York : Plenum Press, c1988, 1989 printing.</t>
        </is>
      </c>
      <c r="M474" t="inlineStr">
        <is>
          <t>1988</t>
        </is>
      </c>
      <c r="O474" t="inlineStr">
        <is>
          <t>eng</t>
        </is>
      </c>
      <c r="P474" t="inlineStr">
        <is>
          <t>nyu</t>
        </is>
      </c>
      <c r="R474" t="inlineStr">
        <is>
          <t xml:space="preserve">QB </t>
        </is>
      </c>
      <c r="S474" t="n">
        <v>3</v>
      </c>
      <c r="T474" t="n">
        <v>3</v>
      </c>
      <c r="U474" t="inlineStr">
        <is>
          <t>2008-05-14</t>
        </is>
      </c>
      <c r="V474" t="inlineStr">
        <is>
          <t>2008-05-14</t>
        </is>
      </c>
      <c r="W474" t="inlineStr">
        <is>
          <t>1992-11-24</t>
        </is>
      </c>
      <c r="X474" t="inlineStr">
        <is>
          <t>1992-11-24</t>
        </is>
      </c>
      <c r="Y474" t="n">
        <v>1001</v>
      </c>
      <c r="Z474" t="n">
        <v>897</v>
      </c>
      <c r="AA474" t="n">
        <v>1005</v>
      </c>
      <c r="AB474" t="n">
        <v>5</v>
      </c>
      <c r="AC474" t="n">
        <v>6</v>
      </c>
      <c r="AD474" t="n">
        <v>26</v>
      </c>
      <c r="AE474" t="n">
        <v>29</v>
      </c>
      <c r="AF474" t="n">
        <v>10</v>
      </c>
      <c r="AG474" t="n">
        <v>12</v>
      </c>
      <c r="AH474" t="n">
        <v>8</v>
      </c>
      <c r="AI474" t="n">
        <v>8</v>
      </c>
      <c r="AJ474" t="n">
        <v>10</v>
      </c>
      <c r="AK474" t="n">
        <v>11</v>
      </c>
      <c r="AL474" t="n">
        <v>3</v>
      </c>
      <c r="AM474" t="n">
        <v>4</v>
      </c>
      <c r="AN474" t="n">
        <v>0</v>
      </c>
      <c r="AO474" t="n">
        <v>0</v>
      </c>
      <c r="AP474" t="inlineStr">
        <is>
          <t>No</t>
        </is>
      </c>
      <c r="AQ474" t="inlineStr">
        <is>
          <t>Yes</t>
        </is>
      </c>
      <c r="AR474">
        <f>HYPERLINK("http://catalog.hathitrust.org/Record/000929073","HathiTrust Record")</f>
        <v/>
      </c>
      <c r="AS474">
        <f>HYPERLINK("https://creighton-primo.hosted.exlibrisgroup.com/primo-explore/search?tab=default_tab&amp;search_scope=EVERYTHING&amp;vid=01CRU&amp;lang=en_US&amp;offset=0&amp;query=any,contains,991001303309702656","Catalog Record")</f>
        <v/>
      </c>
      <c r="AT474">
        <f>HYPERLINK("http://www.worldcat.org/oclc/18072371","WorldCat Record")</f>
        <v/>
      </c>
      <c r="AU474" t="inlineStr">
        <is>
          <t>891935:eng</t>
        </is>
      </c>
      <c r="AV474" t="inlineStr">
        <is>
          <t>18072371</t>
        </is>
      </c>
      <c r="AW474" t="inlineStr">
        <is>
          <t>991001303309702656</t>
        </is>
      </c>
      <c r="AX474" t="inlineStr">
        <is>
          <t>991001303309702656</t>
        </is>
      </c>
      <c r="AY474" t="inlineStr">
        <is>
          <t>2267261600002656</t>
        </is>
      </c>
      <c r="AZ474" t="inlineStr">
        <is>
          <t>BOOK</t>
        </is>
      </c>
      <c r="BB474" t="inlineStr">
        <is>
          <t>9780306429552</t>
        </is>
      </c>
      <c r="BC474" t="inlineStr">
        <is>
          <t>32285001434645</t>
        </is>
      </c>
      <c r="BD474" t="inlineStr">
        <is>
          <t>893709170</t>
        </is>
      </c>
    </row>
    <row r="475">
      <c r="A475" t="inlineStr">
        <is>
          <t>No</t>
        </is>
      </c>
      <c r="B475" t="inlineStr">
        <is>
          <t>QB843.B55 A84 1977</t>
        </is>
      </c>
      <c r="C475" t="inlineStr">
        <is>
          <t>0                      QB 0843000B  55                 A  84          1977</t>
        </is>
      </c>
      <c r="D475" t="inlineStr">
        <is>
          <t>The collapsing universe / by Isaac Asimov.</t>
        </is>
      </c>
      <c r="F475" t="inlineStr">
        <is>
          <t>No</t>
        </is>
      </c>
      <c r="G475" t="inlineStr">
        <is>
          <t>1</t>
        </is>
      </c>
      <c r="H475" t="inlineStr">
        <is>
          <t>No</t>
        </is>
      </c>
      <c r="I475" t="inlineStr">
        <is>
          <t>No</t>
        </is>
      </c>
      <c r="J475" t="inlineStr">
        <is>
          <t>0</t>
        </is>
      </c>
      <c r="K475" t="inlineStr">
        <is>
          <t>Asimov, Isaac, 1920-1992.</t>
        </is>
      </c>
      <c r="L475" t="inlineStr">
        <is>
          <t>New York : Walker, 1977.</t>
        </is>
      </c>
      <c r="M475" t="inlineStr">
        <is>
          <t>1977</t>
        </is>
      </c>
      <c r="O475" t="inlineStr">
        <is>
          <t>eng</t>
        </is>
      </c>
      <c r="P475" t="inlineStr">
        <is>
          <t>nyu</t>
        </is>
      </c>
      <c r="R475" t="inlineStr">
        <is>
          <t xml:space="preserve">QB </t>
        </is>
      </c>
      <c r="S475" t="n">
        <v>3</v>
      </c>
      <c r="T475" t="n">
        <v>3</v>
      </c>
      <c r="U475" t="inlineStr">
        <is>
          <t>1997-11-11</t>
        </is>
      </c>
      <c r="V475" t="inlineStr">
        <is>
          <t>1997-11-11</t>
        </is>
      </c>
      <c r="W475" t="inlineStr">
        <is>
          <t>1990-03-20</t>
        </is>
      </c>
      <c r="X475" t="inlineStr">
        <is>
          <t>1990-03-20</t>
        </is>
      </c>
      <c r="Y475" t="n">
        <v>1547</v>
      </c>
      <c r="Z475" t="n">
        <v>1457</v>
      </c>
      <c r="AA475" t="n">
        <v>1559</v>
      </c>
      <c r="AB475" t="n">
        <v>15</v>
      </c>
      <c r="AC475" t="n">
        <v>16</v>
      </c>
      <c r="AD475" t="n">
        <v>34</v>
      </c>
      <c r="AE475" t="n">
        <v>34</v>
      </c>
      <c r="AF475" t="n">
        <v>13</v>
      </c>
      <c r="AG475" t="n">
        <v>13</v>
      </c>
      <c r="AH475" t="n">
        <v>7</v>
      </c>
      <c r="AI475" t="n">
        <v>7</v>
      </c>
      <c r="AJ475" t="n">
        <v>13</v>
      </c>
      <c r="AK475" t="n">
        <v>13</v>
      </c>
      <c r="AL475" t="n">
        <v>9</v>
      </c>
      <c r="AM475" t="n">
        <v>9</v>
      </c>
      <c r="AN475" t="n">
        <v>0</v>
      </c>
      <c r="AO475" t="n">
        <v>0</v>
      </c>
      <c r="AP475" t="inlineStr">
        <is>
          <t>No</t>
        </is>
      </c>
      <c r="AQ475" t="inlineStr">
        <is>
          <t>Yes</t>
        </is>
      </c>
      <c r="AR475">
        <f>HYPERLINK("http://catalog.hathitrust.org/Record/102010356","HathiTrust Record")</f>
        <v/>
      </c>
      <c r="AS475">
        <f>HYPERLINK("https://creighton-primo.hosted.exlibrisgroup.com/primo-explore/search?tab=default_tab&amp;search_scope=EVERYTHING&amp;vid=01CRU&amp;lang=en_US&amp;offset=0&amp;query=any,contains,991004273929702656","Catalog Record")</f>
        <v/>
      </c>
      <c r="AT475">
        <f>HYPERLINK("http://www.worldcat.org/oclc/2887731","WorldCat Record")</f>
        <v/>
      </c>
      <c r="AU475" t="inlineStr">
        <is>
          <t>2287341296:eng</t>
        </is>
      </c>
      <c r="AV475" t="inlineStr">
        <is>
          <t>2887731</t>
        </is>
      </c>
      <c r="AW475" t="inlineStr">
        <is>
          <t>991004273929702656</t>
        </is>
      </c>
      <c r="AX475" t="inlineStr">
        <is>
          <t>991004273929702656</t>
        </is>
      </c>
      <c r="AY475" t="inlineStr">
        <is>
          <t>2259616150002656</t>
        </is>
      </c>
      <c r="AZ475" t="inlineStr">
        <is>
          <t>BOOK</t>
        </is>
      </c>
      <c r="BB475" t="inlineStr">
        <is>
          <t>9780802704863</t>
        </is>
      </c>
      <c r="BC475" t="inlineStr">
        <is>
          <t>32285000091347</t>
        </is>
      </c>
      <c r="BD475" t="inlineStr">
        <is>
          <t>893241227</t>
        </is>
      </c>
    </row>
    <row r="476">
      <c r="A476" t="inlineStr">
        <is>
          <t>No</t>
        </is>
      </c>
      <c r="B476" t="inlineStr">
        <is>
          <t>QB843.B55 B57</t>
        </is>
      </c>
      <c r="C476" t="inlineStr">
        <is>
          <t>0                      QB 0843000B  55                 B  57</t>
        </is>
      </c>
      <c r="D476" t="inlineStr">
        <is>
          <t>Black holes / edited by C. DeWitt [and] B. S. DeWitt.</t>
        </is>
      </c>
      <c r="F476" t="inlineStr">
        <is>
          <t>No</t>
        </is>
      </c>
      <c r="G476" t="inlineStr">
        <is>
          <t>1</t>
        </is>
      </c>
      <c r="H476" t="inlineStr">
        <is>
          <t>No</t>
        </is>
      </c>
      <c r="I476" t="inlineStr">
        <is>
          <t>No</t>
        </is>
      </c>
      <c r="J476" t="inlineStr">
        <is>
          <t>0</t>
        </is>
      </c>
      <c r="L476" t="inlineStr">
        <is>
          <t>New York : Gordon and Breach, [1973]</t>
        </is>
      </c>
      <c r="M476" t="inlineStr">
        <is>
          <t>1973</t>
        </is>
      </c>
      <c r="O476" t="inlineStr">
        <is>
          <t>eng</t>
        </is>
      </c>
      <c r="P476" t="inlineStr">
        <is>
          <t>nyu</t>
        </is>
      </c>
      <c r="R476" t="inlineStr">
        <is>
          <t xml:space="preserve">QB </t>
        </is>
      </c>
      <c r="S476" t="n">
        <v>2</v>
      </c>
      <c r="T476" t="n">
        <v>2</v>
      </c>
      <c r="U476" t="inlineStr">
        <is>
          <t>1992-02-12</t>
        </is>
      </c>
      <c r="V476" t="inlineStr">
        <is>
          <t>1992-02-12</t>
        </is>
      </c>
      <c r="W476" t="inlineStr">
        <is>
          <t>1991-09-27</t>
        </is>
      </c>
      <c r="X476" t="inlineStr">
        <is>
          <t>1991-09-27</t>
        </is>
      </c>
      <c r="Y476" t="n">
        <v>303</v>
      </c>
      <c r="Z476" t="n">
        <v>238</v>
      </c>
      <c r="AA476" t="n">
        <v>246</v>
      </c>
      <c r="AB476" t="n">
        <v>2</v>
      </c>
      <c r="AC476" t="n">
        <v>2</v>
      </c>
      <c r="AD476" t="n">
        <v>7</v>
      </c>
      <c r="AE476" t="n">
        <v>7</v>
      </c>
      <c r="AF476" t="n">
        <v>2</v>
      </c>
      <c r="AG476" t="n">
        <v>2</v>
      </c>
      <c r="AH476" t="n">
        <v>3</v>
      </c>
      <c r="AI476" t="n">
        <v>3</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HYPERLINK("https://creighton-primo.hosted.exlibrisgroup.com/primo-explore/search?tab=default_tab&amp;search_scope=EVERYTHING&amp;vid=01CRU&amp;lang=en_US&amp;offset=0&amp;query=any,contains,991003168419702656","Catalog Record")</f>
        <v/>
      </c>
      <c r="AT476">
        <f>HYPERLINK("http://www.worldcat.org/oclc/705479","WorldCat Record")</f>
        <v/>
      </c>
      <c r="AU476" t="inlineStr">
        <is>
          <t>369902952:eng</t>
        </is>
      </c>
      <c r="AV476" t="inlineStr">
        <is>
          <t>705479</t>
        </is>
      </c>
      <c r="AW476" t="inlineStr">
        <is>
          <t>991003168419702656</t>
        </is>
      </c>
      <c r="AX476" t="inlineStr">
        <is>
          <t>991003168419702656</t>
        </is>
      </c>
      <c r="AY476" t="inlineStr">
        <is>
          <t>2259100960002656</t>
        </is>
      </c>
      <c r="AZ476" t="inlineStr">
        <is>
          <t>BOOK</t>
        </is>
      </c>
      <c r="BB476" t="inlineStr">
        <is>
          <t>9780677156101</t>
        </is>
      </c>
      <c r="BC476" t="inlineStr">
        <is>
          <t>32285000760115</t>
        </is>
      </c>
      <c r="BD476" t="inlineStr">
        <is>
          <t>893799444</t>
        </is>
      </c>
    </row>
    <row r="477">
      <c r="A477" t="inlineStr">
        <is>
          <t>No</t>
        </is>
      </c>
      <c r="B477" t="inlineStr">
        <is>
          <t>QB843.B55 B59 1986</t>
        </is>
      </c>
      <c r="C477" t="inlineStr">
        <is>
          <t>0                      QB 0843000B  55                 B  59          1986</t>
        </is>
      </c>
      <c r="D477" t="inlineStr">
        <is>
          <t>Black holes : the membrane paradigm / edited by Kip S. Thorne, Richard H. Price, Douglas A. Macdonald.</t>
        </is>
      </c>
      <c r="F477" t="inlineStr">
        <is>
          <t>No</t>
        </is>
      </c>
      <c r="G477" t="inlineStr">
        <is>
          <t>1</t>
        </is>
      </c>
      <c r="H477" t="inlineStr">
        <is>
          <t>No</t>
        </is>
      </c>
      <c r="I477" t="inlineStr">
        <is>
          <t>No</t>
        </is>
      </c>
      <c r="J477" t="inlineStr">
        <is>
          <t>0</t>
        </is>
      </c>
      <c r="L477" t="inlineStr">
        <is>
          <t>New Haven : Yale University Press, c1986.</t>
        </is>
      </c>
      <c r="M477" t="inlineStr">
        <is>
          <t>1986</t>
        </is>
      </c>
      <c r="O477" t="inlineStr">
        <is>
          <t>eng</t>
        </is>
      </c>
      <c r="P477" t="inlineStr">
        <is>
          <t>ctu</t>
        </is>
      </c>
      <c r="R477" t="inlineStr">
        <is>
          <t xml:space="preserve">QB </t>
        </is>
      </c>
      <c r="S477" t="n">
        <v>4</v>
      </c>
      <c r="T477" t="n">
        <v>4</v>
      </c>
      <c r="U477" t="inlineStr">
        <is>
          <t>2007-04-15</t>
        </is>
      </c>
      <c r="V477" t="inlineStr">
        <is>
          <t>2007-04-15</t>
        </is>
      </c>
      <c r="W477" t="inlineStr">
        <is>
          <t>1992-02-24</t>
        </is>
      </c>
      <c r="X477" t="inlineStr">
        <is>
          <t>1992-02-24</t>
        </is>
      </c>
      <c r="Y477" t="n">
        <v>513</v>
      </c>
      <c r="Z477" t="n">
        <v>386</v>
      </c>
      <c r="AA477" t="n">
        <v>387</v>
      </c>
      <c r="AB477" t="n">
        <v>3</v>
      </c>
      <c r="AC477" t="n">
        <v>3</v>
      </c>
      <c r="AD477" t="n">
        <v>16</v>
      </c>
      <c r="AE477" t="n">
        <v>16</v>
      </c>
      <c r="AF477" t="n">
        <v>5</v>
      </c>
      <c r="AG477" t="n">
        <v>5</v>
      </c>
      <c r="AH477" t="n">
        <v>4</v>
      </c>
      <c r="AI477" t="n">
        <v>4</v>
      </c>
      <c r="AJ477" t="n">
        <v>9</v>
      </c>
      <c r="AK477" t="n">
        <v>9</v>
      </c>
      <c r="AL477" t="n">
        <v>2</v>
      </c>
      <c r="AM477" t="n">
        <v>2</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HYPERLINK("https://creighton-primo.hosted.exlibrisgroup.com/primo-explore/search?tab=default_tab&amp;search_scope=EVERYTHING&amp;vid=01CRU&amp;lang=en_US&amp;offset=0&amp;query=any,contains,991000866839702656","Catalog Record")</f>
        <v/>
      </c>
      <c r="AT477">
        <f>HYPERLINK("http://www.worldcat.org/oclc/13759977","WorldCat Record")</f>
        <v/>
      </c>
      <c r="AU477" t="inlineStr">
        <is>
          <t>143982800:eng</t>
        </is>
      </c>
      <c r="AV477" t="inlineStr">
        <is>
          <t>13759977</t>
        </is>
      </c>
      <c r="AW477" t="inlineStr">
        <is>
          <t>991000866839702656</t>
        </is>
      </c>
      <c r="AX477" t="inlineStr">
        <is>
          <t>991000866839702656</t>
        </is>
      </c>
      <c r="AY477" t="inlineStr">
        <is>
          <t>2262490110002656</t>
        </is>
      </c>
      <c r="AZ477" t="inlineStr">
        <is>
          <t>BOOK</t>
        </is>
      </c>
      <c r="BB477" t="inlineStr">
        <is>
          <t>9780300037708</t>
        </is>
      </c>
      <c r="BC477" t="inlineStr">
        <is>
          <t>32285000974666</t>
        </is>
      </c>
      <c r="BD477" t="inlineStr">
        <is>
          <t>893333850</t>
        </is>
      </c>
    </row>
    <row r="478">
      <c r="A478" t="inlineStr">
        <is>
          <t>No</t>
        </is>
      </c>
      <c r="B478" t="inlineStr">
        <is>
          <t>QB843.B55 B73 1986</t>
        </is>
      </c>
      <c r="C478" t="inlineStr">
        <is>
          <t>0                      QB 0843000B  55                 B  73          1986</t>
        </is>
      </c>
      <c r="D478" t="inlineStr">
        <is>
          <t>Journey into a black hole / by Franklyn M. Branley ; illustrated by Marc Simont.</t>
        </is>
      </c>
      <c r="F478" t="inlineStr">
        <is>
          <t>No</t>
        </is>
      </c>
      <c r="G478" t="inlineStr">
        <is>
          <t>1</t>
        </is>
      </c>
      <c r="H478" t="inlineStr">
        <is>
          <t>No</t>
        </is>
      </c>
      <c r="I478" t="inlineStr">
        <is>
          <t>No</t>
        </is>
      </c>
      <c r="J478" t="inlineStr">
        <is>
          <t>0</t>
        </is>
      </c>
      <c r="K478" t="inlineStr">
        <is>
          <t>Branley, Franklyn M. (Franklyn Mansfield), 1915-2002.</t>
        </is>
      </c>
      <c r="L478" t="inlineStr">
        <is>
          <t>New York : HarperCollins, c1986.</t>
        </is>
      </c>
      <c r="M478" t="inlineStr">
        <is>
          <t>1986</t>
        </is>
      </c>
      <c r="N478" t="inlineStr">
        <is>
          <t>1st ed.</t>
        </is>
      </c>
      <c r="O478" t="inlineStr">
        <is>
          <t>eng</t>
        </is>
      </c>
      <c r="P478" t="inlineStr">
        <is>
          <t>nyu</t>
        </is>
      </c>
      <c r="Q478" t="inlineStr">
        <is>
          <t>Let's-read-and-find-out science book</t>
        </is>
      </c>
      <c r="R478" t="inlineStr">
        <is>
          <t xml:space="preserve">QB </t>
        </is>
      </c>
      <c r="S478" t="n">
        <v>19</v>
      </c>
      <c r="T478" t="n">
        <v>19</v>
      </c>
      <c r="U478" t="inlineStr">
        <is>
          <t>2009-10-07</t>
        </is>
      </c>
      <c r="V478" t="inlineStr">
        <is>
          <t>2009-10-07</t>
        </is>
      </c>
      <c r="W478" t="inlineStr">
        <is>
          <t>1992-12-16</t>
        </is>
      </c>
      <c r="X478" t="inlineStr">
        <is>
          <t>1992-12-16</t>
        </is>
      </c>
      <c r="Y478" t="n">
        <v>538</v>
      </c>
      <c r="Z478" t="n">
        <v>515</v>
      </c>
      <c r="AA478" t="n">
        <v>555</v>
      </c>
      <c r="AB478" t="n">
        <v>6</v>
      </c>
      <c r="AC478" t="n">
        <v>6</v>
      </c>
      <c r="AD478" t="n">
        <v>1</v>
      </c>
      <c r="AE478" t="n">
        <v>2</v>
      </c>
      <c r="AF478" t="n">
        <v>0</v>
      </c>
      <c r="AG478" t="n">
        <v>0</v>
      </c>
      <c r="AH478" t="n">
        <v>1</v>
      </c>
      <c r="AI478" t="n">
        <v>2</v>
      </c>
      <c r="AJ478" t="n">
        <v>1</v>
      </c>
      <c r="AK478" t="n">
        <v>1</v>
      </c>
      <c r="AL478" t="n">
        <v>0</v>
      </c>
      <c r="AM478" t="n">
        <v>0</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HYPERLINK("https://creighton-primo.hosted.exlibrisgroup.com/primo-explore/search?tab=default_tab&amp;search_scope=EVERYTHING&amp;vid=01CRU&amp;lang=en_US&amp;offset=0&amp;query=any,contains,991004445689702656","Catalog Record")</f>
        <v/>
      </c>
      <c r="AT478">
        <f>HYPERLINK("http://www.worldcat.org/oclc/13125837","WorldCat Record")</f>
        <v/>
      </c>
      <c r="AU478" t="inlineStr">
        <is>
          <t>54971556:eng</t>
        </is>
      </c>
      <c r="AV478" t="inlineStr">
        <is>
          <t>13125837</t>
        </is>
      </c>
      <c r="AW478" t="inlineStr">
        <is>
          <t>991004445689702656</t>
        </is>
      </c>
      <c r="AX478" t="inlineStr">
        <is>
          <t>991004445689702656</t>
        </is>
      </c>
      <c r="AY478" t="inlineStr">
        <is>
          <t>2257922900002656</t>
        </is>
      </c>
      <c r="AZ478" t="inlineStr">
        <is>
          <t>BOOK</t>
        </is>
      </c>
      <c r="BB478" t="inlineStr">
        <is>
          <t>9780690045437</t>
        </is>
      </c>
      <c r="BC478" t="inlineStr">
        <is>
          <t>32285001403244</t>
        </is>
      </c>
      <c r="BD478" t="inlineStr">
        <is>
          <t>893767873</t>
        </is>
      </c>
    </row>
    <row r="479">
      <c r="A479" t="inlineStr">
        <is>
          <t>No</t>
        </is>
      </c>
      <c r="B479" t="inlineStr">
        <is>
          <t>QB843.B55 C48 1983</t>
        </is>
      </c>
      <c r="C479" t="inlineStr">
        <is>
          <t>0                      QB 0843000B  55                 C  48          1983</t>
        </is>
      </c>
      <c r="D479" t="inlineStr">
        <is>
          <t>The mathematical theory of black holes / S. Chandrasekhar.</t>
        </is>
      </c>
      <c r="F479" t="inlineStr">
        <is>
          <t>No</t>
        </is>
      </c>
      <c r="G479" t="inlineStr">
        <is>
          <t>1</t>
        </is>
      </c>
      <c r="H479" t="inlineStr">
        <is>
          <t>No</t>
        </is>
      </c>
      <c r="I479" t="inlineStr">
        <is>
          <t>No</t>
        </is>
      </c>
      <c r="J479" t="inlineStr">
        <is>
          <t>0</t>
        </is>
      </c>
      <c r="K479" t="inlineStr">
        <is>
          <t>Chandrasekhar, S. (Subrahmanyan), 1910-1995.</t>
        </is>
      </c>
      <c r="L479" t="inlineStr">
        <is>
          <t>Oxford [Oxfordshire] : Clarendon Press ; New York : Oxford University Press, 1983.</t>
        </is>
      </c>
      <c r="M479" t="inlineStr">
        <is>
          <t>1983</t>
        </is>
      </c>
      <c r="O479" t="inlineStr">
        <is>
          <t>eng</t>
        </is>
      </c>
      <c r="P479" t="inlineStr">
        <is>
          <t>enk</t>
        </is>
      </c>
      <c r="Q479" t="inlineStr">
        <is>
          <t>The International series of monographs on physics ; 69</t>
        </is>
      </c>
      <c r="R479" t="inlineStr">
        <is>
          <t xml:space="preserve">QB </t>
        </is>
      </c>
      <c r="S479" t="n">
        <v>9</v>
      </c>
      <c r="T479" t="n">
        <v>9</v>
      </c>
      <c r="U479" t="inlineStr">
        <is>
          <t>2007-02-10</t>
        </is>
      </c>
      <c r="V479" t="inlineStr">
        <is>
          <t>2007-02-10</t>
        </is>
      </c>
      <c r="W479" t="inlineStr">
        <is>
          <t>1992-02-13</t>
        </is>
      </c>
      <c r="X479" t="inlineStr">
        <is>
          <t>1992-02-13</t>
        </is>
      </c>
      <c r="Y479" t="n">
        <v>517</v>
      </c>
      <c r="Z479" t="n">
        <v>356</v>
      </c>
      <c r="AA479" t="n">
        <v>433</v>
      </c>
      <c r="AB479" t="n">
        <v>3</v>
      </c>
      <c r="AC479" t="n">
        <v>3</v>
      </c>
      <c r="AD479" t="n">
        <v>13</v>
      </c>
      <c r="AE479" t="n">
        <v>20</v>
      </c>
      <c r="AF479" t="n">
        <v>2</v>
      </c>
      <c r="AG479" t="n">
        <v>7</v>
      </c>
      <c r="AH479" t="n">
        <v>5</v>
      </c>
      <c r="AI479" t="n">
        <v>6</v>
      </c>
      <c r="AJ479" t="n">
        <v>6</v>
      </c>
      <c r="AK479" t="n">
        <v>8</v>
      </c>
      <c r="AL479" t="n">
        <v>2</v>
      </c>
      <c r="AM479" t="n">
        <v>2</v>
      </c>
      <c r="AN479" t="n">
        <v>0</v>
      </c>
      <c r="AO479" t="n">
        <v>0</v>
      </c>
      <c r="AP479" t="inlineStr">
        <is>
          <t>No</t>
        </is>
      </c>
      <c r="AQ479" t="inlineStr">
        <is>
          <t>Yes</t>
        </is>
      </c>
      <c r="AR479">
        <f>HYPERLINK("http://catalog.hathitrust.org/Record/000238368","HathiTrust Record")</f>
        <v/>
      </c>
      <c r="AS479">
        <f>HYPERLINK("https://creighton-primo.hosted.exlibrisgroup.com/primo-explore/search?tab=default_tab&amp;search_scope=EVERYTHING&amp;vid=01CRU&amp;lang=en_US&amp;offset=0&amp;query=any,contains,991005245209702656","Catalog Record")</f>
        <v/>
      </c>
      <c r="AT479">
        <f>HYPERLINK("http://www.worldcat.org/oclc/8451905","WorldCat Record")</f>
        <v/>
      </c>
      <c r="AU479" t="inlineStr">
        <is>
          <t>53100072:eng</t>
        </is>
      </c>
      <c r="AV479" t="inlineStr">
        <is>
          <t>8451905</t>
        </is>
      </c>
      <c r="AW479" t="inlineStr">
        <is>
          <t>991005245209702656</t>
        </is>
      </c>
      <c r="AX479" t="inlineStr">
        <is>
          <t>991005245209702656</t>
        </is>
      </c>
      <c r="AY479" t="inlineStr">
        <is>
          <t>2262719860002656</t>
        </is>
      </c>
      <c r="AZ479" t="inlineStr">
        <is>
          <t>BOOK</t>
        </is>
      </c>
      <c r="BB479" t="inlineStr">
        <is>
          <t>9780198512912</t>
        </is>
      </c>
      <c r="BC479" t="inlineStr">
        <is>
          <t>32285000980515</t>
        </is>
      </c>
      <c r="BD479" t="inlineStr">
        <is>
          <t>893789674</t>
        </is>
      </c>
    </row>
    <row r="480">
      <c r="A480" t="inlineStr">
        <is>
          <t>No</t>
        </is>
      </c>
      <c r="B480" t="inlineStr">
        <is>
          <t>QB843.B55 C483 1991</t>
        </is>
      </c>
      <c r="C480" t="inlineStr">
        <is>
          <t>0                      QB 0843000B  55                 C  483         1991</t>
        </is>
      </c>
      <c r="D480" t="inlineStr">
        <is>
          <t>The mathematical theory of black holes and of colliding plane waves / S. Chandrasekhar.</t>
        </is>
      </c>
      <c r="F480" t="inlineStr">
        <is>
          <t>No</t>
        </is>
      </c>
      <c r="G480" t="inlineStr">
        <is>
          <t>1</t>
        </is>
      </c>
      <c r="H480" t="inlineStr">
        <is>
          <t>No</t>
        </is>
      </c>
      <c r="I480" t="inlineStr">
        <is>
          <t>No</t>
        </is>
      </c>
      <c r="J480" t="inlineStr">
        <is>
          <t>0</t>
        </is>
      </c>
      <c r="K480" t="inlineStr">
        <is>
          <t>Chandrasekhar, S. (Subrahmanyan), 1910-1995.</t>
        </is>
      </c>
      <c r="L480" t="inlineStr">
        <is>
          <t>Chicago : University of Chicago Press, 1991.</t>
        </is>
      </c>
      <c r="M480" t="inlineStr">
        <is>
          <t>1991</t>
        </is>
      </c>
      <c r="O480" t="inlineStr">
        <is>
          <t>eng</t>
        </is>
      </c>
      <c r="P480" t="inlineStr">
        <is>
          <t>ilu</t>
        </is>
      </c>
      <c r="Q480" t="inlineStr">
        <is>
          <t>Selected papers ; v. 6</t>
        </is>
      </c>
      <c r="R480" t="inlineStr">
        <is>
          <t xml:space="preserve">QB </t>
        </is>
      </c>
      <c r="S480" t="n">
        <v>5</v>
      </c>
      <c r="T480" t="n">
        <v>5</v>
      </c>
      <c r="U480" t="inlineStr">
        <is>
          <t>2007-03-25</t>
        </is>
      </c>
      <c r="V480" t="inlineStr">
        <is>
          <t>2007-03-25</t>
        </is>
      </c>
      <c r="W480" t="inlineStr">
        <is>
          <t>1991-09-06</t>
        </is>
      </c>
      <c r="X480" t="inlineStr">
        <is>
          <t>1991-09-06</t>
        </is>
      </c>
      <c r="Y480" t="n">
        <v>183</v>
      </c>
      <c r="Z480" t="n">
        <v>144</v>
      </c>
      <c r="AA480" t="n">
        <v>144</v>
      </c>
      <c r="AB480" t="n">
        <v>2</v>
      </c>
      <c r="AC480" t="n">
        <v>2</v>
      </c>
      <c r="AD480" t="n">
        <v>5</v>
      </c>
      <c r="AE480" t="n">
        <v>5</v>
      </c>
      <c r="AF480" t="n">
        <v>0</v>
      </c>
      <c r="AG480" t="n">
        <v>0</v>
      </c>
      <c r="AH480" t="n">
        <v>1</v>
      </c>
      <c r="AI480" t="n">
        <v>1</v>
      </c>
      <c r="AJ480" t="n">
        <v>3</v>
      </c>
      <c r="AK480" t="n">
        <v>3</v>
      </c>
      <c r="AL480" t="n">
        <v>1</v>
      </c>
      <c r="AM480" t="n">
        <v>1</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HYPERLINK("https://creighton-primo.hosted.exlibrisgroup.com/primo-explore/search?tab=default_tab&amp;search_scope=EVERYTHING&amp;vid=01CRU&amp;lang=en_US&amp;offset=0&amp;query=any,contains,991001732329702656","Catalog Record")</f>
        <v/>
      </c>
      <c r="AT480">
        <f>HYPERLINK("http://www.worldcat.org/oclc/21948830","WorldCat Record")</f>
        <v/>
      </c>
      <c r="AU480" t="inlineStr">
        <is>
          <t>1862771657:eng</t>
        </is>
      </c>
      <c r="AV480" t="inlineStr">
        <is>
          <t>21948830</t>
        </is>
      </c>
      <c r="AW480" t="inlineStr">
        <is>
          <t>991001732329702656</t>
        </is>
      </c>
      <c r="AX480" t="inlineStr">
        <is>
          <t>991001732329702656</t>
        </is>
      </c>
      <c r="AY480" t="inlineStr">
        <is>
          <t>2258577550002656</t>
        </is>
      </c>
      <c r="AZ480" t="inlineStr">
        <is>
          <t>BOOK</t>
        </is>
      </c>
      <c r="BB480" t="inlineStr">
        <is>
          <t>9780226101019</t>
        </is>
      </c>
      <c r="BC480" t="inlineStr">
        <is>
          <t>32285000702794</t>
        </is>
      </c>
      <c r="BD480" t="inlineStr">
        <is>
          <t>893420553</t>
        </is>
      </c>
    </row>
    <row r="481">
      <c r="A481" t="inlineStr">
        <is>
          <t>No</t>
        </is>
      </c>
      <c r="B481" t="inlineStr">
        <is>
          <t>QB843.B55 D36 1985</t>
        </is>
      </c>
      <c r="C481" t="inlineStr">
        <is>
          <t>0                      QB 0843000B  55                 D  36          1985</t>
        </is>
      </c>
      <c r="D481" t="inlineStr">
        <is>
          <t>Black holes : an annotated bibliography, 1975-1983 / by Steven I. Danko.</t>
        </is>
      </c>
      <c r="F481" t="inlineStr">
        <is>
          <t>No</t>
        </is>
      </c>
      <c r="G481" t="inlineStr">
        <is>
          <t>1</t>
        </is>
      </c>
      <c r="H481" t="inlineStr">
        <is>
          <t>No</t>
        </is>
      </c>
      <c r="I481" t="inlineStr">
        <is>
          <t>No</t>
        </is>
      </c>
      <c r="J481" t="inlineStr">
        <is>
          <t>0</t>
        </is>
      </c>
      <c r="K481" t="inlineStr">
        <is>
          <t>Danko, Steven I., 1950-</t>
        </is>
      </c>
      <c r="L481" t="inlineStr">
        <is>
          <t>Metuchen, N.J. : Scarecrow Press, 1985.</t>
        </is>
      </c>
      <c r="M481" t="inlineStr">
        <is>
          <t>1985</t>
        </is>
      </c>
      <c r="O481" t="inlineStr">
        <is>
          <t>eng</t>
        </is>
      </c>
      <c r="P481" t="inlineStr">
        <is>
          <t>nju</t>
        </is>
      </c>
      <c r="R481" t="inlineStr">
        <is>
          <t xml:space="preserve">QB </t>
        </is>
      </c>
      <c r="S481" t="n">
        <v>4</v>
      </c>
      <c r="T481" t="n">
        <v>4</v>
      </c>
      <c r="U481" t="inlineStr">
        <is>
          <t>2003-04-17</t>
        </is>
      </c>
      <c r="V481" t="inlineStr">
        <is>
          <t>2003-04-17</t>
        </is>
      </c>
      <c r="W481" t="inlineStr">
        <is>
          <t>1992-02-11</t>
        </is>
      </c>
      <c r="X481" t="inlineStr">
        <is>
          <t>1992-02-11</t>
        </is>
      </c>
      <c r="Y481" t="n">
        <v>277</v>
      </c>
      <c r="Z481" t="n">
        <v>238</v>
      </c>
      <c r="AA481" t="n">
        <v>245</v>
      </c>
      <c r="AB481" t="n">
        <v>3</v>
      </c>
      <c r="AC481" t="n">
        <v>3</v>
      </c>
      <c r="AD481" t="n">
        <v>7</v>
      </c>
      <c r="AE481" t="n">
        <v>7</v>
      </c>
      <c r="AF481" t="n">
        <v>1</v>
      </c>
      <c r="AG481" t="n">
        <v>1</v>
      </c>
      <c r="AH481" t="n">
        <v>3</v>
      </c>
      <c r="AI481" t="n">
        <v>3</v>
      </c>
      <c r="AJ481" t="n">
        <v>2</v>
      </c>
      <c r="AK481" t="n">
        <v>2</v>
      </c>
      <c r="AL481" t="n">
        <v>2</v>
      </c>
      <c r="AM481" t="n">
        <v>2</v>
      </c>
      <c r="AN481" t="n">
        <v>0</v>
      </c>
      <c r="AO481" t="n">
        <v>0</v>
      </c>
      <c r="AP481" t="inlineStr">
        <is>
          <t>No</t>
        </is>
      </c>
      <c r="AQ481" t="inlineStr">
        <is>
          <t>Yes</t>
        </is>
      </c>
      <c r="AR481">
        <f>HYPERLINK("http://catalog.hathitrust.org/Record/000664576","HathiTrust Record")</f>
        <v/>
      </c>
      <c r="AS481">
        <f>HYPERLINK("https://creighton-primo.hosted.exlibrisgroup.com/primo-explore/search?tab=default_tab&amp;search_scope=EVERYTHING&amp;vid=01CRU&amp;lang=en_US&amp;offset=0&amp;query=any,contains,991000666749702656","Catalog Record")</f>
        <v/>
      </c>
      <c r="AT481">
        <f>HYPERLINK("http://www.worldcat.org/oclc/12285728","WorldCat Record")</f>
        <v/>
      </c>
      <c r="AU481" t="inlineStr">
        <is>
          <t>5169889:eng</t>
        </is>
      </c>
      <c r="AV481" t="inlineStr">
        <is>
          <t>12285728</t>
        </is>
      </c>
      <c r="AW481" t="inlineStr">
        <is>
          <t>991000666749702656</t>
        </is>
      </c>
      <c r="AX481" t="inlineStr">
        <is>
          <t>991000666749702656</t>
        </is>
      </c>
      <c r="AY481" t="inlineStr">
        <is>
          <t>2256995730002656</t>
        </is>
      </c>
      <c r="AZ481" t="inlineStr">
        <is>
          <t>BOOK</t>
        </is>
      </c>
      <c r="BB481" t="inlineStr">
        <is>
          <t>9780810818361</t>
        </is>
      </c>
      <c r="BC481" t="inlineStr">
        <is>
          <t>32285000970094</t>
        </is>
      </c>
      <c r="BD481" t="inlineStr">
        <is>
          <t>893249557</t>
        </is>
      </c>
    </row>
    <row r="482">
      <c r="A482" t="inlineStr">
        <is>
          <t>No</t>
        </is>
      </c>
      <c r="B482" t="inlineStr">
        <is>
          <t>QB843.B55 F54 1996</t>
        </is>
      </c>
      <c r="C482" t="inlineStr">
        <is>
          <t>0                      QB 0843000B  55                 F  54          1996</t>
        </is>
      </c>
      <c r="D482" t="inlineStr">
        <is>
          <t>Prisons of light : black holes / Kitty Ferguson.</t>
        </is>
      </c>
      <c r="F482" t="inlineStr">
        <is>
          <t>No</t>
        </is>
      </c>
      <c r="G482" t="inlineStr">
        <is>
          <t>1</t>
        </is>
      </c>
      <c r="H482" t="inlineStr">
        <is>
          <t>No</t>
        </is>
      </c>
      <c r="I482" t="inlineStr">
        <is>
          <t>No</t>
        </is>
      </c>
      <c r="J482" t="inlineStr">
        <is>
          <t>0</t>
        </is>
      </c>
      <c r="K482" t="inlineStr">
        <is>
          <t>Ferguson, Kitty.</t>
        </is>
      </c>
      <c r="L482" t="inlineStr">
        <is>
          <t>Cambridge ; New York : Cambridge University Press, 1996.</t>
        </is>
      </c>
      <c r="M482" t="inlineStr">
        <is>
          <t>1996</t>
        </is>
      </c>
      <c r="O482" t="inlineStr">
        <is>
          <t>eng</t>
        </is>
      </c>
      <c r="P482" t="inlineStr">
        <is>
          <t>enk</t>
        </is>
      </c>
      <c r="R482" t="inlineStr">
        <is>
          <t xml:space="preserve">QB </t>
        </is>
      </c>
      <c r="S482" t="n">
        <v>5</v>
      </c>
      <c r="T482" t="n">
        <v>5</v>
      </c>
      <c r="U482" t="inlineStr">
        <is>
          <t>2007-10-28</t>
        </is>
      </c>
      <c r="V482" t="inlineStr">
        <is>
          <t>2007-10-28</t>
        </is>
      </c>
      <c r="W482" t="inlineStr">
        <is>
          <t>1996-10-16</t>
        </is>
      </c>
      <c r="X482" t="inlineStr">
        <is>
          <t>1996-10-16</t>
        </is>
      </c>
      <c r="Y482" t="n">
        <v>955</v>
      </c>
      <c r="Z482" t="n">
        <v>823</v>
      </c>
      <c r="AA482" t="n">
        <v>839</v>
      </c>
      <c r="AB482" t="n">
        <v>7</v>
      </c>
      <c r="AC482" t="n">
        <v>7</v>
      </c>
      <c r="AD482" t="n">
        <v>27</v>
      </c>
      <c r="AE482" t="n">
        <v>27</v>
      </c>
      <c r="AF482" t="n">
        <v>9</v>
      </c>
      <c r="AG482" t="n">
        <v>9</v>
      </c>
      <c r="AH482" t="n">
        <v>8</v>
      </c>
      <c r="AI482" t="n">
        <v>8</v>
      </c>
      <c r="AJ482" t="n">
        <v>14</v>
      </c>
      <c r="AK482" t="n">
        <v>14</v>
      </c>
      <c r="AL482" t="n">
        <v>4</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HYPERLINK("https://creighton-primo.hosted.exlibrisgroup.com/primo-explore/search?tab=default_tab&amp;search_scope=EVERYTHING&amp;vid=01CRU&amp;lang=en_US&amp;offset=0&amp;query=any,contains,991002624079702656","Catalog Record")</f>
        <v/>
      </c>
      <c r="AT482">
        <f>HYPERLINK("http://www.worldcat.org/oclc/34409731","WorldCat Record")</f>
        <v/>
      </c>
      <c r="AU482" t="inlineStr">
        <is>
          <t>52993027:eng</t>
        </is>
      </c>
      <c r="AV482" t="inlineStr">
        <is>
          <t>34409731</t>
        </is>
      </c>
      <c r="AW482" t="inlineStr">
        <is>
          <t>991002624079702656</t>
        </is>
      </c>
      <c r="AX482" t="inlineStr">
        <is>
          <t>991002624079702656</t>
        </is>
      </c>
      <c r="AY482" t="inlineStr">
        <is>
          <t>2256021070002656</t>
        </is>
      </c>
      <c r="AZ482" t="inlineStr">
        <is>
          <t>BOOK</t>
        </is>
      </c>
      <c r="BB482" t="inlineStr">
        <is>
          <t>9780521495189</t>
        </is>
      </c>
      <c r="BC482" t="inlineStr">
        <is>
          <t>32285002366457</t>
        </is>
      </c>
      <c r="BD482" t="inlineStr">
        <is>
          <t>893804824</t>
        </is>
      </c>
    </row>
    <row r="483">
      <c r="A483" t="inlineStr">
        <is>
          <t>No</t>
        </is>
      </c>
      <c r="B483" t="inlineStr">
        <is>
          <t>QB843.B55 G75 1992</t>
        </is>
      </c>
      <c r="C483" t="inlineStr">
        <is>
          <t>0                      QB 0843000B  55                 G  75          1992</t>
        </is>
      </c>
      <c r="D483" t="inlineStr">
        <is>
          <t>Unveiling the edge of time : black holes, white holes, wormholes / John Gribbin.</t>
        </is>
      </c>
      <c r="F483" t="inlineStr">
        <is>
          <t>No</t>
        </is>
      </c>
      <c r="G483" t="inlineStr">
        <is>
          <t>1</t>
        </is>
      </c>
      <c r="H483" t="inlineStr">
        <is>
          <t>No</t>
        </is>
      </c>
      <c r="I483" t="inlineStr">
        <is>
          <t>No</t>
        </is>
      </c>
      <c r="J483" t="inlineStr">
        <is>
          <t>0</t>
        </is>
      </c>
      <c r="K483" t="inlineStr">
        <is>
          <t>Gribbin, John, 1946-</t>
        </is>
      </c>
      <c r="L483" t="inlineStr">
        <is>
          <t>New York : Harmony Books, c1992.</t>
        </is>
      </c>
      <c r="M483" t="inlineStr">
        <is>
          <t>1992</t>
        </is>
      </c>
      <c r="N483" t="inlineStr">
        <is>
          <t>1st ed.</t>
        </is>
      </c>
      <c r="O483" t="inlineStr">
        <is>
          <t>eng</t>
        </is>
      </c>
      <c r="P483" t="inlineStr">
        <is>
          <t>nyu</t>
        </is>
      </c>
      <c r="R483" t="inlineStr">
        <is>
          <t xml:space="preserve">QB </t>
        </is>
      </c>
      <c r="S483" t="n">
        <v>4</v>
      </c>
      <c r="T483" t="n">
        <v>4</v>
      </c>
      <c r="U483" t="inlineStr">
        <is>
          <t>2002-11-23</t>
        </is>
      </c>
      <c r="V483" t="inlineStr">
        <is>
          <t>2002-11-23</t>
        </is>
      </c>
      <c r="W483" t="inlineStr">
        <is>
          <t>1993-08-25</t>
        </is>
      </c>
      <c r="X483" t="inlineStr">
        <is>
          <t>1993-08-25</t>
        </is>
      </c>
      <c r="Y483" t="n">
        <v>766</v>
      </c>
      <c r="Z483" t="n">
        <v>714</v>
      </c>
      <c r="AA483" t="n">
        <v>841</v>
      </c>
      <c r="AB483" t="n">
        <v>4</v>
      </c>
      <c r="AC483" t="n">
        <v>5</v>
      </c>
      <c r="AD483" t="n">
        <v>20</v>
      </c>
      <c r="AE483" t="n">
        <v>25</v>
      </c>
      <c r="AF483" t="n">
        <v>7</v>
      </c>
      <c r="AG483" t="n">
        <v>8</v>
      </c>
      <c r="AH483" t="n">
        <v>7</v>
      </c>
      <c r="AI483" t="n">
        <v>7</v>
      </c>
      <c r="AJ483" t="n">
        <v>10</v>
      </c>
      <c r="AK483" t="n">
        <v>14</v>
      </c>
      <c r="AL483" t="n">
        <v>1</v>
      </c>
      <c r="AM483" t="n">
        <v>2</v>
      </c>
      <c r="AN483" t="n">
        <v>0</v>
      </c>
      <c r="AO483" t="n">
        <v>0</v>
      </c>
      <c r="AP483" t="inlineStr">
        <is>
          <t>No</t>
        </is>
      </c>
      <c r="AQ483" t="inlineStr">
        <is>
          <t>Yes</t>
        </is>
      </c>
      <c r="AR483">
        <f>HYPERLINK("http://catalog.hathitrust.org/Record/002643175","HathiTrust Record")</f>
        <v/>
      </c>
      <c r="AS483">
        <f>HYPERLINK("https://creighton-primo.hosted.exlibrisgroup.com/primo-explore/search?tab=default_tab&amp;search_scope=EVERYTHING&amp;vid=01CRU&amp;lang=en_US&amp;offset=0&amp;query=any,contains,991002008529702656","Catalog Record")</f>
        <v/>
      </c>
      <c r="AT483">
        <f>HYPERLINK("http://www.worldcat.org/oclc/25546174","WorldCat Record")</f>
        <v/>
      </c>
      <c r="AU483" t="inlineStr">
        <is>
          <t>28407655:eng</t>
        </is>
      </c>
      <c r="AV483" t="inlineStr">
        <is>
          <t>25546174</t>
        </is>
      </c>
      <c r="AW483" t="inlineStr">
        <is>
          <t>991002008529702656</t>
        </is>
      </c>
      <c r="AX483" t="inlineStr">
        <is>
          <t>991002008529702656</t>
        </is>
      </c>
      <c r="AY483" t="inlineStr">
        <is>
          <t>2261140790002656</t>
        </is>
      </c>
      <c r="AZ483" t="inlineStr">
        <is>
          <t>BOOK</t>
        </is>
      </c>
      <c r="BB483" t="inlineStr">
        <is>
          <t>9780517585917</t>
        </is>
      </c>
      <c r="BC483" t="inlineStr">
        <is>
          <t>32285001728350</t>
        </is>
      </c>
      <c r="BD483" t="inlineStr">
        <is>
          <t>893603104</t>
        </is>
      </c>
    </row>
    <row r="484">
      <c r="A484" t="inlineStr">
        <is>
          <t>No</t>
        </is>
      </c>
      <c r="B484" t="inlineStr">
        <is>
          <t>QB843.B55 K38</t>
        </is>
      </c>
      <c r="C484" t="inlineStr">
        <is>
          <t>0                      QB 0843000B  55                 K  38</t>
        </is>
      </c>
      <c r="D484" t="inlineStr">
        <is>
          <t>Black holes and warped spacetime / William J. Kaufman, III.</t>
        </is>
      </c>
      <c r="F484" t="inlineStr">
        <is>
          <t>No</t>
        </is>
      </c>
      <c r="G484" t="inlineStr">
        <is>
          <t>1</t>
        </is>
      </c>
      <c r="H484" t="inlineStr">
        <is>
          <t>No</t>
        </is>
      </c>
      <c r="I484" t="inlineStr">
        <is>
          <t>No</t>
        </is>
      </c>
      <c r="J484" t="inlineStr">
        <is>
          <t>0</t>
        </is>
      </c>
      <c r="K484" t="inlineStr">
        <is>
          <t>Kaufmann, William J.</t>
        </is>
      </c>
      <c r="L484" t="inlineStr">
        <is>
          <t>San Francisco : W. H. Freeman, c1979.</t>
        </is>
      </c>
      <c r="M484" t="inlineStr">
        <is>
          <t>1979</t>
        </is>
      </c>
      <c r="O484" t="inlineStr">
        <is>
          <t>eng</t>
        </is>
      </c>
      <c r="P484" t="inlineStr">
        <is>
          <t>cau</t>
        </is>
      </c>
      <c r="R484" t="inlineStr">
        <is>
          <t xml:space="preserve">QB </t>
        </is>
      </c>
      <c r="S484" t="n">
        <v>16</v>
      </c>
      <c r="T484" t="n">
        <v>16</v>
      </c>
      <c r="U484" t="inlineStr">
        <is>
          <t>2003-04-17</t>
        </is>
      </c>
      <c r="V484" t="inlineStr">
        <is>
          <t>2003-04-17</t>
        </is>
      </c>
      <c r="W484" t="inlineStr">
        <is>
          <t>1991-12-20</t>
        </is>
      </c>
      <c r="X484" t="inlineStr">
        <is>
          <t>1991-12-20</t>
        </is>
      </c>
      <c r="Y484" t="n">
        <v>1078</v>
      </c>
      <c r="Z484" t="n">
        <v>917</v>
      </c>
      <c r="AA484" t="n">
        <v>943</v>
      </c>
      <c r="AB484" t="n">
        <v>7</v>
      </c>
      <c r="AC484" t="n">
        <v>7</v>
      </c>
      <c r="AD484" t="n">
        <v>30</v>
      </c>
      <c r="AE484" t="n">
        <v>30</v>
      </c>
      <c r="AF484" t="n">
        <v>15</v>
      </c>
      <c r="AG484" t="n">
        <v>15</v>
      </c>
      <c r="AH484" t="n">
        <v>6</v>
      </c>
      <c r="AI484" t="n">
        <v>6</v>
      </c>
      <c r="AJ484" t="n">
        <v>15</v>
      </c>
      <c r="AK484" t="n">
        <v>15</v>
      </c>
      <c r="AL484" t="n">
        <v>4</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HYPERLINK("https://creighton-primo.hosted.exlibrisgroup.com/primo-explore/search?tab=default_tab&amp;search_scope=EVERYTHING&amp;vid=01CRU&amp;lang=en_US&amp;offset=0&amp;query=any,contains,991004804709702656","Catalog Record")</f>
        <v/>
      </c>
      <c r="AT484">
        <f>HYPERLINK("http://www.worldcat.org/oclc/5239621","WorldCat Record")</f>
        <v/>
      </c>
      <c r="AU484" t="inlineStr">
        <is>
          <t>447191:eng</t>
        </is>
      </c>
      <c r="AV484" t="inlineStr">
        <is>
          <t>5239621</t>
        </is>
      </c>
      <c r="AW484" t="inlineStr">
        <is>
          <t>991004804709702656</t>
        </is>
      </c>
      <c r="AX484" t="inlineStr">
        <is>
          <t>991004804709702656</t>
        </is>
      </c>
      <c r="AY484" t="inlineStr">
        <is>
          <t>2264314790002656</t>
        </is>
      </c>
      <c r="AZ484" t="inlineStr">
        <is>
          <t>BOOK</t>
        </is>
      </c>
      <c r="BB484" t="inlineStr">
        <is>
          <t>9780716711520</t>
        </is>
      </c>
      <c r="BC484" t="inlineStr">
        <is>
          <t>32285000908607</t>
        </is>
      </c>
      <c r="BD484" t="inlineStr">
        <is>
          <t>893628372</t>
        </is>
      </c>
    </row>
    <row r="485">
      <c r="A485" t="inlineStr">
        <is>
          <t>No</t>
        </is>
      </c>
      <c r="B485" t="inlineStr">
        <is>
          <t>QB843.B55 M45 2003</t>
        </is>
      </c>
      <c r="C485" t="inlineStr">
        <is>
          <t>0                      QB 0843000B  55                 M  45          2003</t>
        </is>
      </c>
      <c r="D485" t="inlineStr">
        <is>
          <t>The black hole at the center of our galaxy / Fulvio Melia.</t>
        </is>
      </c>
      <c r="F485" t="inlineStr">
        <is>
          <t>No</t>
        </is>
      </c>
      <c r="G485" t="inlineStr">
        <is>
          <t>1</t>
        </is>
      </c>
      <c r="H485" t="inlineStr">
        <is>
          <t>No</t>
        </is>
      </c>
      <c r="I485" t="inlineStr">
        <is>
          <t>No</t>
        </is>
      </c>
      <c r="J485" t="inlineStr">
        <is>
          <t>0</t>
        </is>
      </c>
      <c r="K485" t="inlineStr">
        <is>
          <t>Melia, Fulvio.</t>
        </is>
      </c>
      <c r="L485" t="inlineStr">
        <is>
          <t>Princeton : Princeton University Press, c2003.</t>
        </is>
      </c>
      <c r="M485" t="inlineStr">
        <is>
          <t>2003</t>
        </is>
      </c>
      <c r="O485" t="inlineStr">
        <is>
          <t>eng</t>
        </is>
      </c>
      <c r="P485" t="inlineStr">
        <is>
          <t>nju</t>
        </is>
      </c>
      <c r="R485" t="inlineStr">
        <is>
          <t xml:space="preserve">QB </t>
        </is>
      </c>
      <c r="S485" t="n">
        <v>6</v>
      </c>
      <c r="T485" t="n">
        <v>6</v>
      </c>
      <c r="U485" t="inlineStr">
        <is>
          <t>2008-10-08</t>
        </is>
      </c>
      <c r="V485" t="inlineStr">
        <is>
          <t>2008-10-08</t>
        </is>
      </c>
      <c r="W485" t="inlineStr">
        <is>
          <t>2003-08-06</t>
        </is>
      </c>
      <c r="X485" t="inlineStr">
        <is>
          <t>2003-08-06</t>
        </is>
      </c>
      <c r="Y485" t="n">
        <v>1096</v>
      </c>
      <c r="Z485" t="n">
        <v>1002</v>
      </c>
      <c r="AA485" t="n">
        <v>1155</v>
      </c>
      <c r="AB485" t="n">
        <v>8</v>
      </c>
      <c r="AC485" t="n">
        <v>9</v>
      </c>
      <c r="AD485" t="n">
        <v>32</v>
      </c>
      <c r="AE485" t="n">
        <v>40</v>
      </c>
      <c r="AF485" t="n">
        <v>14</v>
      </c>
      <c r="AG485" t="n">
        <v>18</v>
      </c>
      <c r="AH485" t="n">
        <v>5</v>
      </c>
      <c r="AI485" t="n">
        <v>8</v>
      </c>
      <c r="AJ485" t="n">
        <v>14</v>
      </c>
      <c r="AK485" t="n">
        <v>18</v>
      </c>
      <c r="AL485" t="n">
        <v>6</v>
      </c>
      <c r="AM485" t="n">
        <v>7</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HYPERLINK("https://creighton-primo.hosted.exlibrisgroup.com/primo-explore/search?tab=default_tab&amp;search_scope=EVERYTHING&amp;vid=01CRU&amp;lang=en_US&amp;offset=0&amp;query=any,contains,991004090389702656","Catalog Record")</f>
        <v/>
      </c>
      <c r="AT485">
        <f>HYPERLINK("http://www.worldcat.org/oclc/50510945","WorldCat Record")</f>
        <v/>
      </c>
      <c r="AU485" t="inlineStr">
        <is>
          <t>6114448:eng</t>
        </is>
      </c>
      <c r="AV485" t="inlineStr">
        <is>
          <t>50510945</t>
        </is>
      </c>
      <c r="AW485" t="inlineStr">
        <is>
          <t>991004090389702656</t>
        </is>
      </c>
      <c r="AX485" t="inlineStr">
        <is>
          <t>991004090389702656</t>
        </is>
      </c>
      <c r="AY485" t="inlineStr">
        <is>
          <t>2259387440002656</t>
        </is>
      </c>
      <c r="AZ485" t="inlineStr">
        <is>
          <t>BOOK</t>
        </is>
      </c>
      <c r="BB485" t="inlineStr">
        <is>
          <t>9780691095059</t>
        </is>
      </c>
      <c r="BC485" t="inlineStr">
        <is>
          <t>32285004758909</t>
        </is>
      </c>
      <c r="BD485" t="inlineStr">
        <is>
          <t>893417215</t>
        </is>
      </c>
    </row>
    <row r="486">
      <c r="A486" t="inlineStr">
        <is>
          <t>No</t>
        </is>
      </c>
      <c r="B486" t="inlineStr">
        <is>
          <t>QB843.B55 M66 1976</t>
        </is>
      </c>
      <c r="C486" t="inlineStr">
        <is>
          <t>0                      QB 0843000B  55                 M  66          1976</t>
        </is>
      </c>
      <c r="D486" t="inlineStr">
        <is>
          <t>Black holes in space / Patrick Moore and Iain Nicolson.</t>
        </is>
      </c>
      <c r="F486" t="inlineStr">
        <is>
          <t>No</t>
        </is>
      </c>
      <c r="G486" t="inlineStr">
        <is>
          <t>1</t>
        </is>
      </c>
      <c r="H486" t="inlineStr">
        <is>
          <t>No</t>
        </is>
      </c>
      <c r="I486" t="inlineStr">
        <is>
          <t>No</t>
        </is>
      </c>
      <c r="J486" t="inlineStr">
        <is>
          <t>0</t>
        </is>
      </c>
      <c r="K486" t="inlineStr">
        <is>
          <t>Moore, Patrick.</t>
        </is>
      </c>
      <c r="L486" t="inlineStr">
        <is>
          <t>New York : Norton, 1976, c1974.</t>
        </is>
      </c>
      <c r="M486" t="inlineStr">
        <is>
          <t>1976</t>
        </is>
      </c>
      <c r="N486" t="inlineStr">
        <is>
          <t>1st American ed.</t>
        </is>
      </c>
      <c r="O486" t="inlineStr">
        <is>
          <t>eng</t>
        </is>
      </c>
      <c r="P486" t="inlineStr">
        <is>
          <t>nyu</t>
        </is>
      </c>
      <c r="R486" t="inlineStr">
        <is>
          <t xml:space="preserve">QB </t>
        </is>
      </c>
      <c r="S486" t="n">
        <v>3</v>
      </c>
      <c r="T486" t="n">
        <v>3</v>
      </c>
      <c r="U486" t="inlineStr">
        <is>
          <t>1998-02-21</t>
        </is>
      </c>
      <c r="V486" t="inlineStr">
        <is>
          <t>1998-02-21</t>
        </is>
      </c>
      <c r="W486" t="inlineStr">
        <is>
          <t>1992-02-26</t>
        </is>
      </c>
      <c r="X486" t="inlineStr">
        <is>
          <t>1992-02-26</t>
        </is>
      </c>
      <c r="Y486" t="n">
        <v>648</v>
      </c>
      <c r="Z486" t="n">
        <v>614</v>
      </c>
      <c r="AA486" t="n">
        <v>646</v>
      </c>
      <c r="AB486" t="n">
        <v>5</v>
      </c>
      <c r="AC486" t="n">
        <v>6</v>
      </c>
      <c r="AD486" t="n">
        <v>15</v>
      </c>
      <c r="AE486" t="n">
        <v>17</v>
      </c>
      <c r="AF486" t="n">
        <v>6</v>
      </c>
      <c r="AG486" t="n">
        <v>6</v>
      </c>
      <c r="AH486" t="n">
        <v>5</v>
      </c>
      <c r="AI486" t="n">
        <v>6</v>
      </c>
      <c r="AJ486" t="n">
        <v>6</v>
      </c>
      <c r="AK486" t="n">
        <v>6</v>
      </c>
      <c r="AL486" t="n">
        <v>2</v>
      </c>
      <c r="AM486" t="n">
        <v>3</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HYPERLINK("https://creighton-primo.hosted.exlibrisgroup.com/primo-explore/search?tab=default_tab&amp;search_scope=EVERYTHING&amp;vid=01CRU&amp;lang=en_US&amp;offset=0&amp;query=any,contains,991003746659702656","Catalog Record")</f>
        <v/>
      </c>
      <c r="AT486">
        <f>HYPERLINK("http://www.worldcat.org/oclc/1418769","WorldCat Record")</f>
        <v/>
      </c>
      <c r="AU486" t="inlineStr">
        <is>
          <t>460247:eng</t>
        </is>
      </c>
      <c r="AV486" t="inlineStr">
        <is>
          <t>1418769</t>
        </is>
      </c>
      <c r="AW486" t="inlineStr">
        <is>
          <t>991003746659702656</t>
        </is>
      </c>
      <c r="AX486" t="inlineStr">
        <is>
          <t>991003746659702656</t>
        </is>
      </c>
      <c r="AY486" t="inlineStr">
        <is>
          <t>2261184360002656</t>
        </is>
      </c>
      <c r="AZ486" t="inlineStr">
        <is>
          <t>BOOK</t>
        </is>
      </c>
      <c r="BB486" t="inlineStr">
        <is>
          <t>9780393064056</t>
        </is>
      </c>
      <c r="BC486" t="inlineStr">
        <is>
          <t>32285000974658</t>
        </is>
      </c>
      <c r="BD486" t="inlineStr">
        <is>
          <t>893252718</t>
        </is>
      </c>
    </row>
    <row r="487">
      <c r="A487" t="inlineStr">
        <is>
          <t>No</t>
        </is>
      </c>
      <c r="B487" t="inlineStr">
        <is>
          <t>QB843.B55 N6713 1990</t>
        </is>
      </c>
      <c r="C487" t="inlineStr">
        <is>
          <t>0                      QB 0843000B  55                 N  6713        1990</t>
        </is>
      </c>
      <c r="D487" t="inlineStr">
        <is>
          <t>Black holes and the universe / Igor Novikov ; translated by Vitaly Kisin.</t>
        </is>
      </c>
      <c r="F487" t="inlineStr">
        <is>
          <t>No</t>
        </is>
      </c>
      <c r="G487" t="inlineStr">
        <is>
          <t>1</t>
        </is>
      </c>
      <c r="H487" t="inlineStr">
        <is>
          <t>No</t>
        </is>
      </c>
      <c r="I487" t="inlineStr">
        <is>
          <t>No</t>
        </is>
      </c>
      <c r="J487" t="inlineStr">
        <is>
          <t>0</t>
        </is>
      </c>
      <c r="K487" t="inlineStr">
        <is>
          <t>Novikov, I. D. (Igorʹ Dmitrievich)</t>
        </is>
      </c>
      <c r="L487" t="inlineStr">
        <is>
          <t>Cambridge [England] ; New York : Cambridge University Press, 1990.</t>
        </is>
      </c>
      <c r="M487" t="inlineStr">
        <is>
          <t>1990</t>
        </is>
      </c>
      <c r="O487" t="inlineStr">
        <is>
          <t>eng</t>
        </is>
      </c>
      <c r="P487" t="inlineStr">
        <is>
          <t>enk</t>
        </is>
      </c>
      <c r="R487" t="inlineStr">
        <is>
          <t xml:space="preserve">QB </t>
        </is>
      </c>
      <c r="S487" t="n">
        <v>12</v>
      </c>
      <c r="T487" t="n">
        <v>12</v>
      </c>
      <c r="U487" t="inlineStr">
        <is>
          <t>2007-10-28</t>
        </is>
      </c>
      <c r="V487" t="inlineStr">
        <is>
          <t>2007-10-28</t>
        </is>
      </c>
      <c r="W487" t="inlineStr">
        <is>
          <t>1991-08-13</t>
        </is>
      </c>
      <c r="X487" t="inlineStr">
        <is>
          <t>1991-08-13</t>
        </is>
      </c>
      <c r="Y487" t="n">
        <v>565</v>
      </c>
      <c r="Z487" t="n">
        <v>408</v>
      </c>
      <c r="AA487" t="n">
        <v>467</v>
      </c>
      <c r="AB487" t="n">
        <v>1</v>
      </c>
      <c r="AC487" t="n">
        <v>1</v>
      </c>
      <c r="AD487" t="n">
        <v>12</v>
      </c>
      <c r="AE487" t="n">
        <v>14</v>
      </c>
      <c r="AF487" t="n">
        <v>5</v>
      </c>
      <c r="AG487" t="n">
        <v>5</v>
      </c>
      <c r="AH487" t="n">
        <v>3</v>
      </c>
      <c r="AI487" t="n">
        <v>3</v>
      </c>
      <c r="AJ487" t="n">
        <v>8</v>
      </c>
      <c r="AK487" t="n">
        <v>10</v>
      </c>
      <c r="AL487" t="n">
        <v>0</v>
      </c>
      <c r="AM487" t="n">
        <v>0</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HYPERLINK("https://creighton-primo.hosted.exlibrisgroup.com/primo-explore/search?tab=default_tab&amp;search_scope=EVERYTHING&amp;vid=01CRU&amp;lang=en_US&amp;offset=0&amp;query=any,contains,991001550599702656","Catalog Record")</f>
        <v/>
      </c>
      <c r="AT487">
        <f>HYPERLINK("http://www.worldcat.org/oclc/20219581","WorldCat Record")</f>
        <v/>
      </c>
      <c r="AU487" t="inlineStr">
        <is>
          <t>7004354:eng</t>
        </is>
      </c>
      <c r="AV487" t="inlineStr">
        <is>
          <t>20219581</t>
        </is>
      </c>
      <c r="AW487" t="inlineStr">
        <is>
          <t>991001550599702656</t>
        </is>
      </c>
      <c r="AX487" t="inlineStr">
        <is>
          <t>991001550599702656</t>
        </is>
      </c>
      <c r="AY487" t="inlineStr">
        <is>
          <t>2272163340002656</t>
        </is>
      </c>
      <c r="AZ487" t="inlineStr">
        <is>
          <t>BOOK</t>
        </is>
      </c>
      <c r="BB487" t="inlineStr">
        <is>
          <t>9780521366830</t>
        </is>
      </c>
      <c r="BC487" t="inlineStr">
        <is>
          <t>32285000700400</t>
        </is>
      </c>
      <c r="BD487" t="inlineStr">
        <is>
          <t>893590430</t>
        </is>
      </c>
    </row>
    <row r="488">
      <c r="A488" t="inlineStr">
        <is>
          <t>No</t>
        </is>
      </c>
      <c r="B488" t="inlineStr">
        <is>
          <t>QB843.B55 P53 1996</t>
        </is>
      </c>
      <c r="C488" t="inlineStr">
        <is>
          <t>0                      QB 0843000B  55                 P  53          1996</t>
        </is>
      </c>
      <c r="D488" t="inlineStr">
        <is>
          <t>Black holes : a traveler's guide / Clifford A. Pickover.</t>
        </is>
      </c>
      <c r="F488" t="inlineStr">
        <is>
          <t>No</t>
        </is>
      </c>
      <c r="G488" t="inlineStr">
        <is>
          <t>1</t>
        </is>
      </c>
      <c r="H488" t="inlineStr">
        <is>
          <t>No</t>
        </is>
      </c>
      <c r="I488" t="inlineStr">
        <is>
          <t>No</t>
        </is>
      </c>
      <c r="J488" t="inlineStr">
        <is>
          <t>0</t>
        </is>
      </c>
      <c r="K488" t="inlineStr">
        <is>
          <t>Pickover, Clifford A.</t>
        </is>
      </c>
      <c r="L488" t="inlineStr">
        <is>
          <t>New York : Wiley, c1996.</t>
        </is>
      </c>
      <c r="M488" t="inlineStr">
        <is>
          <t>1996</t>
        </is>
      </c>
      <c r="O488" t="inlineStr">
        <is>
          <t>eng</t>
        </is>
      </c>
      <c r="P488" t="inlineStr">
        <is>
          <t>nyu</t>
        </is>
      </c>
      <c r="R488" t="inlineStr">
        <is>
          <t xml:space="preserve">QB </t>
        </is>
      </c>
      <c r="S488" t="n">
        <v>13</v>
      </c>
      <c r="T488" t="n">
        <v>13</v>
      </c>
      <c r="U488" t="inlineStr">
        <is>
          <t>2008-10-08</t>
        </is>
      </c>
      <c r="V488" t="inlineStr">
        <is>
          <t>2008-10-08</t>
        </is>
      </c>
      <c r="W488" t="inlineStr">
        <is>
          <t>1996-06-07</t>
        </is>
      </c>
      <c r="X488" t="inlineStr">
        <is>
          <t>1996-06-07</t>
        </is>
      </c>
      <c r="Y488" t="n">
        <v>846</v>
      </c>
      <c r="Z488" t="n">
        <v>738</v>
      </c>
      <c r="AA488" t="n">
        <v>755</v>
      </c>
      <c r="AB488" t="n">
        <v>6</v>
      </c>
      <c r="AC488" t="n">
        <v>6</v>
      </c>
      <c r="AD488" t="n">
        <v>16</v>
      </c>
      <c r="AE488" t="n">
        <v>16</v>
      </c>
      <c r="AF488" t="n">
        <v>2</v>
      </c>
      <c r="AG488" t="n">
        <v>2</v>
      </c>
      <c r="AH488" t="n">
        <v>4</v>
      </c>
      <c r="AI488" t="n">
        <v>4</v>
      </c>
      <c r="AJ488" t="n">
        <v>10</v>
      </c>
      <c r="AK488" t="n">
        <v>10</v>
      </c>
      <c r="AL488" t="n">
        <v>3</v>
      </c>
      <c r="AM488" t="n">
        <v>3</v>
      </c>
      <c r="AN488" t="n">
        <v>0</v>
      </c>
      <c r="AO488" t="n">
        <v>0</v>
      </c>
      <c r="AP488" t="inlineStr">
        <is>
          <t>No</t>
        </is>
      </c>
      <c r="AQ488" t="inlineStr">
        <is>
          <t>Yes</t>
        </is>
      </c>
      <c r="AR488">
        <f>HYPERLINK("http://catalog.hathitrust.org/Record/003057040","HathiTrust Record")</f>
        <v/>
      </c>
      <c r="AS488">
        <f>HYPERLINK("https://creighton-primo.hosted.exlibrisgroup.com/primo-explore/search?tab=default_tab&amp;search_scope=EVERYTHING&amp;vid=01CRU&amp;lang=en_US&amp;offset=0&amp;query=any,contains,991002550499702656","Catalog Record")</f>
        <v/>
      </c>
      <c r="AT488">
        <f>HYPERLINK("http://www.worldcat.org/oclc/33132610","WorldCat Record")</f>
        <v/>
      </c>
      <c r="AU488" t="inlineStr">
        <is>
          <t>549673:eng</t>
        </is>
      </c>
      <c r="AV488" t="inlineStr">
        <is>
          <t>33132610</t>
        </is>
      </c>
      <c r="AW488" t="inlineStr">
        <is>
          <t>991002550499702656</t>
        </is>
      </c>
      <c r="AX488" t="inlineStr">
        <is>
          <t>991002550499702656</t>
        </is>
      </c>
      <c r="AY488" t="inlineStr">
        <is>
          <t>2269226620002656</t>
        </is>
      </c>
      <c r="AZ488" t="inlineStr">
        <is>
          <t>BOOK</t>
        </is>
      </c>
      <c r="BB488" t="inlineStr">
        <is>
          <t>9780471125808</t>
        </is>
      </c>
      <c r="BC488" t="inlineStr">
        <is>
          <t>32285004758768</t>
        </is>
      </c>
      <c r="BD488" t="inlineStr">
        <is>
          <t>893233100</t>
        </is>
      </c>
    </row>
    <row r="489">
      <c r="A489" t="inlineStr">
        <is>
          <t>No</t>
        </is>
      </c>
      <c r="B489" t="inlineStr">
        <is>
          <t>QB843.B55 S5 1983</t>
        </is>
      </c>
      <c r="C489" t="inlineStr">
        <is>
          <t>0                      QB 0843000B  55                 S  5           1983</t>
        </is>
      </c>
      <c r="D489" t="inlineStr">
        <is>
          <t>Black holes, white dwarfs, and neutron stars : the physics of compact objects / Stuart L. Shapiro, Saul A. Teukolsky.</t>
        </is>
      </c>
      <c r="F489" t="inlineStr">
        <is>
          <t>No</t>
        </is>
      </c>
      <c r="G489" t="inlineStr">
        <is>
          <t>1</t>
        </is>
      </c>
      <c r="H489" t="inlineStr">
        <is>
          <t>No</t>
        </is>
      </c>
      <c r="I489" t="inlineStr">
        <is>
          <t>No</t>
        </is>
      </c>
      <c r="J489" t="inlineStr">
        <is>
          <t>0</t>
        </is>
      </c>
      <c r="K489" t="inlineStr">
        <is>
          <t>Shapiro, Stuart L. (Stuart Louis), 1947-</t>
        </is>
      </c>
      <c r="L489" t="inlineStr">
        <is>
          <t>New York : Wiley, c1983.</t>
        </is>
      </c>
      <c r="M489" t="inlineStr">
        <is>
          <t>1983</t>
        </is>
      </c>
      <c r="O489" t="inlineStr">
        <is>
          <t>eng</t>
        </is>
      </c>
      <c r="P489" t="inlineStr">
        <is>
          <t>nyu</t>
        </is>
      </c>
      <c r="R489" t="inlineStr">
        <is>
          <t xml:space="preserve">QB </t>
        </is>
      </c>
      <c r="S489" t="n">
        <v>18</v>
      </c>
      <c r="T489" t="n">
        <v>18</v>
      </c>
      <c r="U489" t="inlineStr">
        <is>
          <t>2007-12-02</t>
        </is>
      </c>
      <c r="V489" t="inlineStr">
        <is>
          <t>2007-12-02</t>
        </is>
      </c>
      <c r="W489" t="inlineStr">
        <is>
          <t>1990-03-28</t>
        </is>
      </c>
      <c r="X489" t="inlineStr">
        <is>
          <t>1990-03-28</t>
        </is>
      </c>
      <c r="Y489" t="n">
        <v>807</v>
      </c>
      <c r="Z489" t="n">
        <v>632</v>
      </c>
      <c r="AA489" t="n">
        <v>688</v>
      </c>
      <c r="AB489" t="n">
        <v>2</v>
      </c>
      <c r="AC489" t="n">
        <v>2</v>
      </c>
      <c r="AD489" t="n">
        <v>23</v>
      </c>
      <c r="AE489" t="n">
        <v>23</v>
      </c>
      <c r="AF489" t="n">
        <v>10</v>
      </c>
      <c r="AG489" t="n">
        <v>10</v>
      </c>
      <c r="AH489" t="n">
        <v>7</v>
      </c>
      <c r="AI489" t="n">
        <v>7</v>
      </c>
      <c r="AJ489" t="n">
        <v>11</v>
      </c>
      <c r="AK489" t="n">
        <v>11</v>
      </c>
      <c r="AL489" t="n">
        <v>1</v>
      </c>
      <c r="AM489" t="n">
        <v>1</v>
      </c>
      <c r="AN489" t="n">
        <v>0</v>
      </c>
      <c r="AO489" t="n">
        <v>0</v>
      </c>
      <c r="AP489" t="inlineStr">
        <is>
          <t>No</t>
        </is>
      </c>
      <c r="AQ489" t="inlineStr">
        <is>
          <t>Yes</t>
        </is>
      </c>
      <c r="AR489">
        <f>HYPERLINK("http://catalog.hathitrust.org/Record/000238294","HathiTrust Record")</f>
        <v/>
      </c>
      <c r="AS489">
        <f>HYPERLINK("https://creighton-primo.hosted.exlibrisgroup.com/primo-explore/search?tab=default_tab&amp;search_scope=EVERYTHING&amp;vid=01CRU&amp;lang=en_US&amp;offset=0&amp;query=any,contains,991000101309702656","Catalog Record")</f>
        <v/>
      </c>
      <c r="AT489">
        <f>HYPERLINK("http://www.worldcat.org/oclc/8953728","WorldCat Record")</f>
        <v/>
      </c>
      <c r="AU489" t="inlineStr">
        <is>
          <t>796994654:eng</t>
        </is>
      </c>
      <c r="AV489" t="inlineStr">
        <is>
          <t>8953728</t>
        </is>
      </c>
      <c r="AW489" t="inlineStr">
        <is>
          <t>991000101309702656</t>
        </is>
      </c>
      <c r="AX489" t="inlineStr">
        <is>
          <t>991000101309702656</t>
        </is>
      </c>
      <c r="AY489" t="inlineStr">
        <is>
          <t>2269561680002656</t>
        </is>
      </c>
      <c r="AZ489" t="inlineStr">
        <is>
          <t>BOOK</t>
        </is>
      </c>
      <c r="BB489" t="inlineStr">
        <is>
          <t>9780471873167</t>
        </is>
      </c>
      <c r="BC489" t="inlineStr">
        <is>
          <t>32285000097260</t>
        </is>
      </c>
      <c r="BD489" t="inlineStr">
        <is>
          <t>893595264</t>
        </is>
      </c>
    </row>
    <row r="490">
      <c r="A490" t="inlineStr">
        <is>
          <t>No</t>
        </is>
      </c>
      <c r="B490" t="inlineStr">
        <is>
          <t>QB843.B55 S54 1980</t>
        </is>
      </c>
      <c r="C490" t="inlineStr">
        <is>
          <t>0                      QB 0843000B  55                 S  54          1980</t>
        </is>
      </c>
      <c r="D490" t="inlineStr">
        <is>
          <t>Black holes, quasars, and the universe / Harry L. Shipman.</t>
        </is>
      </c>
      <c r="F490" t="inlineStr">
        <is>
          <t>No</t>
        </is>
      </c>
      <c r="G490" t="inlineStr">
        <is>
          <t>1</t>
        </is>
      </c>
      <c r="H490" t="inlineStr">
        <is>
          <t>No</t>
        </is>
      </c>
      <c r="I490" t="inlineStr">
        <is>
          <t>No</t>
        </is>
      </c>
      <c r="J490" t="inlineStr">
        <is>
          <t>0</t>
        </is>
      </c>
      <c r="K490" t="inlineStr">
        <is>
          <t>Shipman, Harry L., 1948-</t>
        </is>
      </c>
      <c r="L490" t="inlineStr">
        <is>
          <t>Boston : Houghton Mifflin, c1980.</t>
        </is>
      </c>
      <c r="M490" t="inlineStr">
        <is>
          <t>1980</t>
        </is>
      </c>
      <c r="N490" t="inlineStr">
        <is>
          <t>2d ed.</t>
        </is>
      </c>
      <c r="O490" t="inlineStr">
        <is>
          <t>eng</t>
        </is>
      </c>
      <c r="P490" t="inlineStr">
        <is>
          <t>mau</t>
        </is>
      </c>
      <c r="R490" t="inlineStr">
        <is>
          <t xml:space="preserve">QB </t>
        </is>
      </c>
      <c r="S490" t="n">
        <v>9</v>
      </c>
      <c r="T490" t="n">
        <v>9</v>
      </c>
      <c r="U490" t="inlineStr">
        <is>
          <t>1999-03-02</t>
        </is>
      </c>
      <c r="V490" t="inlineStr">
        <is>
          <t>1999-03-02</t>
        </is>
      </c>
      <c r="W490" t="inlineStr">
        <is>
          <t>1990-03-28</t>
        </is>
      </c>
      <c r="X490" t="inlineStr">
        <is>
          <t>1990-03-28</t>
        </is>
      </c>
      <c r="Y490" t="n">
        <v>490</v>
      </c>
      <c r="Z490" t="n">
        <v>425</v>
      </c>
      <c r="AA490" t="n">
        <v>1154</v>
      </c>
      <c r="AB490" t="n">
        <v>5</v>
      </c>
      <c r="AC490" t="n">
        <v>10</v>
      </c>
      <c r="AD490" t="n">
        <v>14</v>
      </c>
      <c r="AE490" t="n">
        <v>40</v>
      </c>
      <c r="AF490" t="n">
        <v>6</v>
      </c>
      <c r="AG490" t="n">
        <v>18</v>
      </c>
      <c r="AH490" t="n">
        <v>3</v>
      </c>
      <c r="AI490" t="n">
        <v>8</v>
      </c>
      <c r="AJ490" t="n">
        <v>4</v>
      </c>
      <c r="AK490" t="n">
        <v>14</v>
      </c>
      <c r="AL490" t="n">
        <v>4</v>
      </c>
      <c r="AM490" t="n">
        <v>8</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HYPERLINK("https://creighton-primo.hosted.exlibrisgroup.com/primo-explore/search?tab=default_tab&amp;search_scope=EVERYTHING&amp;vid=01CRU&amp;lang=en_US&amp;offset=0&amp;query=any,contains,991005036049702656","Catalog Record")</f>
        <v/>
      </c>
      <c r="AT490">
        <f>HYPERLINK("http://www.worldcat.org/oclc/6761479","WorldCat Record")</f>
        <v/>
      </c>
      <c r="AU490" t="inlineStr">
        <is>
          <t>3358131:eng</t>
        </is>
      </c>
      <c r="AV490" t="inlineStr">
        <is>
          <t>6761479</t>
        </is>
      </c>
      <c r="AW490" t="inlineStr">
        <is>
          <t>991005036049702656</t>
        </is>
      </c>
      <c r="AX490" t="inlineStr">
        <is>
          <t>991005036049702656</t>
        </is>
      </c>
      <c r="AY490" t="inlineStr">
        <is>
          <t>2260993580002656</t>
        </is>
      </c>
      <c r="AZ490" t="inlineStr">
        <is>
          <t>BOOK</t>
        </is>
      </c>
      <c r="BB490" t="inlineStr">
        <is>
          <t>9780395284995</t>
        </is>
      </c>
      <c r="BC490" t="inlineStr">
        <is>
          <t>32285000097278</t>
        </is>
      </c>
      <c r="BD490" t="inlineStr">
        <is>
          <t>893870413</t>
        </is>
      </c>
    </row>
    <row r="491">
      <c r="A491" t="inlineStr">
        <is>
          <t>No</t>
        </is>
      </c>
      <c r="B491" t="inlineStr">
        <is>
          <t>QB843.B55 S94</t>
        </is>
      </c>
      <c r="C491" t="inlineStr">
        <is>
          <t>0                      QB 0843000B  55                 S  94</t>
        </is>
      </c>
      <c r="D491" t="inlineStr">
        <is>
          <t>Black holes : the edge of space, the edge of time / Walter Sullivan ; [maps by Andrew Sabbatini ; diagrams by Bob Michaels].</t>
        </is>
      </c>
      <c r="F491" t="inlineStr">
        <is>
          <t>No</t>
        </is>
      </c>
      <c r="G491" t="inlineStr">
        <is>
          <t>1</t>
        </is>
      </c>
      <c r="H491" t="inlineStr">
        <is>
          <t>No</t>
        </is>
      </c>
      <c r="I491" t="inlineStr">
        <is>
          <t>No</t>
        </is>
      </c>
      <c r="J491" t="inlineStr">
        <is>
          <t>0</t>
        </is>
      </c>
      <c r="K491" t="inlineStr">
        <is>
          <t>Sullivan, Walter.</t>
        </is>
      </c>
      <c r="L491" t="inlineStr">
        <is>
          <t>Garden City, N.Y. : Doubleday, c1979.</t>
        </is>
      </c>
      <c r="M491" t="inlineStr">
        <is>
          <t>1979</t>
        </is>
      </c>
      <c r="N491" t="inlineStr">
        <is>
          <t>1st ed.</t>
        </is>
      </c>
      <c r="O491" t="inlineStr">
        <is>
          <t>eng</t>
        </is>
      </c>
      <c r="P491" t="inlineStr">
        <is>
          <t>nyu</t>
        </is>
      </c>
      <c r="R491" t="inlineStr">
        <is>
          <t xml:space="preserve">QB </t>
        </is>
      </c>
      <c r="S491" t="n">
        <v>4</v>
      </c>
      <c r="T491" t="n">
        <v>4</v>
      </c>
      <c r="U491" t="inlineStr">
        <is>
          <t>2003-04-17</t>
        </is>
      </c>
      <c r="V491" t="inlineStr">
        <is>
          <t>2003-04-17</t>
        </is>
      </c>
      <c r="W491" t="inlineStr">
        <is>
          <t>1992-02-24</t>
        </is>
      </c>
      <c r="X491" t="inlineStr">
        <is>
          <t>1992-02-24</t>
        </is>
      </c>
      <c r="Y491" t="n">
        <v>1190</v>
      </c>
      <c r="Z491" t="n">
        <v>1118</v>
      </c>
      <c r="AA491" t="n">
        <v>1167</v>
      </c>
      <c r="AB491" t="n">
        <v>7</v>
      </c>
      <c r="AC491" t="n">
        <v>7</v>
      </c>
      <c r="AD491" t="n">
        <v>17</v>
      </c>
      <c r="AE491" t="n">
        <v>17</v>
      </c>
      <c r="AF491" t="n">
        <v>9</v>
      </c>
      <c r="AG491" t="n">
        <v>9</v>
      </c>
      <c r="AH491" t="n">
        <v>1</v>
      </c>
      <c r="AI491" t="n">
        <v>1</v>
      </c>
      <c r="AJ491" t="n">
        <v>10</v>
      </c>
      <c r="AK491" t="n">
        <v>10</v>
      </c>
      <c r="AL491" t="n">
        <v>3</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HYPERLINK("https://creighton-primo.hosted.exlibrisgroup.com/primo-explore/search?tab=default_tab&amp;search_scope=EVERYTHING&amp;vid=01CRU&amp;lang=en_US&amp;offset=0&amp;query=any,contains,991004696309702656","Catalog Record")</f>
        <v/>
      </c>
      <c r="AT491">
        <f>HYPERLINK("http://www.worldcat.org/oclc/4641934","WorldCat Record")</f>
        <v/>
      </c>
      <c r="AU491" t="inlineStr">
        <is>
          <t>454035:eng</t>
        </is>
      </c>
      <c r="AV491" t="inlineStr">
        <is>
          <t>4641934</t>
        </is>
      </c>
      <c r="AW491" t="inlineStr">
        <is>
          <t>991004696309702656</t>
        </is>
      </c>
      <c r="AX491" t="inlineStr">
        <is>
          <t>991004696309702656</t>
        </is>
      </c>
      <c r="AY491" t="inlineStr">
        <is>
          <t>2257473650002656</t>
        </is>
      </c>
      <c r="AZ491" t="inlineStr">
        <is>
          <t>BOOK</t>
        </is>
      </c>
      <c r="BB491" t="inlineStr">
        <is>
          <t>9780385071567</t>
        </is>
      </c>
      <c r="BC491" t="inlineStr">
        <is>
          <t>32285000974641</t>
        </is>
      </c>
      <c r="BD491" t="inlineStr">
        <is>
          <t>893712911</t>
        </is>
      </c>
    </row>
    <row r="492">
      <c r="A492" t="inlineStr">
        <is>
          <t>No</t>
        </is>
      </c>
      <c r="B492" t="inlineStr">
        <is>
          <t>QB843.B55 T39 1974</t>
        </is>
      </c>
      <c r="C492" t="inlineStr">
        <is>
          <t>0                      QB 0843000B  55                 T  39          1974</t>
        </is>
      </c>
      <c r="D492" t="inlineStr">
        <is>
          <t>Black holes : the end of the universe? / [by] John Taylor.</t>
        </is>
      </c>
      <c r="F492" t="inlineStr">
        <is>
          <t>No</t>
        </is>
      </c>
      <c r="G492" t="inlineStr">
        <is>
          <t>1</t>
        </is>
      </c>
      <c r="H492" t="inlineStr">
        <is>
          <t>No</t>
        </is>
      </c>
      <c r="I492" t="inlineStr">
        <is>
          <t>No</t>
        </is>
      </c>
      <c r="J492" t="inlineStr">
        <is>
          <t>0</t>
        </is>
      </c>
      <c r="K492" t="inlineStr">
        <is>
          <t>Taylor, J. G. (John Gerald), 1931-2012.</t>
        </is>
      </c>
      <c r="L492" t="inlineStr">
        <is>
          <t>New York : Random House, [1974, c1973]</t>
        </is>
      </c>
      <c r="M492" t="inlineStr">
        <is>
          <t>1974</t>
        </is>
      </c>
      <c r="N492" t="inlineStr">
        <is>
          <t>[1st American ed.]</t>
        </is>
      </c>
      <c r="O492" t="inlineStr">
        <is>
          <t>eng</t>
        </is>
      </c>
      <c r="P492" t="inlineStr">
        <is>
          <t>nyu</t>
        </is>
      </c>
      <c r="R492" t="inlineStr">
        <is>
          <t xml:space="preserve">QB </t>
        </is>
      </c>
      <c r="S492" t="n">
        <v>5</v>
      </c>
      <c r="T492" t="n">
        <v>5</v>
      </c>
      <c r="U492" t="inlineStr">
        <is>
          <t>2007-03-25</t>
        </is>
      </c>
      <c r="V492" t="inlineStr">
        <is>
          <t>2007-03-25</t>
        </is>
      </c>
      <c r="W492" t="inlineStr">
        <is>
          <t>1990-04-02</t>
        </is>
      </c>
      <c r="X492" t="inlineStr">
        <is>
          <t>1990-04-02</t>
        </is>
      </c>
      <c r="Y492" t="n">
        <v>402</v>
      </c>
      <c r="Z492" t="n">
        <v>388</v>
      </c>
      <c r="AA492" t="n">
        <v>549</v>
      </c>
      <c r="AB492" t="n">
        <v>5</v>
      </c>
      <c r="AC492" t="n">
        <v>5</v>
      </c>
      <c r="AD492" t="n">
        <v>12</v>
      </c>
      <c r="AE492" t="n">
        <v>17</v>
      </c>
      <c r="AF492" t="n">
        <v>1</v>
      </c>
      <c r="AG492" t="n">
        <v>6</v>
      </c>
      <c r="AH492" t="n">
        <v>5</v>
      </c>
      <c r="AI492" t="n">
        <v>5</v>
      </c>
      <c r="AJ492" t="n">
        <v>5</v>
      </c>
      <c r="AK492" t="n">
        <v>7</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HYPERLINK("https://creighton-primo.hosted.exlibrisgroup.com/primo-explore/search?tab=default_tab&amp;search_scope=EVERYTHING&amp;vid=01CRU&amp;lang=en_US&amp;offset=0&amp;query=any,contains,991003282829702656","Catalog Record")</f>
        <v/>
      </c>
      <c r="AT492">
        <f>HYPERLINK("http://www.worldcat.org/oclc/805008","WorldCat Record")</f>
        <v/>
      </c>
      <c r="AU492" t="inlineStr">
        <is>
          <t>898933:eng</t>
        </is>
      </c>
      <c r="AV492" t="inlineStr">
        <is>
          <t>805008</t>
        </is>
      </c>
      <c r="AW492" t="inlineStr">
        <is>
          <t>991003282829702656</t>
        </is>
      </c>
      <c r="AX492" t="inlineStr">
        <is>
          <t>991003282829702656</t>
        </is>
      </c>
      <c r="AY492" t="inlineStr">
        <is>
          <t>2265405110002656</t>
        </is>
      </c>
      <c r="AZ492" t="inlineStr">
        <is>
          <t>BOOK</t>
        </is>
      </c>
      <c r="BB492" t="inlineStr">
        <is>
          <t>9780394490861</t>
        </is>
      </c>
      <c r="BC492" t="inlineStr">
        <is>
          <t>32285000106475</t>
        </is>
      </c>
      <c r="BD492" t="inlineStr">
        <is>
          <t>893592369</t>
        </is>
      </c>
    </row>
    <row r="493">
      <c r="A493" t="inlineStr">
        <is>
          <t>No</t>
        </is>
      </c>
      <c r="B493" t="inlineStr">
        <is>
          <t>QB843.N4 I79</t>
        </is>
      </c>
      <c r="C493" t="inlineStr">
        <is>
          <t>0                      QB 0843000N  4                  I  79</t>
        </is>
      </c>
      <c r="D493" t="inlineStr">
        <is>
          <t>Neutron stars / by J. M. Irvine.</t>
        </is>
      </c>
      <c r="F493" t="inlineStr">
        <is>
          <t>No</t>
        </is>
      </c>
      <c r="G493" t="inlineStr">
        <is>
          <t>1</t>
        </is>
      </c>
      <c r="H493" t="inlineStr">
        <is>
          <t>No</t>
        </is>
      </c>
      <c r="I493" t="inlineStr">
        <is>
          <t>No</t>
        </is>
      </c>
      <c r="J493" t="inlineStr">
        <is>
          <t>0</t>
        </is>
      </c>
      <c r="K493" t="inlineStr">
        <is>
          <t>Irvine, J. M. (John Maxwell)</t>
        </is>
      </c>
      <c r="L493" t="inlineStr">
        <is>
          <t>Oxford [Eng.] : Clarendon Press, 1978. --</t>
        </is>
      </c>
      <c r="M493" t="inlineStr">
        <is>
          <t>1978</t>
        </is>
      </c>
      <c r="O493" t="inlineStr">
        <is>
          <t>eng</t>
        </is>
      </c>
      <c r="P493" t="inlineStr">
        <is>
          <t xml:space="preserve">xx </t>
        </is>
      </c>
      <c r="Q493" t="inlineStr">
        <is>
          <t>Oxford studies in physics</t>
        </is>
      </c>
      <c r="R493" t="inlineStr">
        <is>
          <t xml:space="preserve">QB </t>
        </is>
      </c>
      <c r="S493" t="n">
        <v>3</v>
      </c>
      <c r="T493" t="n">
        <v>3</v>
      </c>
      <c r="U493" t="inlineStr">
        <is>
          <t>2004-03-23</t>
        </is>
      </c>
      <c r="V493" t="inlineStr">
        <is>
          <t>2004-03-23</t>
        </is>
      </c>
      <c r="W493" t="inlineStr">
        <is>
          <t>1992-03-03</t>
        </is>
      </c>
      <c r="X493" t="inlineStr">
        <is>
          <t>1992-03-03</t>
        </is>
      </c>
      <c r="Y493" t="n">
        <v>354</v>
      </c>
      <c r="Z493" t="n">
        <v>229</v>
      </c>
      <c r="AA493" t="n">
        <v>230</v>
      </c>
      <c r="AB493" t="n">
        <v>3</v>
      </c>
      <c r="AC493" t="n">
        <v>3</v>
      </c>
      <c r="AD493" t="n">
        <v>14</v>
      </c>
      <c r="AE493" t="n">
        <v>14</v>
      </c>
      <c r="AF493" t="n">
        <v>1</v>
      </c>
      <c r="AG493" t="n">
        <v>1</v>
      </c>
      <c r="AH493" t="n">
        <v>5</v>
      </c>
      <c r="AI493" t="n">
        <v>5</v>
      </c>
      <c r="AJ493" t="n">
        <v>8</v>
      </c>
      <c r="AK493" t="n">
        <v>8</v>
      </c>
      <c r="AL493" t="n">
        <v>2</v>
      </c>
      <c r="AM493" t="n">
        <v>2</v>
      </c>
      <c r="AN493" t="n">
        <v>0</v>
      </c>
      <c r="AO493" t="n">
        <v>0</v>
      </c>
      <c r="AP493" t="inlineStr">
        <is>
          <t>No</t>
        </is>
      </c>
      <c r="AQ493" t="inlineStr">
        <is>
          <t>Yes</t>
        </is>
      </c>
      <c r="AR493">
        <f>HYPERLINK("http://catalog.hathitrust.org/Record/000257986","HathiTrust Record")</f>
        <v/>
      </c>
      <c r="AS493">
        <f>HYPERLINK("https://creighton-primo.hosted.exlibrisgroup.com/primo-explore/search?tab=default_tab&amp;search_scope=EVERYTHING&amp;vid=01CRU&amp;lang=en_US&amp;offset=0&amp;query=any,contains,991004675429702656","Catalog Record")</f>
        <v/>
      </c>
      <c r="AT493">
        <f>HYPERLINK("http://www.worldcat.org/oclc/4536728","WorldCat Record")</f>
        <v/>
      </c>
      <c r="AU493" t="inlineStr">
        <is>
          <t>14905543:eng</t>
        </is>
      </c>
      <c r="AV493" t="inlineStr">
        <is>
          <t>4536728</t>
        </is>
      </c>
      <c r="AW493" t="inlineStr">
        <is>
          <t>991004675429702656</t>
        </is>
      </c>
      <c r="AX493" t="inlineStr">
        <is>
          <t>991004675429702656</t>
        </is>
      </c>
      <c r="AY493" t="inlineStr">
        <is>
          <t>2271102140002656</t>
        </is>
      </c>
      <c r="AZ493" t="inlineStr">
        <is>
          <t>BOOK</t>
        </is>
      </c>
      <c r="BB493" t="inlineStr">
        <is>
          <t>9780198514602</t>
        </is>
      </c>
      <c r="BC493" t="inlineStr">
        <is>
          <t>32285000990472</t>
        </is>
      </c>
      <c r="BD493" t="inlineStr">
        <is>
          <t>893882784</t>
        </is>
      </c>
    </row>
    <row r="494">
      <c r="A494" t="inlineStr">
        <is>
          <t>No</t>
        </is>
      </c>
      <c r="B494" t="inlineStr">
        <is>
          <t>QB843.N4 N48</t>
        </is>
      </c>
      <c r="C494" t="inlineStr">
        <is>
          <t>0                      QB 0843000N  4                  N  48</t>
        </is>
      </c>
      <c r="D494" t="inlineStr">
        <is>
          <t>Neutron stars, black holes, and binary X-ray sources / edited by Herbert Gursky and Remo Ruffini.</t>
        </is>
      </c>
      <c r="F494" t="inlineStr">
        <is>
          <t>No</t>
        </is>
      </c>
      <c r="G494" t="inlineStr">
        <is>
          <t>1</t>
        </is>
      </c>
      <c r="H494" t="inlineStr">
        <is>
          <t>No</t>
        </is>
      </c>
      <c r="I494" t="inlineStr">
        <is>
          <t>No</t>
        </is>
      </c>
      <c r="J494" t="inlineStr">
        <is>
          <t>0</t>
        </is>
      </c>
      <c r="L494" t="inlineStr">
        <is>
          <t>Dordrecht ; Boston : D. Reidel Pub. Co., [1975]</t>
        </is>
      </c>
      <c r="M494" t="inlineStr">
        <is>
          <t>1975</t>
        </is>
      </c>
      <c r="O494" t="inlineStr">
        <is>
          <t>eng</t>
        </is>
      </c>
      <c r="P494" t="inlineStr">
        <is>
          <t xml:space="preserve">ne </t>
        </is>
      </c>
      <c r="Q494" t="inlineStr">
        <is>
          <t>Astrophysics and space science library ; v. 48</t>
        </is>
      </c>
      <c r="R494" t="inlineStr">
        <is>
          <t xml:space="preserve">QB </t>
        </is>
      </c>
      <c r="S494" t="n">
        <v>3</v>
      </c>
      <c r="T494" t="n">
        <v>3</v>
      </c>
      <c r="U494" t="inlineStr">
        <is>
          <t>1997-11-14</t>
        </is>
      </c>
      <c r="V494" t="inlineStr">
        <is>
          <t>1997-11-14</t>
        </is>
      </c>
      <c r="W494" t="inlineStr">
        <is>
          <t>1997-05-05</t>
        </is>
      </c>
      <c r="X494" t="inlineStr">
        <is>
          <t>1997-05-05</t>
        </is>
      </c>
      <c r="Y494" t="n">
        <v>309</v>
      </c>
      <c r="Z494" t="n">
        <v>192</v>
      </c>
      <c r="AA494" t="n">
        <v>197</v>
      </c>
      <c r="AB494" t="n">
        <v>4</v>
      </c>
      <c r="AC494" t="n">
        <v>4</v>
      </c>
      <c r="AD494" t="n">
        <v>9</v>
      </c>
      <c r="AE494" t="n">
        <v>9</v>
      </c>
      <c r="AF494" t="n">
        <v>3</v>
      </c>
      <c r="AG494" t="n">
        <v>3</v>
      </c>
      <c r="AH494" t="n">
        <v>2</v>
      </c>
      <c r="AI494" t="n">
        <v>2</v>
      </c>
      <c r="AJ494" t="n">
        <v>4</v>
      </c>
      <c r="AK494" t="n">
        <v>4</v>
      </c>
      <c r="AL494" t="n">
        <v>2</v>
      </c>
      <c r="AM494" t="n">
        <v>2</v>
      </c>
      <c r="AN494" t="n">
        <v>0</v>
      </c>
      <c r="AO494" t="n">
        <v>0</v>
      </c>
      <c r="AP494" t="inlineStr">
        <is>
          <t>No</t>
        </is>
      </c>
      <c r="AQ494" t="inlineStr">
        <is>
          <t>Yes</t>
        </is>
      </c>
      <c r="AR494">
        <f>HYPERLINK("http://catalog.hathitrust.org/Record/000017788","HathiTrust Record")</f>
        <v/>
      </c>
      <c r="AS494">
        <f>HYPERLINK("https://creighton-primo.hosted.exlibrisgroup.com/primo-explore/search?tab=default_tab&amp;search_scope=EVERYTHING&amp;vid=01CRU&amp;lang=en_US&amp;offset=0&amp;query=any,contains,991003719749702656","Catalog Record")</f>
        <v/>
      </c>
      <c r="AT494">
        <f>HYPERLINK("http://www.worldcat.org/oclc/1365268","WorldCat Record")</f>
        <v/>
      </c>
      <c r="AU494" t="inlineStr">
        <is>
          <t>510208821:eng</t>
        </is>
      </c>
      <c r="AV494" t="inlineStr">
        <is>
          <t>1365268</t>
        </is>
      </c>
      <c r="AW494" t="inlineStr">
        <is>
          <t>991003719749702656</t>
        </is>
      </c>
      <c r="AX494" t="inlineStr">
        <is>
          <t>991003719749702656</t>
        </is>
      </c>
      <c r="AY494" t="inlineStr">
        <is>
          <t>2256071760002656</t>
        </is>
      </c>
      <c r="AZ494" t="inlineStr">
        <is>
          <t>BOOK</t>
        </is>
      </c>
      <c r="BB494" t="inlineStr">
        <is>
          <t>9789027705419</t>
        </is>
      </c>
      <c r="BC494" t="inlineStr">
        <is>
          <t>32285002642865</t>
        </is>
      </c>
      <c r="BD494" t="inlineStr">
        <is>
          <t>893787660</t>
        </is>
      </c>
    </row>
    <row r="495">
      <c r="A495" t="inlineStr">
        <is>
          <t>No</t>
        </is>
      </c>
      <c r="B495" t="inlineStr">
        <is>
          <t>QB843.N4 V37</t>
        </is>
      </c>
      <c r="C495" t="inlineStr">
        <is>
          <t>0                      QB 0843000N  4                  V  37</t>
        </is>
      </c>
      <c r="D495" t="inlineStr">
        <is>
          <t>Physics and astrophysics of neutron stars and black holes / edited by R. Giaconni and R. Ruffini.</t>
        </is>
      </c>
      <c r="F495" t="inlineStr">
        <is>
          <t>No</t>
        </is>
      </c>
      <c r="G495" t="inlineStr">
        <is>
          <t>1</t>
        </is>
      </c>
      <c r="H495" t="inlineStr">
        <is>
          <t>No</t>
        </is>
      </c>
      <c r="I495" t="inlineStr">
        <is>
          <t>No</t>
        </is>
      </c>
      <c r="J495" t="inlineStr">
        <is>
          <t>0</t>
        </is>
      </c>
      <c r="K495" t="inlineStr">
        <is>
          <t>International School of Physics "Enrico Fermi."</t>
        </is>
      </c>
      <c r="L495" t="inlineStr">
        <is>
          <t>Amsterdam ; New York : North-Holland Pub. Co., 1978, 1980 printing.</t>
        </is>
      </c>
      <c r="M495" t="inlineStr">
        <is>
          <t>1978</t>
        </is>
      </c>
      <c r="O495" t="inlineStr">
        <is>
          <t>eng</t>
        </is>
      </c>
      <c r="P495" t="inlineStr">
        <is>
          <t xml:space="preserve">ne </t>
        </is>
      </c>
      <c r="Q495" t="inlineStr">
        <is>
          <t>Proceedings of the International School of Physics "Enrico Fermi" ; course 65</t>
        </is>
      </c>
      <c r="R495" t="inlineStr">
        <is>
          <t xml:space="preserve">QB </t>
        </is>
      </c>
      <c r="S495" t="n">
        <v>4</v>
      </c>
      <c r="T495" t="n">
        <v>4</v>
      </c>
      <c r="U495" t="inlineStr">
        <is>
          <t>2003-04-17</t>
        </is>
      </c>
      <c r="V495" t="inlineStr">
        <is>
          <t>2003-04-17</t>
        </is>
      </c>
      <c r="W495" t="inlineStr">
        <is>
          <t>1992-11-24</t>
        </is>
      </c>
      <c r="X495" t="inlineStr">
        <is>
          <t>1992-11-24</t>
        </is>
      </c>
      <c r="Y495" t="n">
        <v>174</v>
      </c>
      <c r="Z495" t="n">
        <v>135</v>
      </c>
      <c r="AA495" t="n">
        <v>174</v>
      </c>
      <c r="AB495" t="n">
        <v>2</v>
      </c>
      <c r="AC495" t="n">
        <v>2</v>
      </c>
      <c r="AD495" t="n">
        <v>4</v>
      </c>
      <c r="AE495" t="n">
        <v>6</v>
      </c>
      <c r="AF495" t="n">
        <v>0</v>
      </c>
      <c r="AG495" t="n">
        <v>1</v>
      </c>
      <c r="AH495" t="n">
        <v>2</v>
      </c>
      <c r="AI495" t="n">
        <v>3</v>
      </c>
      <c r="AJ495" t="n">
        <v>1</v>
      </c>
      <c r="AK495" t="n">
        <v>2</v>
      </c>
      <c r="AL495" t="n">
        <v>1</v>
      </c>
      <c r="AM495" t="n">
        <v>1</v>
      </c>
      <c r="AN495" t="n">
        <v>0</v>
      </c>
      <c r="AO495" t="n">
        <v>0</v>
      </c>
      <c r="AP495" t="inlineStr">
        <is>
          <t>No</t>
        </is>
      </c>
      <c r="AQ495" t="inlineStr">
        <is>
          <t>Yes</t>
        </is>
      </c>
      <c r="AR495">
        <f>HYPERLINK("http://catalog.hathitrust.org/Record/101989733","HathiTrust Record")</f>
        <v/>
      </c>
      <c r="AS495">
        <f>HYPERLINK("https://creighton-primo.hosted.exlibrisgroup.com/primo-explore/search?tab=default_tab&amp;search_scope=EVERYTHING&amp;vid=01CRU&amp;lang=en_US&amp;offset=0&amp;query=any,contains,991004654719702656","Catalog Record")</f>
        <v/>
      </c>
      <c r="AT495">
        <f>HYPERLINK("http://www.worldcat.org/oclc/4494971","WorldCat Record")</f>
        <v/>
      </c>
      <c r="AU495" t="inlineStr">
        <is>
          <t>42783975:eng</t>
        </is>
      </c>
      <c r="AV495" t="inlineStr">
        <is>
          <t>4494971</t>
        </is>
      </c>
      <c r="AW495" t="inlineStr">
        <is>
          <t>991004654719702656</t>
        </is>
      </c>
      <c r="AX495" t="inlineStr">
        <is>
          <t>991004654719702656</t>
        </is>
      </c>
      <c r="AY495" t="inlineStr">
        <is>
          <t>2265452240002656</t>
        </is>
      </c>
      <c r="AZ495" t="inlineStr">
        <is>
          <t>BOOK</t>
        </is>
      </c>
      <c r="BB495" t="inlineStr">
        <is>
          <t>9780720407204</t>
        </is>
      </c>
      <c r="BC495" t="inlineStr">
        <is>
          <t>32285001434611</t>
        </is>
      </c>
      <c r="BD495" t="inlineStr">
        <is>
          <t>893253954</t>
        </is>
      </c>
    </row>
    <row r="496">
      <c r="A496" t="inlineStr">
        <is>
          <t>No</t>
        </is>
      </c>
      <c r="B496" t="inlineStr">
        <is>
          <t>QB843.P8 M36</t>
        </is>
      </c>
      <c r="C496" t="inlineStr">
        <is>
          <t>0                      QB 0843000P  8                  M  36</t>
        </is>
      </c>
      <c r="D496" t="inlineStr">
        <is>
          <t>Pulsars / Richard N. Manchester, Joseph H. Taylor.</t>
        </is>
      </c>
      <c r="F496" t="inlineStr">
        <is>
          <t>No</t>
        </is>
      </c>
      <c r="G496" t="inlineStr">
        <is>
          <t>1</t>
        </is>
      </c>
      <c r="H496" t="inlineStr">
        <is>
          <t>No</t>
        </is>
      </c>
      <c r="I496" t="inlineStr">
        <is>
          <t>No</t>
        </is>
      </c>
      <c r="J496" t="inlineStr">
        <is>
          <t>0</t>
        </is>
      </c>
      <c r="K496" t="inlineStr">
        <is>
          <t>Manchester, Richard N.</t>
        </is>
      </c>
      <c r="L496" t="inlineStr">
        <is>
          <t>San Francisco : W. H. Freeman, c1977.</t>
        </is>
      </c>
      <c r="M496" t="inlineStr">
        <is>
          <t>1977</t>
        </is>
      </c>
      <c r="O496" t="inlineStr">
        <is>
          <t>eng</t>
        </is>
      </c>
      <c r="P496" t="inlineStr">
        <is>
          <t>cau</t>
        </is>
      </c>
      <c r="Q496" t="inlineStr">
        <is>
          <t>A Series of books in astronomy and astrophysics</t>
        </is>
      </c>
      <c r="R496" t="inlineStr">
        <is>
          <t xml:space="preserve">QB </t>
        </is>
      </c>
      <c r="S496" t="n">
        <v>4</v>
      </c>
      <c r="T496" t="n">
        <v>4</v>
      </c>
      <c r="U496" t="inlineStr">
        <is>
          <t>1997-11-20</t>
        </is>
      </c>
      <c r="V496" t="inlineStr">
        <is>
          <t>1997-11-20</t>
        </is>
      </c>
      <c r="W496" t="inlineStr">
        <is>
          <t>1991-09-27</t>
        </is>
      </c>
      <c r="X496" t="inlineStr">
        <is>
          <t>1991-09-27</t>
        </is>
      </c>
      <c r="Y496" t="n">
        <v>634</v>
      </c>
      <c r="Z496" t="n">
        <v>507</v>
      </c>
      <c r="AA496" t="n">
        <v>512</v>
      </c>
      <c r="AB496" t="n">
        <v>5</v>
      </c>
      <c r="AC496" t="n">
        <v>5</v>
      </c>
      <c r="AD496" t="n">
        <v>15</v>
      </c>
      <c r="AE496" t="n">
        <v>15</v>
      </c>
      <c r="AF496" t="n">
        <v>5</v>
      </c>
      <c r="AG496" t="n">
        <v>5</v>
      </c>
      <c r="AH496" t="n">
        <v>4</v>
      </c>
      <c r="AI496" t="n">
        <v>4</v>
      </c>
      <c r="AJ496" t="n">
        <v>5</v>
      </c>
      <c r="AK496" t="n">
        <v>5</v>
      </c>
      <c r="AL496" t="n">
        <v>4</v>
      </c>
      <c r="AM496" t="n">
        <v>4</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HYPERLINK("https://creighton-primo.hosted.exlibrisgroup.com/primo-explore/search?tab=default_tab&amp;search_scope=EVERYTHING&amp;vid=01CRU&amp;lang=en_US&amp;offset=0&amp;query=any,contains,991004270129702656","Catalog Record")</f>
        <v/>
      </c>
      <c r="AT496">
        <f>HYPERLINK("http://www.worldcat.org/oclc/2875132","WorldCat Record")</f>
        <v/>
      </c>
      <c r="AU496" t="inlineStr">
        <is>
          <t>3901468977:eng</t>
        </is>
      </c>
      <c r="AV496" t="inlineStr">
        <is>
          <t>2875132</t>
        </is>
      </c>
      <c r="AW496" t="inlineStr">
        <is>
          <t>991004270129702656</t>
        </is>
      </c>
      <c r="AX496" t="inlineStr">
        <is>
          <t>991004270129702656</t>
        </is>
      </c>
      <c r="AY496" t="inlineStr">
        <is>
          <t>2259431340002656</t>
        </is>
      </c>
      <c r="AZ496" t="inlineStr">
        <is>
          <t>BOOK</t>
        </is>
      </c>
      <c r="BB496" t="inlineStr">
        <is>
          <t>9780716703587</t>
        </is>
      </c>
      <c r="BC496" t="inlineStr">
        <is>
          <t>32285000760123</t>
        </is>
      </c>
      <c r="BD496" t="inlineStr">
        <is>
          <t>893519447</t>
        </is>
      </c>
    </row>
    <row r="497">
      <c r="A497" t="inlineStr">
        <is>
          <t>No</t>
        </is>
      </c>
      <c r="B497" t="inlineStr">
        <is>
          <t>QB843.P8 P84</t>
        </is>
      </c>
      <c r="C497" t="inlineStr">
        <is>
          <t>0                      QB 0843000P  8                  P  84</t>
        </is>
      </c>
      <c r="D497" t="inlineStr">
        <is>
          <t>Pulsars : International Astronomical Union symposium no. 95, held in Bonn, Federal Republic of Germany, August 26-29, 1980 / edited by W. Sieber and R. Wielebinski.</t>
        </is>
      </c>
      <c r="F497" t="inlineStr">
        <is>
          <t>No</t>
        </is>
      </c>
      <c r="G497" t="inlineStr">
        <is>
          <t>1</t>
        </is>
      </c>
      <c r="H497" t="inlineStr">
        <is>
          <t>No</t>
        </is>
      </c>
      <c r="I497" t="inlineStr">
        <is>
          <t>No</t>
        </is>
      </c>
      <c r="J497" t="inlineStr">
        <is>
          <t>0</t>
        </is>
      </c>
      <c r="L497" t="inlineStr">
        <is>
          <t>Dordrecht, Holland ; Boston : D. Riedel ; Hingham, MA : Sold and distributed in the U.S.A. and Canada by Kluwer Boston, c1981.</t>
        </is>
      </c>
      <c r="M497" t="inlineStr">
        <is>
          <t>1981</t>
        </is>
      </c>
      <c r="O497" t="inlineStr">
        <is>
          <t>eng</t>
        </is>
      </c>
      <c r="P497" t="inlineStr">
        <is>
          <t xml:space="preserve">ne </t>
        </is>
      </c>
      <c r="Q497" t="inlineStr">
        <is>
          <t>Symposium - International Astronomical Union ; no. 95</t>
        </is>
      </c>
      <c r="R497" t="inlineStr">
        <is>
          <t xml:space="preserve">QB </t>
        </is>
      </c>
      <c r="S497" t="n">
        <v>2</v>
      </c>
      <c r="T497" t="n">
        <v>2</v>
      </c>
      <c r="U497" t="inlineStr">
        <is>
          <t>1997-11-07</t>
        </is>
      </c>
      <c r="V497" t="inlineStr">
        <is>
          <t>1997-11-07</t>
        </is>
      </c>
      <c r="W497" t="inlineStr">
        <is>
          <t>1992-11-24</t>
        </is>
      </c>
      <c r="X497" t="inlineStr">
        <is>
          <t>1992-11-24</t>
        </is>
      </c>
      <c r="Y497" t="n">
        <v>160</v>
      </c>
      <c r="Z497" t="n">
        <v>130</v>
      </c>
      <c r="AA497" t="n">
        <v>130</v>
      </c>
      <c r="AB497" t="n">
        <v>2</v>
      </c>
      <c r="AC497" t="n">
        <v>2</v>
      </c>
      <c r="AD497" t="n">
        <v>2</v>
      </c>
      <c r="AE497" t="n">
        <v>2</v>
      </c>
      <c r="AF497" t="n">
        <v>0</v>
      </c>
      <c r="AG497" t="n">
        <v>0</v>
      </c>
      <c r="AH497" t="n">
        <v>1</v>
      </c>
      <c r="AI497" t="n">
        <v>1</v>
      </c>
      <c r="AJ497" t="n">
        <v>0</v>
      </c>
      <c r="AK497" t="n">
        <v>0</v>
      </c>
      <c r="AL497" t="n">
        <v>1</v>
      </c>
      <c r="AM497" t="n">
        <v>1</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HYPERLINK("https://creighton-primo.hosted.exlibrisgroup.com/primo-explore/search?tab=default_tab&amp;search_scope=EVERYTHING&amp;vid=01CRU&amp;lang=en_US&amp;offset=0&amp;query=any,contains,991005115399702656","Catalog Record")</f>
        <v/>
      </c>
      <c r="AT497">
        <f>HYPERLINK("http://www.worldcat.org/oclc/7461992","WorldCat Record")</f>
        <v/>
      </c>
      <c r="AU497" t="inlineStr">
        <is>
          <t>141143110:eng</t>
        </is>
      </c>
      <c r="AV497" t="inlineStr">
        <is>
          <t>7461992</t>
        </is>
      </c>
      <c r="AW497" t="inlineStr">
        <is>
          <t>991005115399702656</t>
        </is>
      </c>
      <c r="AX497" t="inlineStr">
        <is>
          <t>991005115399702656</t>
        </is>
      </c>
      <c r="AY497" t="inlineStr">
        <is>
          <t>2265891470002656</t>
        </is>
      </c>
      <c r="AZ497" t="inlineStr">
        <is>
          <t>BOOK</t>
        </is>
      </c>
      <c r="BB497" t="inlineStr">
        <is>
          <t>9789027712806</t>
        </is>
      </c>
      <c r="BC497" t="inlineStr">
        <is>
          <t>32285001434629</t>
        </is>
      </c>
      <c r="BD497" t="inlineStr">
        <is>
          <t>893619477</t>
        </is>
      </c>
    </row>
    <row r="498">
      <c r="A498" t="inlineStr">
        <is>
          <t>No</t>
        </is>
      </c>
      <c r="B498" t="inlineStr">
        <is>
          <t>QB843.P8 S56</t>
        </is>
      </c>
      <c r="C498" t="inlineStr">
        <is>
          <t>0                      QB 0843000P  8                  S  56</t>
        </is>
      </c>
      <c r="D498" t="inlineStr">
        <is>
          <t>Pulsars / F. G. Smith.</t>
        </is>
      </c>
      <c r="F498" t="inlineStr">
        <is>
          <t>No</t>
        </is>
      </c>
      <c r="G498" t="inlineStr">
        <is>
          <t>1</t>
        </is>
      </c>
      <c r="H498" t="inlineStr">
        <is>
          <t>No</t>
        </is>
      </c>
      <c r="I498" t="inlineStr">
        <is>
          <t>No</t>
        </is>
      </c>
      <c r="J498" t="inlineStr">
        <is>
          <t>0</t>
        </is>
      </c>
      <c r="K498" t="inlineStr">
        <is>
          <t>Graham-Smith, Francis, 1923-</t>
        </is>
      </c>
      <c r="L498" t="inlineStr">
        <is>
          <t>Cambridge ; New York : Cambridge University Press, 1977.</t>
        </is>
      </c>
      <c r="M498" t="inlineStr">
        <is>
          <t>1977</t>
        </is>
      </c>
      <c r="O498" t="inlineStr">
        <is>
          <t>eng</t>
        </is>
      </c>
      <c r="P498" t="inlineStr">
        <is>
          <t>enk</t>
        </is>
      </c>
      <c r="Q498" t="inlineStr">
        <is>
          <t>Cambridge monographs on physics</t>
        </is>
      </c>
      <c r="R498" t="inlineStr">
        <is>
          <t xml:space="preserve">QB </t>
        </is>
      </c>
      <c r="S498" t="n">
        <v>1</v>
      </c>
      <c r="T498" t="n">
        <v>1</v>
      </c>
      <c r="U498" t="inlineStr">
        <is>
          <t>1992-02-01</t>
        </is>
      </c>
      <c r="V498" t="inlineStr">
        <is>
          <t>1992-02-01</t>
        </is>
      </c>
      <c r="W498" t="inlineStr">
        <is>
          <t>1991-09-27</t>
        </is>
      </c>
      <c r="X498" t="inlineStr">
        <is>
          <t>1991-09-27</t>
        </is>
      </c>
      <c r="Y498" t="n">
        <v>563</v>
      </c>
      <c r="Z498" t="n">
        <v>415</v>
      </c>
      <c r="AA498" t="n">
        <v>425</v>
      </c>
      <c r="AB498" t="n">
        <v>3</v>
      </c>
      <c r="AC498" t="n">
        <v>3</v>
      </c>
      <c r="AD498" t="n">
        <v>12</v>
      </c>
      <c r="AE498" t="n">
        <v>13</v>
      </c>
      <c r="AF498" t="n">
        <v>3</v>
      </c>
      <c r="AG498" t="n">
        <v>3</v>
      </c>
      <c r="AH498" t="n">
        <v>4</v>
      </c>
      <c r="AI498" t="n">
        <v>5</v>
      </c>
      <c r="AJ498" t="n">
        <v>4</v>
      </c>
      <c r="AK498" t="n">
        <v>5</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HYPERLINK("https://creighton-primo.hosted.exlibrisgroup.com/primo-explore/search?tab=default_tab&amp;search_scope=EVERYTHING&amp;vid=01CRU&amp;lang=en_US&amp;offset=0&amp;query=any,contains,991003976389702656","Catalog Record")</f>
        <v/>
      </c>
      <c r="AT498">
        <f>HYPERLINK("http://www.worldcat.org/oclc/2005499","WorldCat Record")</f>
        <v/>
      </c>
      <c r="AU498" t="inlineStr">
        <is>
          <t>66798819:eng</t>
        </is>
      </c>
      <c r="AV498" t="inlineStr">
        <is>
          <t>2005499</t>
        </is>
      </c>
      <c r="AW498" t="inlineStr">
        <is>
          <t>991003976389702656</t>
        </is>
      </c>
      <c r="AX498" t="inlineStr">
        <is>
          <t>991003976389702656</t>
        </is>
      </c>
      <c r="AY498" t="inlineStr">
        <is>
          <t>2262081500002656</t>
        </is>
      </c>
      <c r="AZ498" t="inlineStr">
        <is>
          <t>BOOK</t>
        </is>
      </c>
      <c r="BB498" t="inlineStr">
        <is>
          <t>9780521212410</t>
        </is>
      </c>
      <c r="BC498" t="inlineStr">
        <is>
          <t>32285000760131</t>
        </is>
      </c>
      <c r="BD498" t="inlineStr">
        <is>
          <t>893599271</t>
        </is>
      </c>
    </row>
    <row r="499">
      <c r="A499" t="inlineStr">
        <is>
          <t>No</t>
        </is>
      </c>
      <c r="B499" t="inlineStr">
        <is>
          <t>QB843.S95 G65 1989</t>
        </is>
      </c>
      <c r="C499" t="inlineStr">
        <is>
          <t>0                      QB 0843000S  95                 G  65          1989</t>
        </is>
      </c>
      <c r="D499" t="inlineStr">
        <is>
          <t>Supernova! : the exploding star of 1987 / Donald Goldsmith.</t>
        </is>
      </c>
      <c r="F499" t="inlineStr">
        <is>
          <t>No</t>
        </is>
      </c>
      <c r="G499" t="inlineStr">
        <is>
          <t>1</t>
        </is>
      </c>
      <c r="H499" t="inlineStr">
        <is>
          <t>No</t>
        </is>
      </c>
      <c r="I499" t="inlineStr">
        <is>
          <t>No</t>
        </is>
      </c>
      <c r="J499" t="inlineStr">
        <is>
          <t>0</t>
        </is>
      </c>
      <c r="K499" t="inlineStr">
        <is>
          <t>Goldsmith, Donald.</t>
        </is>
      </c>
      <c r="L499" t="inlineStr">
        <is>
          <t>New York : St. Martin's Press, c1989.</t>
        </is>
      </c>
      <c r="M499" t="inlineStr">
        <is>
          <t>1989</t>
        </is>
      </c>
      <c r="N499" t="inlineStr">
        <is>
          <t>1st ed.</t>
        </is>
      </c>
      <c r="O499" t="inlineStr">
        <is>
          <t>eng</t>
        </is>
      </c>
      <c r="P499" t="inlineStr">
        <is>
          <t>nyu</t>
        </is>
      </c>
      <c r="R499" t="inlineStr">
        <is>
          <t xml:space="preserve">QB </t>
        </is>
      </c>
      <c r="S499" t="n">
        <v>1</v>
      </c>
      <c r="T499" t="n">
        <v>1</v>
      </c>
      <c r="U499" t="inlineStr">
        <is>
          <t>2009-03-24</t>
        </is>
      </c>
      <c r="V499" t="inlineStr">
        <is>
          <t>2009-03-24</t>
        </is>
      </c>
      <c r="W499" t="inlineStr">
        <is>
          <t>1990-06-20</t>
        </is>
      </c>
      <c r="X499" t="inlineStr">
        <is>
          <t>1990-06-20</t>
        </is>
      </c>
      <c r="Y499" t="n">
        <v>628</v>
      </c>
      <c r="Z499" t="n">
        <v>579</v>
      </c>
      <c r="AA499" t="n">
        <v>584</v>
      </c>
      <c r="AB499" t="n">
        <v>4</v>
      </c>
      <c r="AC499" t="n">
        <v>4</v>
      </c>
      <c r="AD499" t="n">
        <v>13</v>
      </c>
      <c r="AE499" t="n">
        <v>13</v>
      </c>
      <c r="AF499" t="n">
        <v>5</v>
      </c>
      <c r="AG499" t="n">
        <v>5</v>
      </c>
      <c r="AH499" t="n">
        <v>4</v>
      </c>
      <c r="AI499" t="n">
        <v>4</v>
      </c>
      <c r="AJ499" t="n">
        <v>6</v>
      </c>
      <c r="AK499" t="n">
        <v>6</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HYPERLINK("https://creighton-primo.hosted.exlibrisgroup.com/primo-explore/search?tab=default_tab&amp;search_scope=EVERYTHING&amp;vid=01CRU&amp;lang=en_US&amp;offset=0&amp;query=any,contains,991001366119702656","Catalog Record")</f>
        <v/>
      </c>
      <c r="AT499">
        <f>HYPERLINK("http://www.worldcat.org/oclc/18558670","WorldCat Record")</f>
        <v/>
      </c>
      <c r="AU499" t="inlineStr">
        <is>
          <t>225833662:eng</t>
        </is>
      </c>
      <c r="AV499" t="inlineStr">
        <is>
          <t>18558670</t>
        </is>
      </c>
      <c r="AW499" t="inlineStr">
        <is>
          <t>991001366119702656</t>
        </is>
      </c>
      <c r="AX499" t="inlineStr">
        <is>
          <t>991001366119702656</t>
        </is>
      </c>
      <c r="AY499" t="inlineStr">
        <is>
          <t>2262152330002656</t>
        </is>
      </c>
      <c r="AZ499" t="inlineStr">
        <is>
          <t>BOOK</t>
        </is>
      </c>
      <c r="BB499" t="inlineStr">
        <is>
          <t>9780312026479</t>
        </is>
      </c>
      <c r="BC499" t="inlineStr">
        <is>
          <t>32285000178839</t>
        </is>
      </c>
      <c r="BD499" t="inlineStr">
        <is>
          <t>893608794</t>
        </is>
      </c>
    </row>
    <row r="500">
      <c r="A500" t="inlineStr">
        <is>
          <t>No</t>
        </is>
      </c>
      <c r="B500" t="inlineStr">
        <is>
          <t>QB843.S95 M87 1985</t>
        </is>
      </c>
      <c r="C500" t="inlineStr">
        <is>
          <t>0                      QB 0843000S  95                 M  87          1985</t>
        </is>
      </c>
      <c r="D500" t="inlineStr">
        <is>
          <t>Supernovae / Paul Murdin, Lesley Murdin.</t>
        </is>
      </c>
      <c r="F500" t="inlineStr">
        <is>
          <t>No</t>
        </is>
      </c>
      <c r="G500" t="inlineStr">
        <is>
          <t>1</t>
        </is>
      </c>
      <c r="H500" t="inlineStr">
        <is>
          <t>No</t>
        </is>
      </c>
      <c r="I500" t="inlineStr">
        <is>
          <t>No</t>
        </is>
      </c>
      <c r="J500" t="inlineStr">
        <is>
          <t>0</t>
        </is>
      </c>
      <c r="K500" t="inlineStr">
        <is>
          <t>Murdin, Paul.</t>
        </is>
      </c>
      <c r="L500" t="inlineStr">
        <is>
          <t>Cambridge [Cambridgeshire] ; New York : Cambridge University Press, 1985.</t>
        </is>
      </c>
      <c r="M500" t="inlineStr">
        <is>
          <t>1985</t>
        </is>
      </c>
      <c r="N500" t="inlineStr">
        <is>
          <t>Rev. ed.</t>
        </is>
      </c>
      <c r="O500" t="inlineStr">
        <is>
          <t>eng</t>
        </is>
      </c>
      <c r="P500" t="inlineStr">
        <is>
          <t>enk</t>
        </is>
      </c>
      <c r="R500" t="inlineStr">
        <is>
          <t xml:space="preserve">QB </t>
        </is>
      </c>
      <c r="S500" t="n">
        <v>3</v>
      </c>
      <c r="T500" t="n">
        <v>3</v>
      </c>
      <c r="U500" t="inlineStr">
        <is>
          <t>2008-05-14</t>
        </is>
      </c>
      <c r="V500" t="inlineStr">
        <is>
          <t>2008-05-14</t>
        </is>
      </c>
      <c r="W500" t="inlineStr">
        <is>
          <t>1992-03-24</t>
        </is>
      </c>
      <c r="X500" t="inlineStr">
        <is>
          <t>1992-03-24</t>
        </is>
      </c>
      <c r="Y500" t="n">
        <v>498</v>
      </c>
      <c r="Z500" t="n">
        <v>369</v>
      </c>
      <c r="AA500" t="n">
        <v>381</v>
      </c>
      <c r="AB500" t="n">
        <v>3</v>
      </c>
      <c r="AC500" t="n">
        <v>3</v>
      </c>
      <c r="AD500" t="n">
        <v>10</v>
      </c>
      <c r="AE500" t="n">
        <v>10</v>
      </c>
      <c r="AF500" t="n">
        <v>3</v>
      </c>
      <c r="AG500" t="n">
        <v>3</v>
      </c>
      <c r="AH500" t="n">
        <v>3</v>
      </c>
      <c r="AI500" t="n">
        <v>3</v>
      </c>
      <c r="AJ500" t="n">
        <v>7</v>
      </c>
      <c r="AK500" t="n">
        <v>7</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HYPERLINK("https://creighton-primo.hosted.exlibrisgroup.com/primo-explore/search?tab=default_tab&amp;search_scope=EVERYTHING&amp;vid=01CRU&amp;lang=en_US&amp;offset=0&amp;query=any,contains,991000518919702656","Catalog Record")</f>
        <v/>
      </c>
      <c r="AT500">
        <f>HYPERLINK("http://www.worldcat.org/oclc/11316158","WorldCat Record")</f>
        <v/>
      </c>
      <c r="AU500" t="inlineStr">
        <is>
          <t>3835817:eng</t>
        </is>
      </c>
      <c r="AV500" t="inlineStr">
        <is>
          <t>11316158</t>
        </is>
      </c>
      <c r="AW500" t="inlineStr">
        <is>
          <t>991000518919702656</t>
        </is>
      </c>
      <c r="AX500" t="inlineStr">
        <is>
          <t>991000518919702656</t>
        </is>
      </c>
      <c r="AY500" t="inlineStr">
        <is>
          <t>2256850570002656</t>
        </is>
      </c>
      <c r="AZ500" t="inlineStr">
        <is>
          <t>BOOK</t>
        </is>
      </c>
      <c r="BB500" t="inlineStr">
        <is>
          <t>9780521300384</t>
        </is>
      </c>
      <c r="BC500" t="inlineStr">
        <is>
          <t>32285001004133</t>
        </is>
      </c>
      <c r="BD500" t="inlineStr">
        <is>
          <t>893790593</t>
        </is>
      </c>
    </row>
    <row r="501">
      <c r="A501" t="inlineStr">
        <is>
          <t>No</t>
        </is>
      </c>
      <c r="B501" t="inlineStr">
        <is>
          <t>QB851 .H6</t>
        </is>
      </c>
      <c r="C501" t="inlineStr">
        <is>
          <t>0                      QB 0851000H  6</t>
        </is>
      </c>
      <c r="D501" t="inlineStr">
        <is>
          <t>The physics and astronomy of galaxies and cosmology [by] Paul W. Hodge.</t>
        </is>
      </c>
      <c r="F501" t="inlineStr">
        <is>
          <t>No</t>
        </is>
      </c>
      <c r="G501" t="inlineStr">
        <is>
          <t>1</t>
        </is>
      </c>
      <c r="H501" t="inlineStr">
        <is>
          <t>No</t>
        </is>
      </c>
      <c r="I501" t="inlineStr">
        <is>
          <t>No</t>
        </is>
      </c>
      <c r="J501" t="inlineStr">
        <is>
          <t>0</t>
        </is>
      </c>
      <c r="K501" t="inlineStr">
        <is>
          <t>Hodge, Paul W.</t>
        </is>
      </c>
      <c r="L501" t="inlineStr">
        <is>
          <t>New York, McGraw-Hill [1966]</t>
        </is>
      </c>
      <c r="M501" t="inlineStr">
        <is>
          <t>1966</t>
        </is>
      </c>
      <c r="O501" t="inlineStr">
        <is>
          <t>eng</t>
        </is>
      </c>
      <c r="P501" t="inlineStr">
        <is>
          <t>nyu</t>
        </is>
      </c>
      <c r="Q501" t="inlineStr">
        <is>
          <t>McGraw-Hill series in undergraduate astronomy</t>
        </is>
      </c>
      <c r="R501" t="inlineStr">
        <is>
          <t xml:space="preserve">QB </t>
        </is>
      </c>
      <c r="S501" t="n">
        <v>1</v>
      </c>
      <c r="T501" t="n">
        <v>1</v>
      </c>
      <c r="U501" t="inlineStr">
        <is>
          <t>2007-11-11</t>
        </is>
      </c>
      <c r="V501" t="inlineStr">
        <is>
          <t>2007-11-11</t>
        </is>
      </c>
      <c r="W501" t="inlineStr">
        <is>
          <t>1997-05-05</t>
        </is>
      </c>
      <c r="X501" t="inlineStr">
        <is>
          <t>1997-05-05</t>
        </is>
      </c>
      <c r="Y501" t="n">
        <v>424</v>
      </c>
      <c r="Z501" t="n">
        <v>351</v>
      </c>
      <c r="AA501" t="n">
        <v>356</v>
      </c>
      <c r="AB501" t="n">
        <v>3</v>
      </c>
      <c r="AC501" t="n">
        <v>3</v>
      </c>
      <c r="AD501" t="n">
        <v>18</v>
      </c>
      <c r="AE501" t="n">
        <v>18</v>
      </c>
      <c r="AF501" t="n">
        <v>5</v>
      </c>
      <c r="AG501" t="n">
        <v>5</v>
      </c>
      <c r="AH501" t="n">
        <v>2</v>
      </c>
      <c r="AI501" t="n">
        <v>2</v>
      </c>
      <c r="AJ501" t="n">
        <v>13</v>
      </c>
      <c r="AK501" t="n">
        <v>13</v>
      </c>
      <c r="AL501" t="n">
        <v>2</v>
      </c>
      <c r="AM501" t="n">
        <v>2</v>
      </c>
      <c r="AN501" t="n">
        <v>0</v>
      </c>
      <c r="AO501" t="n">
        <v>0</v>
      </c>
      <c r="AP501" t="inlineStr">
        <is>
          <t>No</t>
        </is>
      </c>
      <c r="AQ501" t="inlineStr">
        <is>
          <t>Yes</t>
        </is>
      </c>
      <c r="AR501">
        <f>HYPERLINK("http://catalog.hathitrust.org/Record/001477260","HathiTrust Record")</f>
        <v/>
      </c>
      <c r="AS501">
        <f>HYPERLINK("https://creighton-primo.hosted.exlibrisgroup.com/primo-explore/search?tab=default_tab&amp;search_scope=EVERYTHING&amp;vid=01CRU&amp;lang=en_US&amp;offset=0&amp;query=any,contains,991002930509702656","Catalog Record")</f>
        <v/>
      </c>
      <c r="AT501">
        <f>HYPERLINK("http://www.worldcat.org/oclc/530725","WorldCat Record")</f>
        <v/>
      </c>
      <c r="AU501" t="inlineStr">
        <is>
          <t>1543857:eng</t>
        </is>
      </c>
      <c r="AV501" t="inlineStr">
        <is>
          <t>530725</t>
        </is>
      </c>
      <c r="AW501" t="inlineStr">
        <is>
          <t>991002930509702656</t>
        </is>
      </c>
      <c r="AX501" t="inlineStr">
        <is>
          <t>991002930509702656</t>
        </is>
      </c>
      <c r="AY501" t="inlineStr">
        <is>
          <t>2266483850002656</t>
        </is>
      </c>
      <c r="AZ501" t="inlineStr">
        <is>
          <t>BOOK</t>
        </is>
      </c>
      <c r="BC501" t="inlineStr">
        <is>
          <t>32285002642881</t>
        </is>
      </c>
      <c r="BD501" t="inlineStr">
        <is>
          <t>893504994</t>
        </is>
      </c>
    </row>
    <row r="502">
      <c r="A502" t="inlineStr">
        <is>
          <t>No</t>
        </is>
      </c>
      <c r="B502" t="inlineStr">
        <is>
          <t>QB853 .S47 1972</t>
        </is>
      </c>
      <c r="C502" t="inlineStr">
        <is>
          <t>0                      QB 0853000S  47          1972</t>
        </is>
      </c>
      <c r="D502" t="inlineStr">
        <is>
          <t>Galaxies / by Harlow Shapley.</t>
        </is>
      </c>
      <c r="F502" t="inlineStr">
        <is>
          <t>No</t>
        </is>
      </c>
      <c r="G502" t="inlineStr">
        <is>
          <t>1</t>
        </is>
      </c>
      <c r="H502" t="inlineStr">
        <is>
          <t>No</t>
        </is>
      </c>
      <c r="I502" t="inlineStr">
        <is>
          <t>No</t>
        </is>
      </c>
      <c r="J502" t="inlineStr">
        <is>
          <t>0</t>
        </is>
      </c>
      <c r="K502" t="inlineStr">
        <is>
          <t>Shapley, Harlow, 1885-1972.</t>
        </is>
      </c>
      <c r="L502" t="inlineStr">
        <is>
          <t>Cambridge, Mass. : Harvard University Press, 1972.</t>
        </is>
      </c>
      <c r="M502" t="inlineStr">
        <is>
          <t>1972</t>
        </is>
      </c>
      <c r="N502" t="inlineStr">
        <is>
          <t>[3rd ed.] Rev. by Paul W. Hodge.</t>
        </is>
      </c>
      <c r="O502" t="inlineStr">
        <is>
          <t>eng</t>
        </is>
      </c>
      <c r="P502" t="inlineStr">
        <is>
          <t>mau</t>
        </is>
      </c>
      <c r="Q502" t="inlineStr">
        <is>
          <t>The Harvard books on astronomy</t>
        </is>
      </c>
      <c r="R502" t="inlineStr">
        <is>
          <t xml:space="preserve">QB </t>
        </is>
      </c>
      <c r="S502" t="n">
        <v>2</v>
      </c>
      <c r="T502" t="n">
        <v>2</v>
      </c>
      <c r="U502" t="inlineStr">
        <is>
          <t>1993-11-29</t>
        </is>
      </c>
      <c r="V502" t="inlineStr">
        <is>
          <t>1993-11-29</t>
        </is>
      </c>
      <c r="W502" t="inlineStr">
        <is>
          <t>1992-11-24</t>
        </is>
      </c>
      <c r="X502" t="inlineStr">
        <is>
          <t>1992-11-24</t>
        </is>
      </c>
      <c r="Y502" t="n">
        <v>704</v>
      </c>
      <c r="Z502" t="n">
        <v>608</v>
      </c>
      <c r="AA502" t="n">
        <v>960</v>
      </c>
      <c r="AB502" t="n">
        <v>6</v>
      </c>
      <c r="AC502" t="n">
        <v>7</v>
      </c>
      <c r="AD502" t="n">
        <v>13</v>
      </c>
      <c r="AE502" t="n">
        <v>33</v>
      </c>
      <c r="AF502" t="n">
        <v>1</v>
      </c>
      <c r="AG502" t="n">
        <v>12</v>
      </c>
      <c r="AH502" t="n">
        <v>4</v>
      </c>
      <c r="AI502" t="n">
        <v>6</v>
      </c>
      <c r="AJ502" t="n">
        <v>5</v>
      </c>
      <c r="AK502" t="n">
        <v>15</v>
      </c>
      <c r="AL502" t="n">
        <v>5</v>
      </c>
      <c r="AM502" t="n">
        <v>6</v>
      </c>
      <c r="AN502" t="n">
        <v>0</v>
      </c>
      <c r="AO502" t="n">
        <v>0</v>
      </c>
      <c r="AP502" t="inlineStr">
        <is>
          <t>No</t>
        </is>
      </c>
      <c r="AQ502" t="inlineStr">
        <is>
          <t>Yes</t>
        </is>
      </c>
      <c r="AR502">
        <f>HYPERLINK("http://catalog.hathitrust.org/Record/001477276","HathiTrust Record")</f>
        <v/>
      </c>
      <c r="AS502">
        <f>HYPERLINK("https://creighton-primo.hosted.exlibrisgroup.com/primo-explore/search?tab=default_tab&amp;search_scope=EVERYTHING&amp;vid=01CRU&amp;lang=en_US&amp;offset=0&amp;query=any,contains,991002344419702656","Catalog Record")</f>
        <v/>
      </c>
      <c r="AT502">
        <f>HYPERLINK("http://www.worldcat.org/oclc/324347","WorldCat Record")</f>
        <v/>
      </c>
      <c r="AU502" t="inlineStr">
        <is>
          <t>4919450263:eng</t>
        </is>
      </c>
      <c r="AV502" t="inlineStr">
        <is>
          <t>324347</t>
        </is>
      </c>
      <c r="AW502" t="inlineStr">
        <is>
          <t>991002344419702656</t>
        </is>
      </c>
      <c r="AX502" t="inlineStr">
        <is>
          <t>991002344419702656</t>
        </is>
      </c>
      <c r="AY502" t="inlineStr">
        <is>
          <t>2255167580002656</t>
        </is>
      </c>
      <c r="AZ502" t="inlineStr">
        <is>
          <t>BOOK</t>
        </is>
      </c>
      <c r="BB502" t="inlineStr">
        <is>
          <t>9780674340510</t>
        </is>
      </c>
      <c r="BC502" t="inlineStr">
        <is>
          <t>32285001434694</t>
        </is>
      </c>
      <c r="BD502" t="inlineStr">
        <is>
          <t>893898647</t>
        </is>
      </c>
    </row>
    <row r="503">
      <c r="A503" t="inlineStr">
        <is>
          <t>No</t>
        </is>
      </c>
      <c r="B503" t="inlineStr">
        <is>
          <t>QB855.55 .O87 1989</t>
        </is>
      </c>
      <c r="C503" t="inlineStr">
        <is>
          <t>0                      QB 0855550O  87          1989</t>
        </is>
      </c>
      <c r="D503" t="inlineStr">
        <is>
          <t>Astrophysics of gaseous nebulae and active galactic nuclei / Donald E. Osterbrock.</t>
        </is>
      </c>
      <c r="F503" t="inlineStr">
        <is>
          <t>No</t>
        </is>
      </c>
      <c r="G503" t="inlineStr">
        <is>
          <t>1</t>
        </is>
      </c>
      <c r="H503" t="inlineStr">
        <is>
          <t>No</t>
        </is>
      </c>
      <c r="I503" t="inlineStr">
        <is>
          <t>No</t>
        </is>
      </c>
      <c r="J503" t="inlineStr">
        <is>
          <t>0</t>
        </is>
      </c>
      <c r="K503" t="inlineStr">
        <is>
          <t>Osterbrock, Donald E.</t>
        </is>
      </c>
      <c r="L503" t="inlineStr">
        <is>
          <t>Mill Valley, Calif. : University Science Books, 1989.</t>
        </is>
      </c>
      <c r="M503" t="inlineStr">
        <is>
          <t>1989</t>
        </is>
      </c>
      <c r="O503" t="inlineStr">
        <is>
          <t>eng</t>
        </is>
      </c>
      <c r="P503" t="inlineStr">
        <is>
          <t>cau</t>
        </is>
      </c>
      <c r="R503" t="inlineStr">
        <is>
          <t xml:space="preserve">QB </t>
        </is>
      </c>
      <c r="S503" t="n">
        <v>6</v>
      </c>
      <c r="T503" t="n">
        <v>6</v>
      </c>
      <c r="U503" t="inlineStr">
        <is>
          <t>2010-04-16</t>
        </is>
      </c>
      <c r="V503" t="inlineStr">
        <is>
          <t>2010-04-16</t>
        </is>
      </c>
      <c r="W503" t="inlineStr">
        <is>
          <t>1989-11-13</t>
        </is>
      </c>
      <c r="X503" t="inlineStr">
        <is>
          <t>1989-11-13</t>
        </is>
      </c>
      <c r="Y503" t="n">
        <v>360</v>
      </c>
      <c r="Z503" t="n">
        <v>287</v>
      </c>
      <c r="AA503" t="n">
        <v>356</v>
      </c>
      <c r="AB503" t="n">
        <v>3</v>
      </c>
      <c r="AC503" t="n">
        <v>4</v>
      </c>
      <c r="AD503" t="n">
        <v>12</v>
      </c>
      <c r="AE503" t="n">
        <v>16</v>
      </c>
      <c r="AF503" t="n">
        <v>4</v>
      </c>
      <c r="AG503" t="n">
        <v>6</v>
      </c>
      <c r="AH503" t="n">
        <v>3</v>
      </c>
      <c r="AI503" t="n">
        <v>3</v>
      </c>
      <c r="AJ503" t="n">
        <v>6</v>
      </c>
      <c r="AK503" t="n">
        <v>7</v>
      </c>
      <c r="AL503" t="n">
        <v>2</v>
      </c>
      <c r="AM503" t="n">
        <v>3</v>
      </c>
      <c r="AN503" t="n">
        <v>0</v>
      </c>
      <c r="AO503" t="n">
        <v>0</v>
      </c>
      <c r="AP503" t="inlineStr">
        <is>
          <t>No</t>
        </is>
      </c>
      <c r="AQ503" t="inlineStr">
        <is>
          <t>Yes</t>
        </is>
      </c>
      <c r="AR503">
        <f>HYPERLINK("http://catalog.hathitrust.org/Record/001092740","HathiTrust Record")</f>
        <v/>
      </c>
      <c r="AS503">
        <f>HYPERLINK("https://creighton-primo.hosted.exlibrisgroup.com/primo-explore/search?tab=default_tab&amp;search_scope=EVERYTHING&amp;vid=01CRU&amp;lang=en_US&amp;offset=0&amp;query=any,contains,991001420599702656","Catalog Record")</f>
        <v/>
      </c>
      <c r="AT503">
        <f>HYPERLINK("http://www.worldcat.org/oclc/27266541","WorldCat Record")</f>
        <v/>
      </c>
      <c r="AU503" t="inlineStr">
        <is>
          <t>877309:eng</t>
        </is>
      </c>
      <c r="AV503" t="inlineStr">
        <is>
          <t>27266541</t>
        </is>
      </c>
      <c r="AW503" t="inlineStr">
        <is>
          <t>991001420599702656</t>
        </is>
      </c>
      <c r="AX503" t="inlineStr">
        <is>
          <t>991001420599702656</t>
        </is>
      </c>
      <c r="AY503" t="inlineStr">
        <is>
          <t>2266778820002656</t>
        </is>
      </c>
      <c r="AZ503" t="inlineStr">
        <is>
          <t>BOOK</t>
        </is>
      </c>
      <c r="BB503" t="inlineStr">
        <is>
          <t>9780935702224</t>
        </is>
      </c>
      <c r="BC503" t="inlineStr">
        <is>
          <t>32285000012483</t>
        </is>
      </c>
      <c r="BD503" t="inlineStr">
        <is>
          <t>893709261</t>
        </is>
      </c>
    </row>
    <row r="504">
      <c r="A504" t="inlineStr">
        <is>
          <t>No</t>
        </is>
      </c>
      <c r="B504" t="inlineStr">
        <is>
          <t>QB855.9.O75 O34 2003</t>
        </is>
      </c>
      <c r="C504" t="inlineStr">
        <is>
          <t>0                      QB 0855900O  75                 O  34          2003</t>
        </is>
      </c>
      <c r="D504" t="inlineStr">
        <is>
          <t>The Orion Nebula : where stars are born / C. Robert O'Dell.</t>
        </is>
      </c>
      <c r="F504" t="inlineStr">
        <is>
          <t>No</t>
        </is>
      </c>
      <c r="G504" t="inlineStr">
        <is>
          <t>1</t>
        </is>
      </c>
      <c r="H504" t="inlineStr">
        <is>
          <t>No</t>
        </is>
      </c>
      <c r="I504" t="inlineStr">
        <is>
          <t>No</t>
        </is>
      </c>
      <c r="J504" t="inlineStr">
        <is>
          <t>0</t>
        </is>
      </c>
      <c r="K504" t="inlineStr">
        <is>
          <t>O'Dell, C. Robert (Charles Robert), 1937-</t>
        </is>
      </c>
      <c r="L504" t="inlineStr">
        <is>
          <t>Cambridge, Mass. : Belknap Press of Harvard University Press, 2003.</t>
        </is>
      </c>
      <c r="M504" t="inlineStr">
        <is>
          <t>2003</t>
        </is>
      </c>
      <c r="O504" t="inlineStr">
        <is>
          <t>eng</t>
        </is>
      </c>
      <c r="P504" t="inlineStr">
        <is>
          <t>mau</t>
        </is>
      </c>
      <c r="R504" t="inlineStr">
        <is>
          <t xml:space="preserve">QB </t>
        </is>
      </c>
      <c r="S504" t="n">
        <v>1</v>
      </c>
      <c r="T504" t="n">
        <v>1</v>
      </c>
      <c r="U504" t="inlineStr">
        <is>
          <t>2004-01-05</t>
        </is>
      </c>
      <c r="V504" t="inlineStr">
        <is>
          <t>2004-01-05</t>
        </is>
      </c>
      <c r="W504" t="inlineStr">
        <is>
          <t>2004-01-05</t>
        </is>
      </c>
      <c r="X504" t="inlineStr">
        <is>
          <t>2004-01-05</t>
        </is>
      </c>
      <c r="Y504" t="n">
        <v>666</v>
      </c>
      <c r="Z504" t="n">
        <v>610</v>
      </c>
      <c r="AA504" t="n">
        <v>615</v>
      </c>
      <c r="AB504" t="n">
        <v>3</v>
      </c>
      <c r="AC504" t="n">
        <v>3</v>
      </c>
      <c r="AD504" t="n">
        <v>16</v>
      </c>
      <c r="AE504" t="n">
        <v>16</v>
      </c>
      <c r="AF504" t="n">
        <v>6</v>
      </c>
      <c r="AG504" t="n">
        <v>6</v>
      </c>
      <c r="AH504" t="n">
        <v>3</v>
      </c>
      <c r="AI504" t="n">
        <v>3</v>
      </c>
      <c r="AJ504" t="n">
        <v>9</v>
      </c>
      <c r="AK504" t="n">
        <v>9</v>
      </c>
      <c r="AL504" t="n">
        <v>2</v>
      </c>
      <c r="AM504" t="n">
        <v>2</v>
      </c>
      <c r="AN504" t="n">
        <v>0</v>
      </c>
      <c r="AO504" t="n">
        <v>0</v>
      </c>
      <c r="AP504" t="inlineStr">
        <is>
          <t>No</t>
        </is>
      </c>
      <c r="AQ504" t="inlineStr">
        <is>
          <t>Yes</t>
        </is>
      </c>
      <c r="AR504">
        <f>HYPERLINK("http://catalog.hathitrust.org/Record/004343020","HathiTrust Record")</f>
        <v/>
      </c>
      <c r="AS504">
        <f>HYPERLINK("https://creighton-primo.hosted.exlibrisgroup.com/primo-explore/search?tab=default_tab&amp;search_scope=EVERYTHING&amp;vid=01CRU&amp;lang=en_US&amp;offset=0&amp;query=any,contains,991004184999702656","Catalog Record")</f>
        <v/>
      </c>
      <c r="AT504">
        <f>HYPERLINK("http://www.worldcat.org/oclc/52178145","WorldCat Record")</f>
        <v/>
      </c>
      <c r="AU504" t="inlineStr">
        <is>
          <t>838904103:eng</t>
        </is>
      </c>
      <c r="AV504" t="inlineStr">
        <is>
          <t>52178145</t>
        </is>
      </c>
      <c r="AW504" t="inlineStr">
        <is>
          <t>991004184999702656</t>
        </is>
      </c>
      <c r="AX504" t="inlineStr">
        <is>
          <t>991004184999702656</t>
        </is>
      </c>
      <c r="AY504" t="inlineStr">
        <is>
          <t>2264777580002656</t>
        </is>
      </c>
      <c r="AZ504" t="inlineStr">
        <is>
          <t>BOOK</t>
        </is>
      </c>
      <c r="BB504" t="inlineStr">
        <is>
          <t>9780674011830</t>
        </is>
      </c>
      <c r="BC504" t="inlineStr">
        <is>
          <t>32285004848387</t>
        </is>
      </c>
      <c r="BD504" t="inlineStr">
        <is>
          <t>893241129</t>
        </is>
      </c>
    </row>
    <row r="505">
      <c r="A505" t="inlineStr">
        <is>
          <t>No</t>
        </is>
      </c>
      <c r="B505" t="inlineStr">
        <is>
          <t>QB857 .B522 1998</t>
        </is>
      </c>
      <c r="C505" t="inlineStr">
        <is>
          <t>0                      QB 0857000B  522         1998</t>
        </is>
      </c>
      <c r="D505" t="inlineStr">
        <is>
          <t>Galactic astronomy / James Binney and Michael Merrifield.</t>
        </is>
      </c>
      <c r="F505" t="inlineStr">
        <is>
          <t>No</t>
        </is>
      </c>
      <c r="G505" t="inlineStr">
        <is>
          <t>1</t>
        </is>
      </c>
      <c r="H505" t="inlineStr">
        <is>
          <t>No</t>
        </is>
      </c>
      <c r="I505" t="inlineStr">
        <is>
          <t>No</t>
        </is>
      </c>
      <c r="J505" t="inlineStr">
        <is>
          <t>0</t>
        </is>
      </c>
      <c r="K505" t="inlineStr">
        <is>
          <t>Binney, James, 1950-</t>
        </is>
      </c>
      <c r="L505" t="inlineStr">
        <is>
          <t>Princeton, NJ : Princeton University Press, c1998.</t>
        </is>
      </c>
      <c r="M505" t="inlineStr">
        <is>
          <t>1998</t>
        </is>
      </c>
      <c r="O505" t="inlineStr">
        <is>
          <t>eng</t>
        </is>
      </c>
      <c r="P505" t="inlineStr">
        <is>
          <t>nju</t>
        </is>
      </c>
      <c r="Q505" t="inlineStr">
        <is>
          <t>Princeton series in astrophysics</t>
        </is>
      </c>
      <c r="R505" t="inlineStr">
        <is>
          <t xml:space="preserve">QB </t>
        </is>
      </c>
      <c r="S505" t="n">
        <v>1</v>
      </c>
      <c r="T505" t="n">
        <v>1</v>
      </c>
      <c r="U505" t="inlineStr">
        <is>
          <t>2007-11-12</t>
        </is>
      </c>
      <c r="V505" t="inlineStr">
        <is>
          <t>2007-11-12</t>
        </is>
      </c>
      <c r="W505" t="inlineStr">
        <is>
          <t>1999-12-13</t>
        </is>
      </c>
      <c r="X505" t="inlineStr">
        <is>
          <t>1999-12-13</t>
        </is>
      </c>
      <c r="Y505" t="n">
        <v>467</v>
      </c>
      <c r="Z505" t="n">
        <v>325</v>
      </c>
      <c r="AA505" t="n">
        <v>325</v>
      </c>
      <c r="AB505" t="n">
        <v>2</v>
      </c>
      <c r="AC505" t="n">
        <v>2</v>
      </c>
      <c r="AD505" t="n">
        <v>14</v>
      </c>
      <c r="AE505" t="n">
        <v>14</v>
      </c>
      <c r="AF505" t="n">
        <v>5</v>
      </c>
      <c r="AG505" t="n">
        <v>5</v>
      </c>
      <c r="AH505" t="n">
        <v>4</v>
      </c>
      <c r="AI505" t="n">
        <v>4</v>
      </c>
      <c r="AJ505" t="n">
        <v>9</v>
      </c>
      <c r="AK505" t="n">
        <v>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HYPERLINK("https://creighton-primo.hosted.exlibrisgroup.com/primo-explore/search?tab=default_tab&amp;search_scope=EVERYTHING&amp;vid=01CRU&amp;lang=en_US&amp;offset=0&amp;query=any,contains,991002939659702656","Catalog Record")</f>
        <v/>
      </c>
      <c r="AT505">
        <f>HYPERLINK("http://www.worldcat.org/oclc/39108765","WorldCat Record")</f>
        <v/>
      </c>
      <c r="AU505" t="inlineStr">
        <is>
          <t>4714386554:eng</t>
        </is>
      </c>
      <c r="AV505" t="inlineStr">
        <is>
          <t>39108765</t>
        </is>
      </c>
      <c r="AW505" t="inlineStr">
        <is>
          <t>991002939659702656</t>
        </is>
      </c>
      <c r="AX505" t="inlineStr">
        <is>
          <t>991002939659702656</t>
        </is>
      </c>
      <c r="AY505" t="inlineStr">
        <is>
          <t>2263696510002656</t>
        </is>
      </c>
      <c r="AZ505" t="inlineStr">
        <is>
          <t>BOOK</t>
        </is>
      </c>
      <c r="BB505" t="inlineStr">
        <is>
          <t>9780691004020</t>
        </is>
      </c>
      <c r="BC505" t="inlineStr">
        <is>
          <t>32285003632220</t>
        </is>
      </c>
      <c r="BD505" t="inlineStr">
        <is>
          <t>893323546</t>
        </is>
      </c>
    </row>
    <row r="506">
      <c r="A506" t="inlineStr">
        <is>
          <t>No</t>
        </is>
      </c>
      <c r="B506" t="inlineStr">
        <is>
          <t>QB857 .B524 1987</t>
        </is>
      </c>
      <c r="C506" t="inlineStr">
        <is>
          <t>0                      QB 0857000B  524         1987</t>
        </is>
      </c>
      <c r="D506" t="inlineStr">
        <is>
          <t>Galactic dynamics / James Binney and Scott Tremaine.</t>
        </is>
      </c>
      <c r="F506" t="inlineStr">
        <is>
          <t>No</t>
        </is>
      </c>
      <c r="G506" t="inlineStr">
        <is>
          <t>1</t>
        </is>
      </c>
      <c r="H506" t="inlineStr">
        <is>
          <t>No</t>
        </is>
      </c>
      <c r="I506" t="inlineStr">
        <is>
          <t>No</t>
        </is>
      </c>
      <c r="J506" t="inlineStr">
        <is>
          <t>0</t>
        </is>
      </c>
      <c r="K506" t="inlineStr">
        <is>
          <t>Binney, James, 1950-</t>
        </is>
      </c>
      <c r="L506" t="inlineStr">
        <is>
          <t>Princeton, N.J. : Princeton University Press, c1987.</t>
        </is>
      </c>
      <c r="M506" t="inlineStr">
        <is>
          <t>1987</t>
        </is>
      </c>
      <c r="O506" t="inlineStr">
        <is>
          <t>eng</t>
        </is>
      </c>
      <c r="P506" t="inlineStr">
        <is>
          <t>nju</t>
        </is>
      </c>
      <c r="Q506" t="inlineStr">
        <is>
          <t>Princeton series in astrophysics</t>
        </is>
      </c>
      <c r="R506" t="inlineStr">
        <is>
          <t xml:space="preserve">QB </t>
        </is>
      </c>
      <c r="S506" t="n">
        <v>4</v>
      </c>
      <c r="T506" t="n">
        <v>4</v>
      </c>
      <c r="U506" t="inlineStr">
        <is>
          <t>2009-04-08</t>
        </is>
      </c>
      <c r="V506" t="inlineStr">
        <is>
          <t>2009-04-08</t>
        </is>
      </c>
      <c r="W506" t="inlineStr">
        <is>
          <t>1992-11-24</t>
        </is>
      </c>
      <c r="X506" t="inlineStr">
        <is>
          <t>1992-11-24</t>
        </is>
      </c>
      <c r="Y506" t="n">
        <v>457</v>
      </c>
      <c r="Z506" t="n">
        <v>327</v>
      </c>
      <c r="AA506" t="n">
        <v>432</v>
      </c>
      <c r="AB506" t="n">
        <v>3</v>
      </c>
      <c r="AC506" t="n">
        <v>4</v>
      </c>
      <c r="AD506" t="n">
        <v>17</v>
      </c>
      <c r="AE506" t="n">
        <v>26</v>
      </c>
      <c r="AF506" t="n">
        <v>6</v>
      </c>
      <c r="AG506" t="n">
        <v>10</v>
      </c>
      <c r="AH506" t="n">
        <v>5</v>
      </c>
      <c r="AI506" t="n">
        <v>6</v>
      </c>
      <c r="AJ506" t="n">
        <v>8</v>
      </c>
      <c r="AK506" t="n">
        <v>12</v>
      </c>
      <c r="AL506" t="n">
        <v>2</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HYPERLINK("https://creighton-primo.hosted.exlibrisgroup.com/primo-explore/search?tab=default_tab&amp;search_scope=EVERYTHING&amp;vid=01CRU&amp;lang=en_US&amp;offset=0&amp;query=any,contains,991001051129702656","Catalog Record")</f>
        <v/>
      </c>
      <c r="AT506">
        <f>HYPERLINK("http://www.worldcat.org/oclc/15654197","WorldCat Record")</f>
        <v/>
      </c>
      <c r="AU506" t="inlineStr">
        <is>
          <t>9846253:eng</t>
        </is>
      </c>
      <c r="AV506" t="inlineStr">
        <is>
          <t>15654197</t>
        </is>
      </c>
      <c r="AW506" t="inlineStr">
        <is>
          <t>991001051129702656</t>
        </is>
      </c>
      <c r="AX506" t="inlineStr">
        <is>
          <t>991001051129702656</t>
        </is>
      </c>
      <c r="AY506" t="inlineStr">
        <is>
          <t>2266813050002656</t>
        </is>
      </c>
      <c r="AZ506" t="inlineStr">
        <is>
          <t>BOOK</t>
        </is>
      </c>
      <c r="BB506" t="inlineStr">
        <is>
          <t>9780691084459</t>
        </is>
      </c>
      <c r="BC506" t="inlineStr">
        <is>
          <t>32285001434736</t>
        </is>
      </c>
      <c r="BD506" t="inlineStr">
        <is>
          <t>893321592</t>
        </is>
      </c>
    </row>
    <row r="507">
      <c r="A507" t="inlineStr">
        <is>
          <t>No</t>
        </is>
      </c>
      <c r="B507" t="inlineStr">
        <is>
          <t>QB857 .F47 1982</t>
        </is>
      </c>
      <c r="C507" t="inlineStr">
        <is>
          <t>0                      QB 0857000F  47          1982</t>
        </is>
      </c>
      <c r="D507" t="inlineStr">
        <is>
          <t>Galaxies / written and with photographs selected by Timothy Ferris ; illustrations by Sarah Landry.</t>
        </is>
      </c>
      <c r="F507" t="inlineStr">
        <is>
          <t>No</t>
        </is>
      </c>
      <c r="G507" t="inlineStr">
        <is>
          <t>1</t>
        </is>
      </c>
      <c r="H507" t="inlineStr">
        <is>
          <t>No</t>
        </is>
      </c>
      <c r="I507" t="inlineStr">
        <is>
          <t>No</t>
        </is>
      </c>
      <c r="J507" t="inlineStr">
        <is>
          <t>0</t>
        </is>
      </c>
      <c r="K507" t="inlineStr">
        <is>
          <t>Ferris, Timothy.</t>
        </is>
      </c>
      <c r="L507" t="inlineStr">
        <is>
          <t>New York : Stewart, Tabori &amp; Chang ; San Francisco : Sierra Club Books, 1982.</t>
        </is>
      </c>
      <c r="M507" t="inlineStr">
        <is>
          <t>1982</t>
        </is>
      </c>
      <c r="O507" t="inlineStr">
        <is>
          <t>eng</t>
        </is>
      </c>
      <c r="P507" t="inlineStr">
        <is>
          <t>nyu</t>
        </is>
      </c>
      <c r="R507" t="inlineStr">
        <is>
          <t xml:space="preserve">QB </t>
        </is>
      </c>
      <c r="S507" t="n">
        <v>8</v>
      </c>
      <c r="T507" t="n">
        <v>8</v>
      </c>
      <c r="U507" t="inlineStr">
        <is>
          <t>1998-12-09</t>
        </is>
      </c>
      <c r="V507" t="inlineStr">
        <is>
          <t>1998-12-09</t>
        </is>
      </c>
      <c r="W507" t="inlineStr">
        <is>
          <t>1992-11-24</t>
        </is>
      </c>
      <c r="X507" t="inlineStr">
        <is>
          <t>1992-11-24</t>
        </is>
      </c>
      <c r="Y507" t="n">
        <v>552</v>
      </c>
      <c r="Z507" t="n">
        <v>503</v>
      </c>
      <c r="AA507" t="n">
        <v>1020</v>
      </c>
      <c r="AB507" t="n">
        <v>2</v>
      </c>
      <c r="AC507" t="n">
        <v>3</v>
      </c>
      <c r="AD507" t="n">
        <v>14</v>
      </c>
      <c r="AE507" t="n">
        <v>22</v>
      </c>
      <c r="AF507" t="n">
        <v>8</v>
      </c>
      <c r="AG507" t="n">
        <v>12</v>
      </c>
      <c r="AH507" t="n">
        <v>2</v>
      </c>
      <c r="AI507" t="n">
        <v>5</v>
      </c>
      <c r="AJ507" t="n">
        <v>8</v>
      </c>
      <c r="AK507" t="n">
        <v>12</v>
      </c>
      <c r="AL507" t="n">
        <v>1</v>
      </c>
      <c r="AM507" t="n">
        <v>1</v>
      </c>
      <c r="AN507" t="n">
        <v>0</v>
      </c>
      <c r="AO507" t="n">
        <v>0</v>
      </c>
      <c r="AP507" t="inlineStr">
        <is>
          <t>No</t>
        </is>
      </c>
      <c r="AQ507" t="inlineStr">
        <is>
          <t>Yes</t>
        </is>
      </c>
      <c r="AR507">
        <f>HYPERLINK("http://catalog.hathitrust.org/Record/004393414","HathiTrust Record")</f>
        <v/>
      </c>
      <c r="AS507">
        <f>HYPERLINK("https://creighton-primo.hosted.exlibrisgroup.com/primo-explore/search?tab=default_tab&amp;search_scope=EVERYTHING&amp;vid=01CRU&amp;lang=en_US&amp;offset=0&amp;query=any,contains,991005204599702656","Catalog Record")</f>
        <v/>
      </c>
      <c r="AT507">
        <f>HYPERLINK("http://www.worldcat.org/oclc/8111937","WorldCat Record")</f>
        <v/>
      </c>
      <c r="AU507" t="inlineStr">
        <is>
          <t>565423:eng</t>
        </is>
      </c>
      <c r="AV507" t="inlineStr">
        <is>
          <t>8111937</t>
        </is>
      </c>
      <c r="AW507" t="inlineStr">
        <is>
          <t>991005204599702656</t>
        </is>
      </c>
      <c r="AX507" t="inlineStr">
        <is>
          <t>991005204599702656</t>
        </is>
      </c>
      <c r="AY507" t="inlineStr">
        <is>
          <t>2257146040002656</t>
        </is>
      </c>
      <c r="AZ507" t="inlineStr">
        <is>
          <t>BOOK</t>
        </is>
      </c>
      <c r="BB507" t="inlineStr">
        <is>
          <t>9780941434010</t>
        </is>
      </c>
      <c r="BC507" t="inlineStr">
        <is>
          <t>32285001434744</t>
        </is>
      </c>
      <c r="BD507" t="inlineStr">
        <is>
          <t>893446650</t>
        </is>
      </c>
    </row>
    <row r="508">
      <c r="A508" t="inlineStr">
        <is>
          <t>No</t>
        </is>
      </c>
      <c r="B508" t="inlineStr">
        <is>
          <t>QB857 .H625 1986</t>
        </is>
      </c>
      <c r="C508" t="inlineStr">
        <is>
          <t>0                      QB 0857000H  625         1986</t>
        </is>
      </c>
      <c r="D508" t="inlineStr">
        <is>
          <t>Galaxies / Paul W. Hodge.</t>
        </is>
      </c>
      <c r="F508" t="inlineStr">
        <is>
          <t>No</t>
        </is>
      </c>
      <c r="G508" t="inlineStr">
        <is>
          <t>1</t>
        </is>
      </c>
      <c r="H508" t="inlineStr">
        <is>
          <t>No</t>
        </is>
      </c>
      <c r="I508" t="inlineStr">
        <is>
          <t>No</t>
        </is>
      </c>
      <c r="J508" t="inlineStr">
        <is>
          <t>0</t>
        </is>
      </c>
      <c r="K508" t="inlineStr">
        <is>
          <t>Hodge, Paul W.</t>
        </is>
      </c>
      <c r="L508" t="inlineStr">
        <is>
          <t>Cambridge, Mass. : Harvard University Press, 1986.</t>
        </is>
      </c>
      <c r="M508" t="inlineStr">
        <is>
          <t>1986</t>
        </is>
      </c>
      <c r="O508" t="inlineStr">
        <is>
          <t>eng</t>
        </is>
      </c>
      <c r="P508" t="inlineStr">
        <is>
          <t>mau</t>
        </is>
      </c>
      <c r="Q508" t="inlineStr">
        <is>
          <t>The Harvard books on astronomy</t>
        </is>
      </c>
      <c r="R508" t="inlineStr">
        <is>
          <t xml:space="preserve">QB </t>
        </is>
      </c>
      <c r="S508" t="n">
        <v>2</v>
      </c>
      <c r="T508" t="n">
        <v>2</v>
      </c>
      <c r="U508" t="inlineStr">
        <is>
          <t>1993-11-29</t>
        </is>
      </c>
      <c r="V508" t="inlineStr">
        <is>
          <t>1993-11-29</t>
        </is>
      </c>
      <c r="W508" t="inlineStr">
        <is>
          <t>1992-11-24</t>
        </is>
      </c>
      <c r="X508" t="inlineStr">
        <is>
          <t>1992-11-24</t>
        </is>
      </c>
      <c r="Y508" t="n">
        <v>584</v>
      </c>
      <c r="Z508" t="n">
        <v>520</v>
      </c>
      <c r="AA508" t="n">
        <v>531</v>
      </c>
      <c r="AB508" t="n">
        <v>5</v>
      </c>
      <c r="AC508" t="n">
        <v>5</v>
      </c>
      <c r="AD508" t="n">
        <v>22</v>
      </c>
      <c r="AE508" t="n">
        <v>22</v>
      </c>
      <c r="AF508" t="n">
        <v>9</v>
      </c>
      <c r="AG508" t="n">
        <v>9</v>
      </c>
      <c r="AH508" t="n">
        <v>6</v>
      </c>
      <c r="AI508" t="n">
        <v>6</v>
      </c>
      <c r="AJ508" t="n">
        <v>12</v>
      </c>
      <c r="AK508" t="n">
        <v>12</v>
      </c>
      <c r="AL508" t="n">
        <v>3</v>
      </c>
      <c r="AM508" t="n">
        <v>3</v>
      </c>
      <c r="AN508" t="n">
        <v>0</v>
      </c>
      <c r="AO508" t="n">
        <v>0</v>
      </c>
      <c r="AP508" t="inlineStr">
        <is>
          <t>No</t>
        </is>
      </c>
      <c r="AQ508" t="inlineStr">
        <is>
          <t>Yes</t>
        </is>
      </c>
      <c r="AR508">
        <f>HYPERLINK("http://catalog.hathitrust.org/Record/000627441","HathiTrust Record")</f>
        <v/>
      </c>
      <c r="AS508">
        <f>HYPERLINK("https://creighton-primo.hosted.exlibrisgroup.com/primo-explore/search?tab=default_tab&amp;search_scope=EVERYTHING&amp;vid=01CRU&amp;lang=en_US&amp;offset=0&amp;query=any,contains,991000641099702656","Catalog Record")</f>
        <v/>
      </c>
      <c r="AT508">
        <f>HYPERLINK("http://www.worldcat.org/oclc/12104223","WorldCat Record")</f>
        <v/>
      </c>
      <c r="AU508" t="inlineStr">
        <is>
          <t>3945656142:eng</t>
        </is>
      </c>
      <c r="AV508" t="inlineStr">
        <is>
          <t>12104223</t>
        </is>
      </c>
      <c r="AW508" t="inlineStr">
        <is>
          <t>991000641099702656</t>
        </is>
      </c>
      <c r="AX508" t="inlineStr">
        <is>
          <t>991000641099702656</t>
        </is>
      </c>
      <c r="AY508" t="inlineStr">
        <is>
          <t>2260022830002656</t>
        </is>
      </c>
      <c r="AZ508" t="inlineStr">
        <is>
          <t>BOOK</t>
        </is>
      </c>
      <c r="BB508" t="inlineStr">
        <is>
          <t>9780674340657</t>
        </is>
      </c>
      <c r="BC508" t="inlineStr">
        <is>
          <t>32285001434777</t>
        </is>
      </c>
      <c r="BD508" t="inlineStr">
        <is>
          <t>893321216</t>
        </is>
      </c>
    </row>
    <row r="509">
      <c r="A509" t="inlineStr">
        <is>
          <t>No</t>
        </is>
      </c>
      <c r="B509" t="inlineStr">
        <is>
          <t>QB857 .R83 1997</t>
        </is>
      </c>
      <c r="C509" t="inlineStr">
        <is>
          <t>0                      QB 0857000R  83          1997</t>
        </is>
      </c>
      <c r="D509" t="inlineStr">
        <is>
          <t>Bright galaxies, dark matters / Vera Rubin.</t>
        </is>
      </c>
      <c r="F509" t="inlineStr">
        <is>
          <t>No</t>
        </is>
      </c>
      <c r="G509" t="inlineStr">
        <is>
          <t>1</t>
        </is>
      </c>
      <c r="H509" t="inlineStr">
        <is>
          <t>No</t>
        </is>
      </c>
      <c r="I509" t="inlineStr">
        <is>
          <t>No</t>
        </is>
      </c>
      <c r="J509" t="inlineStr">
        <is>
          <t>0</t>
        </is>
      </c>
      <c r="K509" t="inlineStr">
        <is>
          <t>Rubin, Vera C., 1928-2016.</t>
        </is>
      </c>
      <c r="L509" t="inlineStr">
        <is>
          <t>Woodbury, N.Y. : American Institute of Physics, c1997.</t>
        </is>
      </c>
      <c r="M509" t="inlineStr">
        <is>
          <t>1997</t>
        </is>
      </c>
      <c r="O509" t="inlineStr">
        <is>
          <t>eng</t>
        </is>
      </c>
      <c r="P509" t="inlineStr">
        <is>
          <t>nyu</t>
        </is>
      </c>
      <c r="Q509" t="inlineStr">
        <is>
          <t>Masters of modern physics</t>
        </is>
      </c>
      <c r="R509" t="inlineStr">
        <is>
          <t xml:space="preserve">QB </t>
        </is>
      </c>
      <c r="S509" t="n">
        <v>2</v>
      </c>
      <c r="T509" t="n">
        <v>2</v>
      </c>
      <c r="U509" t="inlineStr">
        <is>
          <t>2007-11-19</t>
        </is>
      </c>
      <c r="V509" t="inlineStr">
        <is>
          <t>2007-11-19</t>
        </is>
      </c>
      <c r="W509" t="inlineStr">
        <is>
          <t>1997-12-15</t>
        </is>
      </c>
      <c r="X509" t="inlineStr">
        <is>
          <t>1997-12-15</t>
        </is>
      </c>
      <c r="Y509" t="n">
        <v>472</v>
      </c>
      <c r="Z509" t="n">
        <v>416</v>
      </c>
      <c r="AA509" t="n">
        <v>416</v>
      </c>
      <c r="AB509" t="n">
        <v>3</v>
      </c>
      <c r="AC509" t="n">
        <v>3</v>
      </c>
      <c r="AD509" t="n">
        <v>13</v>
      </c>
      <c r="AE509" t="n">
        <v>13</v>
      </c>
      <c r="AF509" t="n">
        <v>3</v>
      </c>
      <c r="AG509" t="n">
        <v>3</v>
      </c>
      <c r="AH509" t="n">
        <v>4</v>
      </c>
      <c r="AI509" t="n">
        <v>4</v>
      </c>
      <c r="AJ509" t="n">
        <v>7</v>
      </c>
      <c r="AK509" t="n">
        <v>7</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HYPERLINK("https://creighton-primo.hosted.exlibrisgroup.com/primo-explore/search?tab=default_tab&amp;search_scope=EVERYTHING&amp;vid=01CRU&amp;lang=en_US&amp;offset=0&amp;query=any,contains,991002680799702656","Catalog Record")</f>
        <v/>
      </c>
      <c r="AT509">
        <f>HYPERLINK("http://www.worldcat.org/oclc/35033547","WorldCat Record")</f>
        <v/>
      </c>
      <c r="AU509" t="inlineStr">
        <is>
          <t>5612294508:eng</t>
        </is>
      </c>
      <c r="AV509" t="inlineStr">
        <is>
          <t>35033547</t>
        </is>
      </c>
      <c r="AW509" t="inlineStr">
        <is>
          <t>991002680799702656</t>
        </is>
      </c>
      <c r="AX509" t="inlineStr">
        <is>
          <t>991002680799702656</t>
        </is>
      </c>
      <c r="AY509" t="inlineStr">
        <is>
          <t>2269146360002656</t>
        </is>
      </c>
      <c r="AZ509" t="inlineStr">
        <is>
          <t>BOOK</t>
        </is>
      </c>
      <c r="BB509" t="inlineStr">
        <is>
          <t>9781563962318</t>
        </is>
      </c>
      <c r="BC509" t="inlineStr">
        <is>
          <t>32285003283461</t>
        </is>
      </c>
      <c r="BD509" t="inlineStr">
        <is>
          <t>893591642</t>
        </is>
      </c>
    </row>
    <row r="510">
      <c r="A510" t="inlineStr">
        <is>
          <t>No</t>
        </is>
      </c>
      <c r="B510" t="inlineStr">
        <is>
          <t>QB857 .S73 1990</t>
        </is>
      </c>
      <c r="C510" t="inlineStr">
        <is>
          <t>0                      QB 0857000S  73          1990</t>
        </is>
      </c>
      <c r="D510" t="inlineStr">
        <is>
          <t>Stars and galaxies : citizens of the universe : readings from Scientific American magazine / edited by Donald E. Osterbrock.</t>
        </is>
      </c>
      <c r="F510" t="inlineStr">
        <is>
          <t>No</t>
        </is>
      </c>
      <c r="G510" t="inlineStr">
        <is>
          <t>1</t>
        </is>
      </c>
      <c r="H510" t="inlineStr">
        <is>
          <t>No</t>
        </is>
      </c>
      <c r="I510" t="inlineStr">
        <is>
          <t>No</t>
        </is>
      </c>
      <c r="J510" t="inlineStr">
        <is>
          <t>0</t>
        </is>
      </c>
      <c r="L510" t="inlineStr">
        <is>
          <t>New York : W.H. Freeman, c1990.</t>
        </is>
      </c>
      <c r="M510" t="inlineStr">
        <is>
          <t>1990</t>
        </is>
      </c>
      <c r="O510" t="inlineStr">
        <is>
          <t>eng</t>
        </is>
      </c>
      <c r="P510" t="inlineStr">
        <is>
          <t>nyu</t>
        </is>
      </c>
      <c r="R510" t="inlineStr">
        <is>
          <t xml:space="preserve">QB </t>
        </is>
      </c>
      <c r="S510" t="n">
        <v>5</v>
      </c>
      <c r="T510" t="n">
        <v>5</v>
      </c>
      <c r="U510" t="inlineStr">
        <is>
          <t>1993-11-29</t>
        </is>
      </c>
      <c r="V510" t="inlineStr">
        <is>
          <t>1993-11-29</t>
        </is>
      </c>
      <c r="W510" t="inlineStr">
        <is>
          <t>1991-08-21</t>
        </is>
      </c>
      <c r="X510" t="inlineStr">
        <is>
          <t>1991-08-21</t>
        </is>
      </c>
      <c r="Y510" t="n">
        <v>217</v>
      </c>
      <c r="Z510" t="n">
        <v>152</v>
      </c>
      <c r="AA510" t="n">
        <v>157</v>
      </c>
      <c r="AB510" t="n">
        <v>1</v>
      </c>
      <c r="AC510" t="n">
        <v>1</v>
      </c>
      <c r="AD510" t="n">
        <v>1</v>
      </c>
      <c r="AE510" t="n">
        <v>1</v>
      </c>
      <c r="AF510" t="n">
        <v>0</v>
      </c>
      <c r="AG510" t="n">
        <v>0</v>
      </c>
      <c r="AH510" t="n">
        <v>0</v>
      </c>
      <c r="AI510" t="n">
        <v>0</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HYPERLINK("https://creighton-primo.hosted.exlibrisgroup.com/primo-explore/search?tab=default_tab&amp;search_scope=EVERYTHING&amp;vid=01CRU&amp;lang=en_US&amp;offset=0&amp;query=any,contains,991001604159702656","Catalog Record")</f>
        <v/>
      </c>
      <c r="AT510">
        <f>HYPERLINK("http://www.worldcat.org/oclc/20690356","WorldCat Record")</f>
        <v/>
      </c>
      <c r="AU510" t="inlineStr">
        <is>
          <t>836749941:eng</t>
        </is>
      </c>
      <c r="AV510" t="inlineStr">
        <is>
          <t>20690356</t>
        </is>
      </c>
      <c r="AW510" t="inlineStr">
        <is>
          <t>991001604159702656</t>
        </is>
      </c>
      <c r="AX510" t="inlineStr">
        <is>
          <t>991001604159702656</t>
        </is>
      </c>
      <c r="AY510" t="inlineStr">
        <is>
          <t>2258032590002656</t>
        </is>
      </c>
      <c r="AZ510" t="inlineStr">
        <is>
          <t>BOOK</t>
        </is>
      </c>
      <c r="BB510" t="inlineStr">
        <is>
          <t>9780716720690</t>
        </is>
      </c>
      <c r="BC510" t="inlineStr">
        <is>
          <t>32285000669175</t>
        </is>
      </c>
      <c r="BD510" t="inlineStr">
        <is>
          <t>893516310</t>
        </is>
      </c>
    </row>
    <row r="511">
      <c r="A511" t="inlineStr">
        <is>
          <t>No</t>
        </is>
      </c>
      <c r="B511" t="inlineStr">
        <is>
          <t>QB857 .T37 1993</t>
        </is>
      </c>
      <c r="C511" t="inlineStr">
        <is>
          <t>0                      QB 0857000T  37          1993</t>
        </is>
      </c>
      <c r="D511" t="inlineStr">
        <is>
          <t>Galaxies : structure and evolution / Roger J. Tayler.</t>
        </is>
      </c>
      <c r="F511" t="inlineStr">
        <is>
          <t>No</t>
        </is>
      </c>
      <c r="G511" t="inlineStr">
        <is>
          <t>1</t>
        </is>
      </c>
      <c r="H511" t="inlineStr">
        <is>
          <t>No</t>
        </is>
      </c>
      <c r="I511" t="inlineStr">
        <is>
          <t>No</t>
        </is>
      </c>
      <c r="J511" t="inlineStr">
        <is>
          <t>0</t>
        </is>
      </c>
      <c r="K511" t="inlineStr">
        <is>
          <t>Tayler, R. J. (Roger John)</t>
        </is>
      </c>
      <c r="L511" t="inlineStr">
        <is>
          <t>Cambridge [England] ; New York, NY, USA : Cambridge University Press, 1993.</t>
        </is>
      </c>
      <c r="M511" t="inlineStr">
        <is>
          <t>1993</t>
        </is>
      </c>
      <c r="N511" t="inlineStr">
        <is>
          <t>Rev. ed.</t>
        </is>
      </c>
      <c r="O511" t="inlineStr">
        <is>
          <t>eng</t>
        </is>
      </c>
      <c r="P511" t="inlineStr">
        <is>
          <t>enk</t>
        </is>
      </c>
      <c r="R511" t="inlineStr">
        <is>
          <t xml:space="preserve">QB </t>
        </is>
      </c>
      <c r="S511" t="n">
        <v>2</v>
      </c>
      <c r="T511" t="n">
        <v>2</v>
      </c>
      <c r="U511" t="inlineStr">
        <is>
          <t>2009-04-08</t>
        </is>
      </c>
      <c r="V511" t="inlineStr">
        <is>
          <t>2009-04-08</t>
        </is>
      </c>
      <c r="W511" t="inlineStr">
        <is>
          <t>1994-01-13</t>
        </is>
      </c>
      <c r="X511" t="inlineStr">
        <is>
          <t>1994-01-13</t>
        </is>
      </c>
      <c r="Y511" t="n">
        <v>432</v>
      </c>
      <c r="Z511" t="n">
        <v>301</v>
      </c>
      <c r="AA511" t="n">
        <v>473</v>
      </c>
      <c r="AB511" t="n">
        <v>3</v>
      </c>
      <c r="AC511" t="n">
        <v>3</v>
      </c>
      <c r="AD511" t="n">
        <v>13</v>
      </c>
      <c r="AE511" t="n">
        <v>22</v>
      </c>
      <c r="AF511" t="n">
        <v>3</v>
      </c>
      <c r="AG511" t="n">
        <v>8</v>
      </c>
      <c r="AH511" t="n">
        <v>3</v>
      </c>
      <c r="AI511" t="n">
        <v>6</v>
      </c>
      <c r="AJ511" t="n">
        <v>8</v>
      </c>
      <c r="AK511" t="n">
        <v>13</v>
      </c>
      <c r="AL511" t="n">
        <v>2</v>
      </c>
      <c r="AM511" t="n">
        <v>2</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HYPERLINK("https://creighton-primo.hosted.exlibrisgroup.com/primo-explore/search?tab=default_tab&amp;search_scope=EVERYTHING&amp;vid=01CRU&amp;lang=en_US&amp;offset=0&amp;query=any,contains,991002042099702656","Catalog Record")</f>
        <v/>
      </c>
      <c r="AT511">
        <f>HYPERLINK("http://www.worldcat.org/oclc/26054702","WorldCat Record")</f>
        <v/>
      </c>
      <c r="AU511" t="inlineStr">
        <is>
          <t>28472234:eng</t>
        </is>
      </c>
      <c r="AV511" t="inlineStr">
        <is>
          <t>26054702</t>
        </is>
      </c>
      <c r="AW511" t="inlineStr">
        <is>
          <t>991002042099702656</t>
        </is>
      </c>
      <c r="AX511" t="inlineStr">
        <is>
          <t>991002042099702656</t>
        </is>
      </c>
      <c r="AY511" t="inlineStr">
        <is>
          <t>2256446370002656</t>
        </is>
      </c>
      <c r="AZ511" t="inlineStr">
        <is>
          <t>BOOK</t>
        </is>
      </c>
      <c r="BB511" t="inlineStr">
        <is>
          <t>9780521364317</t>
        </is>
      </c>
      <c r="BC511" t="inlineStr">
        <is>
          <t>32285001831048</t>
        </is>
      </c>
      <c r="BD511" t="inlineStr">
        <is>
          <t>893427140</t>
        </is>
      </c>
    </row>
    <row r="512">
      <c r="A512" t="inlineStr">
        <is>
          <t>No</t>
        </is>
      </c>
      <c r="B512" t="inlineStr">
        <is>
          <t>QB857 .U55 1984</t>
        </is>
      </c>
      <c r="C512" t="inlineStr">
        <is>
          <t>0                      QB 0857000U  55          1984</t>
        </is>
      </c>
      <c r="D512" t="inlineStr">
        <is>
          <t>The Universe of galaxies / compiled by Paul W. Hodge.</t>
        </is>
      </c>
      <c r="F512" t="inlineStr">
        <is>
          <t>No</t>
        </is>
      </c>
      <c r="G512" t="inlineStr">
        <is>
          <t>1</t>
        </is>
      </c>
      <c r="H512" t="inlineStr">
        <is>
          <t>No</t>
        </is>
      </c>
      <c r="I512" t="inlineStr">
        <is>
          <t>No</t>
        </is>
      </c>
      <c r="J512" t="inlineStr">
        <is>
          <t>0</t>
        </is>
      </c>
      <c r="L512" t="inlineStr">
        <is>
          <t>New York : W.H. Freeman, c1984.</t>
        </is>
      </c>
      <c r="M512" t="inlineStr">
        <is>
          <t>1984</t>
        </is>
      </c>
      <c r="O512" t="inlineStr">
        <is>
          <t>eng</t>
        </is>
      </c>
      <c r="P512" t="inlineStr">
        <is>
          <t>nyu</t>
        </is>
      </c>
      <c r="R512" t="inlineStr">
        <is>
          <t xml:space="preserve">QB </t>
        </is>
      </c>
      <c r="S512" t="n">
        <v>1</v>
      </c>
      <c r="T512" t="n">
        <v>1</v>
      </c>
      <c r="U512" t="inlineStr">
        <is>
          <t>2007-11-11</t>
        </is>
      </c>
      <c r="V512" t="inlineStr">
        <is>
          <t>2007-11-11</t>
        </is>
      </c>
      <c r="W512" t="inlineStr">
        <is>
          <t>1992-11-24</t>
        </is>
      </c>
      <c r="X512" t="inlineStr">
        <is>
          <t>1992-11-24</t>
        </is>
      </c>
      <c r="Y512" t="n">
        <v>549</v>
      </c>
      <c r="Z512" t="n">
        <v>474</v>
      </c>
      <c r="AA512" t="n">
        <v>475</v>
      </c>
      <c r="AB512" t="n">
        <v>3</v>
      </c>
      <c r="AC512" t="n">
        <v>3</v>
      </c>
      <c r="AD512" t="n">
        <v>12</v>
      </c>
      <c r="AE512" t="n">
        <v>12</v>
      </c>
      <c r="AF512" t="n">
        <v>3</v>
      </c>
      <c r="AG512" t="n">
        <v>3</v>
      </c>
      <c r="AH512" t="n">
        <v>2</v>
      </c>
      <c r="AI512" t="n">
        <v>2</v>
      </c>
      <c r="AJ512" t="n">
        <v>9</v>
      </c>
      <c r="AK512" t="n">
        <v>9</v>
      </c>
      <c r="AL512" t="n">
        <v>1</v>
      </c>
      <c r="AM512" t="n">
        <v>1</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HYPERLINK("https://creighton-primo.hosted.exlibrisgroup.com/primo-explore/search?tab=default_tab&amp;search_scope=EVERYTHING&amp;vid=01CRU&amp;lang=en_US&amp;offset=0&amp;query=any,contains,991000382329702656","Catalog Record")</f>
        <v/>
      </c>
      <c r="AT512">
        <f>HYPERLINK("http://www.worldcat.org/oclc/10505597","WorldCat Record")</f>
        <v/>
      </c>
      <c r="AU512" t="inlineStr">
        <is>
          <t>1028233803:eng</t>
        </is>
      </c>
      <c r="AV512" t="inlineStr">
        <is>
          <t>10505597</t>
        </is>
      </c>
      <c r="AW512" t="inlineStr">
        <is>
          <t>991000382329702656</t>
        </is>
      </c>
      <c r="AX512" t="inlineStr">
        <is>
          <t>991000382329702656</t>
        </is>
      </c>
      <c r="AY512" t="inlineStr">
        <is>
          <t>2254982560002656</t>
        </is>
      </c>
      <c r="AZ512" t="inlineStr">
        <is>
          <t>BOOK</t>
        </is>
      </c>
      <c r="BB512" t="inlineStr">
        <is>
          <t>9780716716761</t>
        </is>
      </c>
      <c r="BC512" t="inlineStr">
        <is>
          <t>32285001434835</t>
        </is>
      </c>
      <c r="BD512" t="inlineStr">
        <is>
          <t>893796591</t>
        </is>
      </c>
    </row>
    <row r="513">
      <c r="A513" t="inlineStr">
        <is>
          <t>No</t>
        </is>
      </c>
      <c r="B513" t="inlineStr">
        <is>
          <t>QB857.7 .A38 1989</t>
        </is>
      </c>
      <c r="C513" t="inlineStr">
        <is>
          <t>0                      QB 0857700A  38          1989</t>
        </is>
      </c>
      <c r="D513" t="inlineStr">
        <is>
          <t>The Milky Way as a galaxy : Saas-Fee Advanced Course no. 19, lecture notes, Swiss Society of Astrophysics and Astronomy, 1989 / Gerard Gilmore, Ivan R. King, Pieter C. van der Kruit ; edited by Roland Buser, Ivan R. King.</t>
        </is>
      </c>
      <c r="F513" t="inlineStr">
        <is>
          <t>No</t>
        </is>
      </c>
      <c r="G513" t="inlineStr">
        <is>
          <t>1</t>
        </is>
      </c>
      <c r="H513" t="inlineStr">
        <is>
          <t>No</t>
        </is>
      </c>
      <c r="I513" t="inlineStr">
        <is>
          <t>No</t>
        </is>
      </c>
      <c r="J513" t="inlineStr">
        <is>
          <t>0</t>
        </is>
      </c>
      <c r="K513" t="inlineStr">
        <is>
          <t>Advanced Course of the Swiss Society of Astrophysics and Astronomy (19th : 1989 : Leysin, Switzerland)</t>
        </is>
      </c>
      <c r="L513" t="inlineStr">
        <is>
          <t>Mill Valley, CA : University Science Books, c1990.</t>
        </is>
      </c>
      <c r="M513" t="inlineStr">
        <is>
          <t>1990</t>
        </is>
      </c>
      <c r="O513" t="inlineStr">
        <is>
          <t>eng</t>
        </is>
      </c>
      <c r="P513" t="inlineStr">
        <is>
          <t>cau</t>
        </is>
      </c>
      <c r="R513" t="inlineStr">
        <is>
          <t xml:space="preserve">QB </t>
        </is>
      </c>
      <c r="S513" t="n">
        <v>4</v>
      </c>
      <c r="T513" t="n">
        <v>4</v>
      </c>
      <c r="U513" t="inlineStr">
        <is>
          <t>1993-11-29</t>
        </is>
      </c>
      <c r="V513" t="inlineStr">
        <is>
          <t>1993-11-29</t>
        </is>
      </c>
      <c r="W513" t="inlineStr">
        <is>
          <t>1991-09-24</t>
        </is>
      </c>
      <c r="X513" t="inlineStr">
        <is>
          <t>1991-09-24</t>
        </is>
      </c>
      <c r="Y513" t="n">
        <v>283</v>
      </c>
      <c r="Z513" t="n">
        <v>229</v>
      </c>
      <c r="AA513" t="n">
        <v>236</v>
      </c>
      <c r="AB513" t="n">
        <v>2</v>
      </c>
      <c r="AC513" t="n">
        <v>2</v>
      </c>
      <c r="AD513" t="n">
        <v>6</v>
      </c>
      <c r="AE513" t="n">
        <v>6</v>
      </c>
      <c r="AF513" t="n">
        <v>1</v>
      </c>
      <c r="AG513" t="n">
        <v>1</v>
      </c>
      <c r="AH513" t="n">
        <v>1</v>
      </c>
      <c r="AI513" t="n">
        <v>1</v>
      </c>
      <c r="AJ513" t="n">
        <v>3</v>
      </c>
      <c r="AK513" t="n">
        <v>3</v>
      </c>
      <c r="AL513" t="n">
        <v>1</v>
      </c>
      <c r="AM513" t="n">
        <v>1</v>
      </c>
      <c r="AN513" t="n">
        <v>0</v>
      </c>
      <c r="AO513" t="n">
        <v>0</v>
      </c>
      <c r="AP513" t="inlineStr">
        <is>
          <t>No</t>
        </is>
      </c>
      <c r="AQ513" t="inlineStr">
        <is>
          <t>Yes</t>
        </is>
      </c>
      <c r="AR513">
        <f>HYPERLINK("http://catalog.hathitrust.org/Record/002428292","HathiTrust Record")</f>
        <v/>
      </c>
      <c r="AS513">
        <f>HYPERLINK("https://creighton-primo.hosted.exlibrisgroup.com/primo-explore/search?tab=default_tab&amp;search_scope=EVERYTHING&amp;vid=01CRU&amp;lang=en_US&amp;offset=0&amp;query=any,contains,991001767579702656","Catalog Record")</f>
        <v/>
      </c>
      <c r="AT513">
        <f>HYPERLINK("http://www.worldcat.org/oclc/22336151","WorldCat Record")</f>
        <v/>
      </c>
      <c r="AU513" t="inlineStr">
        <is>
          <t>8907797241:eng</t>
        </is>
      </c>
      <c r="AV513" t="inlineStr">
        <is>
          <t>22336151</t>
        </is>
      </c>
      <c r="AW513" t="inlineStr">
        <is>
          <t>991001767579702656</t>
        </is>
      </c>
      <c r="AX513" t="inlineStr">
        <is>
          <t>991001767579702656</t>
        </is>
      </c>
      <c r="AY513" t="inlineStr">
        <is>
          <t>2258474620002656</t>
        </is>
      </c>
      <c r="AZ513" t="inlineStr">
        <is>
          <t>BOOK</t>
        </is>
      </c>
      <c r="BB513" t="inlineStr">
        <is>
          <t>9780935702620</t>
        </is>
      </c>
      <c r="BC513" t="inlineStr">
        <is>
          <t>32285000704972</t>
        </is>
      </c>
      <c r="BD513" t="inlineStr">
        <is>
          <t>893697016</t>
        </is>
      </c>
    </row>
    <row r="514">
      <c r="A514" t="inlineStr">
        <is>
          <t>No</t>
        </is>
      </c>
      <c r="B514" t="inlineStr">
        <is>
          <t>QB857.7 .B64 1981</t>
        </is>
      </c>
      <c r="C514" t="inlineStr">
        <is>
          <t>0                      QB 0857700B  64          1981</t>
        </is>
      </c>
      <c r="D514" t="inlineStr">
        <is>
          <t>The Milky Way / Bart J. Bok and Priscilla F. Bok.</t>
        </is>
      </c>
      <c r="F514" t="inlineStr">
        <is>
          <t>No</t>
        </is>
      </c>
      <c r="G514" t="inlineStr">
        <is>
          <t>1</t>
        </is>
      </c>
      <c r="H514" t="inlineStr">
        <is>
          <t>No</t>
        </is>
      </c>
      <c r="I514" t="inlineStr">
        <is>
          <t>No</t>
        </is>
      </c>
      <c r="J514" t="inlineStr">
        <is>
          <t>0</t>
        </is>
      </c>
      <c r="K514" t="inlineStr">
        <is>
          <t>Bok, Bart J. (Bart Jan), 1906-1983.</t>
        </is>
      </c>
      <c r="L514" t="inlineStr">
        <is>
          <t>Cambridge, Mass. : Harvard University Press, 1981.</t>
        </is>
      </c>
      <c r="M514" t="inlineStr">
        <is>
          <t>1981</t>
        </is>
      </c>
      <c r="N514" t="inlineStr">
        <is>
          <t>5th ed.</t>
        </is>
      </c>
      <c r="O514" t="inlineStr">
        <is>
          <t>eng</t>
        </is>
      </c>
      <c r="P514" t="inlineStr">
        <is>
          <t>mau</t>
        </is>
      </c>
      <c r="Q514" t="inlineStr">
        <is>
          <t>The Harvard books on astronomy</t>
        </is>
      </c>
      <c r="R514" t="inlineStr">
        <is>
          <t xml:space="preserve">QB </t>
        </is>
      </c>
      <c r="S514" t="n">
        <v>2</v>
      </c>
      <c r="T514" t="n">
        <v>2</v>
      </c>
      <c r="U514" t="inlineStr">
        <is>
          <t>1992-05-18</t>
        </is>
      </c>
      <c r="V514" t="inlineStr">
        <is>
          <t>1992-05-18</t>
        </is>
      </c>
      <c r="W514" t="inlineStr">
        <is>
          <t>1992-01-14</t>
        </is>
      </c>
      <c r="X514" t="inlineStr">
        <is>
          <t>1992-01-14</t>
        </is>
      </c>
      <c r="Y514" t="n">
        <v>685</v>
      </c>
      <c r="Z514" t="n">
        <v>579</v>
      </c>
      <c r="AA514" t="n">
        <v>1212</v>
      </c>
      <c r="AB514" t="n">
        <v>3</v>
      </c>
      <c r="AC514" t="n">
        <v>8</v>
      </c>
      <c r="AD514" t="n">
        <v>18</v>
      </c>
      <c r="AE514" t="n">
        <v>37</v>
      </c>
      <c r="AF514" t="n">
        <v>7</v>
      </c>
      <c r="AG514" t="n">
        <v>13</v>
      </c>
      <c r="AH514" t="n">
        <v>6</v>
      </c>
      <c r="AI514" t="n">
        <v>8</v>
      </c>
      <c r="AJ514" t="n">
        <v>9</v>
      </c>
      <c r="AK514" t="n">
        <v>21</v>
      </c>
      <c r="AL514" t="n">
        <v>2</v>
      </c>
      <c r="AM514" t="n">
        <v>6</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HYPERLINK("https://creighton-primo.hosted.exlibrisgroup.com/primo-explore/search?tab=default_tab&amp;search_scope=EVERYTHING&amp;vid=01CRU&amp;lang=en_US&amp;offset=0&amp;query=any,contains,991005036469702656","Catalog Record")</f>
        <v/>
      </c>
      <c r="AT514">
        <f>HYPERLINK("http://www.worldcat.org/oclc/6762059","WorldCat Record")</f>
        <v/>
      </c>
      <c r="AU514" t="inlineStr">
        <is>
          <t>192228005:eng</t>
        </is>
      </c>
      <c r="AV514" t="inlineStr">
        <is>
          <t>6762059</t>
        </is>
      </c>
      <c r="AW514" t="inlineStr">
        <is>
          <t>991005036469702656</t>
        </is>
      </c>
      <c r="AX514" t="inlineStr">
        <is>
          <t>991005036469702656</t>
        </is>
      </c>
      <c r="AY514" t="inlineStr">
        <is>
          <t>2258403180002656</t>
        </is>
      </c>
      <c r="AZ514" t="inlineStr">
        <is>
          <t>BOOK</t>
        </is>
      </c>
      <c r="BB514" t="inlineStr">
        <is>
          <t>9780674575035</t>
        </is>
      </c>
      <c r="BC514" t="inlineStr">
        <is>
          <t>32285000897529</t>
        </is>
      </c>
      <c r="BD514" t="inlineStr">
        <is>
          <t>893801624</t>
        </is>
      </c>
    </row>
    <row r="515">
      <c r="A515" t="inlineStr">
        <is>
          <t>No</t>
        </is>
      </c>
      <c r="B515" t="inlineStr">
        <is>
          <t>QB857.7 .M53 1981</t>
        </is>
      </c>
      <c r="C515" t="inlineStr">
        <is>
          <t>0                      QB 0857700M  53          1981</t>
        </is>
      </c>
      <c r="D515" t="inlineStr">
        <is>
          <t>Galactic astronomy : structure and kinematics / Dimitri Mihalas and James Binney.</t>
        </is>
      </c>
      <c r="F515" t="inlineStr">
        <is>
          <t>No</t>
        </is>
      </c>
      <c r="G515" t="inlineStr">
        <is>
          <t>1</t>
        </is>
      </c>
      <c r="H515" t="inlineStr">
        <is>
          <t>No</t>
        </is>
      </c>
      <c r="I515" t="inlineStr">
        <is>
          <t>No</t>
        </is>
      </c>
      <c r="J515" t="inlineStr">
        <is>
          <t>0</t>
        </is>
      </c>
      <c r="K515" t="inlineStr">
        <is>
          <t>Mihalas, Dimitri, 1939-</t>
        </is>
      </c>
      <c r="L515" t="inlineStr">
        <is>
          <t>San Francisco : W.H. Freeman, c1981.</t>
        </is>
      </c>
      <c r="M515" t="inlineStr">
        <is>
          <t>1981</t>
        </is>
      </c>
      <c r="N515" t="inlineStr">
        <is>
          <t>2nd ed.</t>
        </is>
      </c>
      <c r="O515" t="inlineStr">
        <is>
          <t>eng</t>
        </is>
      </c>
      <c r="P515" t="inlineStr">
        <is>
          <t>cau</t>
        </is>
      </c>
      <c r="R515" t="inlineStr">
        <is>
          <t xml:space="preserve">QB </t>
        </is>
      </c>
      <c r="S515" t="n">
        <v>1</v>
      </c>
      <c r="T515" t="n">
        <v>1</v>
      </c>
      <c r="U515" t="inlineStr">
        <is>
          <t>1999-06-09</t>
        </is>
      </c>
      <c r="V515" t="inlineStr">
        <is>
          <t>1999-06-09</t>
        </is>
      </c>
      <c r="W515" t="inlineStr">
        <is>
          <t>1992-01-14</t>
        </is>
      </c>
      <c r="X515" t="inlineStr">
        <is>
          <t>1992-01-14</t>
        </is>
      </c>
      <c r="Y515" t="n">
        <v>387</v>
      </c>
      <c r="Z515" t="n">
        <v>281</v>
      </c>
      <c r="AA515" t="n">
        <v>281</v>
      </c>
      <c r="AB515" t="n">
        <v>4</v>
      </c>
      <c r="AC515" t="n">
        <v>4</v>
      </c>
      <c r="AD515" t="n">
        <v>13</v>
      </c>
      <c r="AE515" t="n">
        <v>13</v>
      </c>
      <c r="AF515" t="n">
        <v>4</v>
      </c>
      <c r="AG515" t="n">
        <v>4</v>
      </c>
      <c r="AH515" t="n">
        <v>4</v>
      </c>
      <c r="AI515" t="n">
        <v>4</v>
      </c>
      <c r="AJ515" t="n">
        <v>4</v>
      </c>
      <c r="AK515" t="n">
        <v>4</v>
      </c>
      <c r="AL515" t="n">
        <v>3</v>
      </c>
      <c r="AM515" t="n">
        <v>3</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HYPERLINK("https://creighton-primo.hosted.exlibrisgroup.com/primo-explore/search?tab=default_tab&amp;search_scope=EVERYTHING&amp;vid=01CRU&amp;lang=en_US&amp;offset=0&amp;query=any,contains,991005095919702656","Catalog Record")</f>
        <v/>
      </c>
      <c r="AT515">
        <f>HYPERLINK("http://www.worldcat.org/oclc/7273281","WorldCat Record")</f>
        <v/>
      </c>
      <c r="AU515" t="inlineStr">
        <is>
          <t>1330810:eng</t>
        </is>
      </c>
      <c r="AV515" t="inlineStr">
        <is>
          <t>7273281</t>
        </is>
      </c>
      <c r="AW515" t="inlineStr">
        <is>
          <t>991005095919702656</t>
        </is>
      </c>
      <c r="AX515" t="inlineStr">
        <is>
          <t>991005095919702656</t>
        </is>
      </c>
      <c r="AY515" t="inlineStr">
        <is>
          <t>2258385280002656</t>
        </is>
      </c>
      <c r="AZ515" t="inlineStr">
        <is>
          <t>BOOK</t>
        </is>
      </c>
      <c r="BB515" t="inlineStr">
        <is>
          <t>9780716712800</t>
        </is>
      </c>
      <c r="BC515" t="inlineStr">
        <is>
          <t>32285000897545</t>
        </is>
      </c>
      <c r="BD515" t="inlineStr">
        <is>
          <t>893707244</t>
        </is>
      </c>
    </row>
    <row r="516">
      <c r="A516" t="inlineStr">
        <is>
          <t>No</t>
        </is>
      </c>
      <c r="B516" t="inlineStr">
        <is>
          <t>QB858.3 .P37 1990</t>
        </is>
      </c>
      <c r="C516" t="inlineStr">
        <is>
          <t>0                      QB 0858300P  37          1990</t>
        </is>
      </c>
      <c r="D516" t="inlineStr">
        <is>
          <t>Colliding galaxies : the universe in turmoil / Barry Parker ; drawings by Lori Scoffield.</t>
        </is>
      </c>
      <c r="F516" t="inlineStr">
        <is>
          <t>No</t>
        </is>
      </c>
      <c r="G516" t="inlineStr">
        <is>
          <t>1</t>
        </is>
      </c>
      <c r="H516" t="inlineStr">
        <is>
          <t>No</t>
        </is>
      </c>
      <c r="I516" t="inlineStr">
        <is>
          <t>No</t>
        </is>
      </c>
      <c r="J516" t="inlineStr">
        <is>
          <t>0</t>
        </is>
      </c>
      <c r="K516" t="inlineStr">
        <is>
          <t>Parker, Barry R.</t>
        </is>
      </c>
      <c r="L516" t="inlineStr">
        <is>
          <t>New York : Plenum Press, c1990.</t>
        </is>
      </c>
      <c r="M516" t="inlineStr">
        <is>
          <t>1990</t>
        </is>
      </c>
      <c r="O516" t="inlineStr">
        <is>
          <t>eng</t>
        </is>
      </c>
      <c r="P516" t="inlineStr">
        <is>
          <t>nyu</t>
        </is>
      </c>
      <c r="R516" t="inlineStr">
        <is>
          <t xml:space="preserve">QB </t>
        </is>
      </c>
      <c r="S516" t="n">
        <v>2</v>
      </c>
      <c r="T516" t="n">
        <v>2</v>
      </c>
      <c r="U516" t="inlineStr">
        <is>
          <t>2007-11-11</t>
        </is>
      </c>
      <c r="V516" t="inlineStr">
        <is>
          <t>2007-11-11</t>
        </is>
      </c>
      <c r="W516" t="inlineStr">
        <is>
          <t>1991-06-13</t>
        </is>
      </c>
      <c r="X516" t="inlineStr">
        <is>
          <t>1991-06-13</t>
        </is>
      </c>
      <c r="Y516" t="n">
        <v>609</v>
      </c>
      <c r="Z516" t="n">
        <v>549</v>
      </c>
      <c r="AA516" t="n">
        <v>567</v>
      </c>
      <c r="AB516" t="n">
        <v>3</v>
      </c>
      <c r="AC516" t="n">
        <v>3</v>
      </c>
      <c r="AD516" t="n">
        <v>15</v>
      </c>
      <c r="AE516" t="n">
        <v>15</v>
      </c>
      <c r="AF516" t="n">
        <v>5</v>
      </c>
      <c r="AG516" t="n">
        <v>5</v>
      </c>
      <c r="AH516" t="n">
        <v>4</v>
      </c>
      <c r="AI516" t="n">
        <v>4</v>
      </c>
      <c r="AJ516" t="n">
        <v>6</v>
      </c>
      <c r="AK516" t="n">
        <v>6</v>
      </c>
      <c r="AL516" t="n">
        <v>2</v>
      </c>
      <c r="AM516" t="n">
        <v>2</v>
      </c>
      <c r="AN516" t="n">
        <v>0</v>
      </c>
      <c r="AO516" t="n">
        <v>0</v>
      </c>
      <c r="AP516" t="inlineStr">
        <is>
          <t>No</t>
        </is>
      </c>
      <c r="AQ516" t="inlineStr">
        <is>
          <t>Yes</t>
        </is>
      </c>
      <c r="AR516">
        <f>HYPERLINK("http://catalog.hathitrust.org/Record/002220434","HathiTrust Record")</f>
        <v/>
      </c>
      <c r="AS516">
        <f>HYPERLINK("https://creighton-primo.hosted.exlibrisgroup.com/primo-explore/search?tab=default_tab&amp;search_scope=EVERYTHING&amp;vid=01CRU&amp;lang=en_US&amp;offset=0&amp;query=any,contains,991001727269702656","Catalog Record")</f>
        <v/>
      </c>
      <c r="AT516">
        <f>HYPERLINK("http://www.worldcat.org/oclc/21901257","WorldCat Record")</f>
        <v/>
      </c>
      <c r="AU516" t="inlineStr">
        <is>
          <t>293215223:eng</t>
        </is>
      </c>
      <c r="AV516" t="inlineStr">
        <is>
          <t>21901257</t>
        </is>
      </c>
      <c r="AW516" t="inlineStr">
        <is>
          <t>991001727269702656</t>
        </is>
      </c>
      <c r="AX516" t="inlineStr">
        <is>
          <t>991001727269702656</t>
        </is>
      </c>
      <c r="AY516" t="inlineStr">
        <is>
          <t>2258946090002656</t>
        </is>
      </c>
      <c r="AZ516" t="inlineStr">
        <is>
          <t>BOOK</t>
        </is>
      </c>
      <c r="BB516" t="inlineStr">
        <is>
          <t>9780306435669</t>
        </is>
      </c>
      <c r="BC516" t="inlineStr">
        <is>
          <t>32285000655968</t>
        </is>
      </c>
      <c r="BD516" t="inlineStr">
        <is>
          <t>893866429</t>
        </is>
      </c>
    </row>
    <row r="517">
      <c r="A517" t="inlineStr">
        <is>
          <t>No</t>
        </is>
      </c>
      <c r="B517" t="inlineStr">
        <is>
          <t>QB86 .F3 1983</t>
        </is>
      </c>
      <c r="C517" t="inlineStr">
        <is>
          <t>0                      QB 0086000F  3           1983</t>
        </is>
      </c>
      <c r="D517" t="inlineStr">
        <is>
          <t>Microcomputers in astronomy / Russell M. Genet, editor ; Anna M. Genet, assistant editor.</t>
        </is>
      </c>
      <c r="F517" t="inlineStr">
        <is>
          <t>No</t>
        </is>
      </c>
      <c r="G517" t="inlineStr">
        <is>
          <t>1</t>
        </is>
      </c>
      <c r="H517" t="inlineStr">
        <is>
          <t>No</t>
        </is>
      </c>
      <c r="I517" t="inlineStr">
        <is>
          <t>No</t>
        </is>
      </c>
      <c r="J517" t="inlineStr">
        <is>
          <t>0</t>
        </is>
      </c>
      <c r="K517" t="inlineStr">
        <is>
          <t>Fairborn Symposium (4th : 1983 : Fairborn, Ohio)</t>
        </is>
      </c>
      <c r="L517" t="inlineStr">
        <is>
          <t>Fairborn, Ohio : Fairborn Observatory, c1983.</t>
        </is>
      </c>
      <c r="M517" t="inlineStr">
        <is>
          <t>1983</t>
        </is>
      </c>
      <c r="O517" t="inlineStr">
        <is>
          <t>eng</t>
        </is>
      </c>
      <c r="P517" t="inlineStr">
        <is>
          <t>ohu</t>
        </is>
      </c>
      <c r="R517" t="inlineStr">
        <is>
          <t xml:space="preserve">QB </t>
        </is>
      </c>
      <c r="S517" t="n">
        <v>3</v>
      </c>
      <c r="T517" t="n">
        <v>3</v>
      </c>
      <c r="U517" t="inlineStr">
        <is>
          <t>1994-02-15</t>
        </is>
      </c>
      <c r="V517" t="inlineStr">
        <is>
          <t>1994-02-15</t>
        </is>
      </c>
      <c r="W517" t="inlineStr">
        <is>
          <t>1992-11-18</t>
        </is>
      </c>
      <c r="X517" t="inlineStr">
        <is>
          <t>1992-11-18</t>
        </is>
      </c>
      <c r="Y517" t="n">
        <v>46</v>
      </c>
      <c r="Z517" t="n">
        <v>43</v>
      </c>
      <c r="AA517" t="n">
        <v>103</v>
      </c>
      <c r="AB517" t="n">
        <v>2</v>
      </c>
      <c r="AC517" t="n">
        <v>2</v>
      </c>
      <c r="AD517" t="n">
        <v>1</v>
      </c>
      <c r="AE517" t="n">
        <v>2</v>
      </c>
      <c r="AF517" t="n">
        <v>0</v>
      </c>
      <c r="AG517" t="n">
        <v>0</v>
      </c>
      <c r="AH517" t="n">
        <v>0</v>
      </c>
      <c r="AI517" t="n">
        <v>0</v>
      </c>
      <c r="AJ517" t="n">
        <v>0</v>
      </c>
      <c r="AK517" t="n">
        <v>1</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HYPERLINK("https://creighton-primo.hosted.exlibrisgroup.com/primo-explore/search?tab=default_tab&amp;search_scope=EVERYTHING&amp;vid=01CRU&amp;lang=en_US&amp;offset=0&amp;query=any,contains,991000309949702656","Catalog Record")</f>
        <v/>
      </c>
      <c r="AT517">
        <f>HYPERLINK("http://www.worldcat.org/oclc/10084634","WorldCat Record")</f>
        <v/>
      </c>
      <c r="AU517" t="inlineStr">
        <is>
          <t>352279251:eng</t>
        </is>
      </c>
      <c r="AV517" t="inlineStr">
        <is>
          <t>10084634</t>
        </is>
      </c>
      <c r="AW517" t="inlineStr">
        <is>
          <t>991000309949702656</t>
        </is>
      </c>
      <c r="AX517" t="inlineStr">
        <is>
          <t>991000309949702656</t>
        </is>
      </c>
      <c r="AY517" t="inlineStr">
        <is>
          <t>2264987160002656</t>
        </is>
      </c>
      <c r="AZ517" t="inlineStr">
        <is>
          <t>BOOK</t>
        </is>
      </c>
      <c r="BB517" t="inlineStr">
        <is>
          <t>9780911351033</t>
        </is>
      </c>
      <c r="BC517" t="inlineStr">
        <is>
          <t>32285001432235</t>
        </is>
      </c>
      <c r="BD517" t="inlineStr">
        <is>
          <t>893351480</t>
        </is>
      </c>
    </row>
    <row r="518">
      <c r="A518" t="inlineStr">
        <is>
          <t>No</t>
        </is>
      </c>
      <c r="B518" t="inlineStr">
        <is>
          <t>QB86 .S74 2000</t>
        </is>
      </c>
      <c r="C518" t="inlineStr">
        <is>
          <t>0                      QB 0086000S  74          2000</t>
        </is>
      </c>
      <c r="D518" t="inlineStr">
        <is>
          <t>The universe unveiled : instruments and images through history / Bruce Stephenson, Marvin Bolt, Anna Felicity Friedman.</t>
        </is>
      </c>
      <c r="F518" t="inlineStr">
        <is>
          <t>No</t>
        </is>
      </c>
      <c r="G518" t="inlineStr">
        <is>
          <t>1</t>
        </is>
      </c>
      <c r="H518" t="inlineStr">
        <is>
          <t>No</t>
        </is>
      </c>
      <c r="I518" t="inlineStr">
        <is>
          <t>No</t>
        </is>
      </c>
      <c r="J518" t="inlineStr">
        <is>
          <t>0</t>
        </is>
      </c>
      <c r="K518" t="inlineStr">
        <is>
          <t>Stephenson, Bruce.</t>
        </is>
      </c>
      <c r="L518" t="inlineStr">
        <is>
          <t>Cambridge ; New York : Cambridge University Press ; Chicago, IL : Adler Planetarium &amp; Astronomy Museum, 2000.</t>
        </is>
      </c>
      <c r="M518" t="inlineStr">
        <is>
          <t>2000</t>
        </is>
      </c>
      <c r="O518" t="inlineStr">
        <is>
          <t>eng</t>
        </is>
      </c>
      <c r="P518" t="inlineStr">
        <is>
          <t>enk</t>
        </is>
      </c>
      <c r="R518" t="inlineStr">
        <is>
          <t xml:space="preserve">QB </t>
        </is>
      </c>
      <c r="S518" t="n">
        <v>3</v>
      </c>
      <c r="T518" t="n">
        <v>3</v>
      </c>
      <c r="U518" t="inlineStr">
        <is>
          <t>2001-10-23</t>
        </is>
      </c>
      <c r="V518" t="inlineStr">
        <is>
          <t>2001-10-23</t>
        </is>
      </c>
      <c r="W518" t="inlineStr">
        <is>
          <t>2001-10-23</t>
        </is>
      </c>
      <c r="X518" t="inlineStr">
        <is>
          <t>2001-10-23</t>
        </is>
      </c>
      <c r="Y518" t="n">
        <v>482</v>
      </c>
      <c r="Z518" t="n">
        <v>389</v>
      </c>
      <c r="AA518" t="n">
        <v>394</v>
      </c>
      <c r="AB518" t="n">
        <v>5</v>
      </c>
      <c r="AC518" t="n">
        <v>5</v>
      </c>
      <c r="AD518" t="n">
        <v>13</v>
      </c>
      <c r="AE518" t="n">
        <v>13</v>
      </c>
      <c r="AF518" t="n">
        <v>4</v>
      </c>
      <c r="AG518" t="n">
        <v>4</v>
      </c>
      <c r="AH518" t="n">
        <v>2</v>
      </c>
      <c r="AI518" t="n">
        <v>2</v>
      </c>
      <c r="AJ518" t="n">
        <v>6</v>
      </c>
      <c r="AK518" t="n">
        <v>6</v>
      </c>
      <c r="AL518" t="n">
        <v>4</v>
      </c>
      <c r="AM518" t="n">
        <v>4</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HYPERLINK("https://creighton-primo.hosted.exlibrisgroup.com/primo-explore/search?tab=default_tab&amp;search_scope=EVERYTHING&amp;vid=01CRU&amp;lang=en_US&amp;offset=0&amp;query=any,contains,991003634939702656","Catalog Record")</f>
        <v/>
      </c>
      <c r="AT518">
        <f>HYPERLINK("http://www.worldcat.org/oclc/44634367","WorldCat Record")</f>
        <v/>
      </c>
      <c r="AU518" t="inlineStr">
        <is>
          <t>837045670:eng</t>
        </is>
      </c>
      <c r="AV518" t="inlineStr">
        <is>
          <t>44634367</t>
        </is>
      </c>
      <c r="AW518" t="inlineStr">
        <is>
          <t>991003634939702656</t>
        </is>
      </c>
      <c r="AX518" t="inlineStr">
        <is>
          <t>991003634939702656</t>
        </is>
      </c>
      <c r="AY518" t="inlineStr">
        <is>
          <t>2257318750002656</t>
        </is>
      </c>
      <c r="AZ518" t="inlineStr">
        <is>
          <t>BOOK</t>
        </is>
      </c>
      <c r="BB518" t="inlineStr">
        <is>
          <t>9780521791434</t>
        </is>
      </c>
      <c r="BC518" t="inlineStr">
        <is>
          <t>32285004399118</t>
        </is>
      </c>
      <c r="BD518" t="inlineStr">
        <is>
          <t>893598783</t>
        </is>
      </c>
    </row>
    <row r="519">
      <c r="A519" t="inlineStr">
        <is>
          <t>No</t>
        </is>
      </c>
      <c r="B519" t="inlineStr">
        <is>
          <t>QB860 .A76 1987</t>
        </is>
      </c>
      <c r="C519" t="inlineStr">
        <is>
          <t>0                      QB 0860000A  76          1987</t>
        </is>
      </c>
      <c r="D519" t="inlineStr">
        <is>
          <t>Quasars, redshifts, and controversies / Halton Arp.</t>
        </is>
      </c>
      <c r="F519" t="inlineStr">
        <is>
          <t>No</t>
        </is>
      </c>
      <c r="G519" t="inlineStr">
        <is>
          <t>1</t>
        </is>
      </c>
      <c r="H519" t="inlineStr">
        <is>
          <t>No</t>
        </is>
      </c>
      <c r="I519" t="inlineStr">
        <is>
          <t>No</t>
        </is>
      </c>
      <c r="J519" t="inlineStr">
        <is>
          <t>0</t>
        </is>
      </c>
      <c r="K519" t="inlineStr">
        <is>
          <t>Arp, Halton C.</t>
        </is>
      </c>
      <c r="L519" t="inlineStr">
        <is>
          <t>Berkeley, CA : Interstellar Media, c1987.</t>
        </is>
      </c>
      <c r="M519" t="inlineStr">
        <is>
          <t>1987</t>
        </is>
      </c>
      <c r="O519" t="inlineStr">
        <is>
          <t>eng</t>
        </is>
      </c>
      <c r="P519" t="inlineStr">
        <is>
          <t>cau</t>
        </is>
      </c>
      <c r="R519" t="inlineStr">
        <is>
          <t xml:space="preserve">QB </t>
        </is>
      </c>
      <c r="S519" t="n">
        <v>5</v>
      </c>
      <c r="T519" t="n">
        <v>5</v>
      </c>
      <c r="U519" t="inlineStr">
        <is>
          <t>2008-04-12</t>
        </is>
      </c>
      <c r="V519" t="inlineStr">
        <is>
          <t>2008-04-12</t>
        </is>
      </c>
      <c r="W519" t="inlineStr">
        <is>
          <t>1992-11-24</t>
        </is>
      </c>
      <c r="X519" t="inlineStr">
        <is>
          <t>1992-11-24</t>
        </is>
      </c>
      <c r="Y519" t="n">
        <v>520</v>
      </c>
      <c r="Z519" t="n">
        <v>426</v>
      </c>
      <c r="AA519" t="n">
        <v>436</v>
      </c>
      <c r="AB519" t="n">
        <v>4</v>
      </c>
      <c r="AC519" t="n">
        <v>4</v>
      </c>
      <c r="AD519" t="n">
        <v>13</v>
      </c>
      <c r="AE519" t="n">
        <v>13</v>
      </c>
      <c r="AF519" t="n">
        <v>3</v>
      </c>
      <c r="AG519" t="n">
        <v>3</v>
      </c>
      <c r="AH519" t="n">
        <v>5</v>
      </c>
      <c r="AI519" t="n">
        <v>5</v>
      </c>
      <c r="AJ519" t="n">
        <v>5</v>
      </c>
      <c r="AK519" t="n">
        <v>5</v>
      </c>
      <c r="AL519" t="n">
        <v>3</v>
      </c>
      <c r="AM519" t="n">
        <v>3</v>
      </c>
      <c r="AN519" t="n">
        <v>0</v>
      </c>
      <c r="AO519" t="n">
        <v>0</v>
      </c>
      <c r="AP519" t="inlineStr">
        <is>
          <t>No</t>
        </is>
      </c>
      <c r="AQ519" t="inlineStr">
        <is>
          <t>Yes</t>
        </is>
      </c>
      <c r="AR519">
        <f>HYPERLINK("http://catalog.hathitrust.org/Record/000853838","HathiTrust Record")</f>
        <v/>
      </c>
      <c r="AS519">
        <f>HYPERLINK("https://creighton-primo.hosted.exlibrisgroup.com/primo-explore/search?tab=default_tab&amp;search_scope=EVERYTHING&amp;vid=01CRU&amp;lang=en_US&amp;offset=0&amp;query=any,contains,991001128299702656","Catalog Record")</f>
        <v/>
      </c>
      <c r="AT519">
        <f>HYPERLINK("http://www.worldcat.org/oclc/16669457","WorldCat Record")</f>
        <v/>
      </c>
      <c r="AU519" t="inlineStr">
        <is>
          <t>12304433:eng</t>
        </is>
      </c>
      <c r="AV519" t="inlineStr">
        <is>
          <t>16669457</t>
        </is>
      </c>
      <c r="AW519" t="inlineStr">
        <is>
          <t>991001128299702656</t>
        </is>
      </c>
      <c r="AX519" t="inlineStr">
        <is>
          <t>991001128299702656</t>
        </is>
      </c>
      <c r="AY519" t="inlineStr">
        <is>
          <t>2266825180002656</t>
        </is>
      </c>
      <c r="AZ519" t="inlineStr">
        <is>
          <t>BOOK</t>
        </is>
      </c>
      <c r="BB519" t="inlineStr">
        <is>
          <t>9780941325004</t>
        </is>
      </c>
      <c r="BC519" t="inlineStr">
        <is>
          <t>32285001434868</t>
        </is>
      </c>
      <c r="BD519" t="inlineStr">
        <is>
          <t>893327896</t>
        </is>
      </c>
    </row>
    <row r="520">
      <c r="A520" t="inlineStr">
        <is>
          <t>No</t>
        </is>
      </c>
      <c r="B520" t="inlineStr">
        <is>
          <t>QB860 .K3 1968</t>
        </is>
      </c>
      <c r="C520" t="inlineStr">
        <is>
          <t>0                      QB 0860000K  3           1968</t>
        </is>
      </c>
      <c r="D520" t="inlineStr">
        <is>
          <t>Quasars : their importance in astronomy and physics / by F. D. Kahn and H. P. Palmer.</t>
        </is>
      </c>
      <c r="F520" t="inlineStr">
        <is>
          <t>No</t>
        </is>
      </c>
      <c r="G520" t="inlineStr">
        <is>
          <t>1</t>
        </is>
      </c>
      <c r="H520" t="inlineStr">
        <is>
          <t>No</t>
        </is>
      </c>
      <c r="I520" t="inlineStr">
        <is>
          <t>No</t>
        </is>
      </c>
      <c r="J520" t="inlineStr">
        <is>
          <t>0</t>
        </is>
      </c>
      <c r="K520" t="inlineStr">
        <is>
          <t>Kahn, F. D. (Franz Daniel)</t>
        </is>
      </c>
      <c r="L520" t="inlineStr">
        <is>
          <t>Cambridge : Harvard University Press, 1968.</t>
        </is>
      </c>
      <c r="M520" t="inlineStr">
        <is>
          <t>1968</t>
        </is>
      </c>
      <c r="N520" t="inlineStr">
        <is>
          <t>[2d ed.]</t>
        </is>
      </c>
      <c r="O520" t="inlineStr">
        <is>
          <t>eng</t>
        </is>
      </c>
      <c r="P520" t="inlineStr">
        <is>
          <t>mau</t>
        </is>
      </c>
      <c r="R520" t="inlineStr">
        <is>
          <t xml:space="preserve">QB </t>
        </is>
      </c>
      <c r="S520" t="n">
        <v>1</v>
      </c>
      <c r="T520" t="n">
        <v>1</v>
      </c>
      <c r="U520" t="inlineStr">
        <is>
          <t>2008-04-12</t>
        </is>
      </c>
      <c r="V520" t="inlineStr">
        <is>
          <t>2008-04-12</t>
        </is>
      </c>
      <c r="W520" t="inlineStr">
        <is>
          <t>1991-07-10</t>
        </is>
      </c>
      <c r="X520" t="inlineStr">
        <is>
          <t>1991-07-10</t>
        </is>
      </c>
      <c r="Y520" t="n">
        <v>131</v>
      </c>
      <c r="Z520" t="n">
        <v>124</v>
      </c>
      <c r="AA520" t="n">
        <v>510</v>
      </c>
      <c r="AB520" t="n">
        <v>2</v>
      </c>
      <c r="AC520" t="n">
        <v>3</v>
      </c>
      <c r="AD520" t="n">
        <v>7</v>
      </c>
      <c r="AE520" t="n">
        <v>16</v>
      </c>
      <c r="AF520" t="n">
        <v>0</v>
      </c>
      <c r="AG520" t="n">
        <v>2</v>
      </c>
      <c r="AH520" t="n">
        <v>1</v>
      </c>
      <c r="AI520" t="n">
        <v>4</v>
      </c>
      <c r="AJ520" t="n">
        <v>6</v>
      </c>
      <c r="AK520" t="n">
        <v>10</v>
      </c>
      <c r="AL520" t="n">
        <v>1</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HYPERLINK("https://creighton-primo.hosted.exlibrisgroup.com/primo-explore/search?tab=default_tab&amp;search_scope=EVERYTHING&amp;vid=01CRU&amp;lang=en_US&amp;offset=0&amp;query=any,contains,991000843529702656","Catalog Record")</f>
        <v/>
      </c>
      <c r="AT520">
        <f>HYPERLINK("http://www.worldcat.org/oclc/13533084","WorldCat Record")</f>
        <v/>
      </c>
      <c r="AU520" t="inlineStr">
        <is>
          <t>2236528:eng</t>
        </is>
      </c>
      <c r="AV520" t="inlineStr">
        <is>
          <t>13533084</t>
        </is>
      </c>
      <c r="AW520" t="inlineStr">
        <is>
          <t>991000843529702656</t>
        </is>
      </c>
      <c r="AX520" t="inlineStr">
        <is>
          <t>991000843529702656</t>
        </is>
      </c>
      <c r="AY520" t="inlineStr">
        <is>
          <t>2255713800002656</t>
        </is>
      </c>
      <c r="AZ520" t="inlineStr">
        <is>
          <t>BOOK</t>
        </is>
      </c>
      <c r="BC520" t="inlineStr">
        <is>
          <t>32285000648575</t>
        </is>
      </c>
      <c r="BD520" t="inlineStr">
        <is>
          <t>893509165</t>
        </is>
      </c>
    </row>
    <row r="521">
      <c r="A521" t="inlineStr">
        <is>
          <t>No</t>
        </is>
      </c>
      <c r="B521" t="inlineStr">
        <is>
          <t>QB88 .A6 1928</t>
        </is>
      </c>
      <c r="C521" t="inlineStr">
        <is>
          <t>0                      QB 0088000A  6           1928</t>
        </is>
      </c>
      <c r="D521" t="inlineStr">
        <is>
          <t>Amateur telescope making / Albert G. Ingalls, editor ; with a foreword by Dr. Harlow Shapley.</t>
        </is>
      </c>
      <c r="F521" t="inlineStr">
        <is>
          <t>No</t>
        </is>
      </c>
      <c r="G521" t="inlineStr">
        <is>
          <t>1</t>
        </is>
      </c>
      <c r="H521" t="inlineStr">
        <is>
          <t>No</t>
        </is>
      </c>
      <c r="I521" t="inlineStr">
        <is>
          <t>No</t>
        </is>
      </c>
      <c r="J521" t="inlineStr">
        <is>
          <t>0</t>
        </is>
      </c>
      <c r="L521" t="inlineStr">
        <is>
          <t>[New York] : Scientific American publishing co., 1928.</t>
        </is>
      </c>
      <c r="M521" t="inlineStr">
        <is>
          <t>1928</t>
        </is>
      </c>
      <c r="N521" t="inlineStr">
        <is>
          <t>2nd ed.</t>
        </is>
      </c>
      <c r="O521" t="inlineStr">
        <is>
          <t>eng</t>
        </is>
      </c>
      <c r="P521" t="inlineStr">
        <is>
          <t>nyu</t>
        </is>
      </c>
      <c r="R521" t="inlineStr">
        <is>
          <t xml:space="preserve">QB </t>
        </is>
      </c>
      <c r="S521" t="n">
        <v>8</v>
      </c>
      <c r="T521" t="n">
        <v>8</v>
      </c>
      <c r="U521" t="inlineStr">
        <is>
          <t>2003-11-21</t>
        </is>
      </c>
      <c r="V521" t="inlineStr">
        <is>
          <t>2003-11-21</t>
        </is>
      </c>
      <c r="W521" t="inlineStr">
        <is>
          <t>1993-08-16</t>
        </is>
      </c>
      <c r="X521" t="inlineStr">
        <is>
          <t>1993-08-16</t>
        </is>
      </c>
      <c r="Y521" t="n">
        <v>43</v>
      </c>
      <c r="Z521" t="n">
        <v>35</v>
      </c>
      <c r="AA521" t="n">
        <v>323</v>
      </c>
      <c r="AB521" t="n">
        <v>1</v>
      </c>
      <c r="AC521" t="n">
        <v>3</v>
      </c>
      <c r="AD521" t="n">
        <v>1</v>
      </c>
      <c r="AE521" t="n">
        <v>16</v>
      </c>
      <c r="AF521" t="n">
        <v>0</v>
      </c>
      <c r="AG521" t="n">
        <v>7</v>
      </c>
      <c r="AH521" t="n">
        <v>0</v>
      </c>
      <c r="AI521" t="n">
        <v>2</v>
      </c>
      <c r="AJ521" t="n">
        <v>1</v>
      </c>
      <c r="AK521" t="n">
        <v>9</v>
      </c>
      <c r="AL521" t="n">
        <v>0</v>
      </c>
      <c r="AM521" t="n">
        <v>2</v>
      </c>
      <c r="AN521" t="n">
        <v>0</v>
      </c>
      <c r="AO521" t="n">
        <v>0</v>
      </c>
      <c r="AP521" t="inlineStr">
        <is>
          <t>No</t>
        </is>
      </c>
      <c r="AQ521" t="inlineStr">
        <is>
          <t>No</t>
        </is>
      </c>
      <c r="AR521">
        <f>HYPERLINK("http://catalog.hathitrust.org/Record/001476193","HathiTrust Record")</f>
        <v/>
      </c>
      <c r="AS521">
        <f>HYPERLINK("https://creighton-primo.hosted.exlibrisgroup.com/primo-explore/search?tab=default_tab&amp;search_scope=EVERYTHING&amp;vid=01CRU&amp;lang=en_US&amp;offset=0&amp;query=any,contains,991001051499702656","Catalog Record")</f>
        <v/>
      </c>
      <c r="AT521">
        <f>HYPERLINK("http://www.worldcat.org/oclc/15655377","WorldCat Record")</f>
        <v/>
      </c>
      <c r="AU521" t="inlineStr">
        <is>
          <t>3768362142:eng</t>
        </is>
      </c>
      <c r="AV521" t="inlineStr">
        <is>
          <t>15655377</t>
        </is>
      </c>
      <c r="AW521" t="inlineStr">
        <is>
          <t>991001051499702656</t>
        </is>
      </c>
      <c r="AX521" t="inlineStr">
        <is>
          <t>991001051499702656</t>
        </is>
      </c>
      <c r="AY521" t="inlineStr">
        <is>
          <t>2267724040002656</t>
        </is>
      </c>
      <c r="AZ521" t="inlineStr">
        <is>
          <t>BOOK</t>
        </is>
      </c>
      <c r="BC521" t="inlineStr">
        <is>
          <t>32285001751261</t>
        </is>
      </c>
      <c r="BD521" t="inlineStr">
        <is>
          <t>893696421</t>
        </is>
      </c>
    </row>
    <row r="522">
      <c r="A522" t="inlineStr">
        <is>
          <t>No</t>
        </is>
      </c>
      <c r="B522" t="inlineStr">
        <is>
          <t>QB88 .A6 1945</t>
        </is>
      </c>
      <c r="C522" t="inlineStr">
        <is>
          <t>0                      QB 0088000A  6           1945</t>
        </is>
      </c>
      <c r="D522" t="inlineStr">
        <is>
          <t>Amateur telescope making : book one / Albert G. Ingalls, editor ; foreword by Harlow Shapley.</t>
        </is>
      </c>
      <c r="F522" t="inlineStr">
        <is>
          <t>No</t>
        </is>
      </c>
      <c r="G522" t="inlineStr">
        <is>
          <t>1</t>
        </is>
      </c>
      <c r="H522" t="inlineStr">
        <is>
          <t>No</t>
        </is>
      </c>
      <c r="I522" t="inlineStr">
        <is>
          <t>No</t>
        </is>
      </c>
      <c r="J522" t="inlineStr">
        <is>
          <t>0</t>
        </is>
      </c>
      <c r="L522" t="inlineStr">
        <is>
          <t>New York : Scientific American, cl945 1959 printing.</t>
        </is>
      </c>
      <c r="M522" t="inlineStr">
        <is>
          <t>1945</t>
        </is>
      </c>
      <c r="N522" t="inlineStr">
        <is>
          <t>4th ed.</t>
        </is>
      </c>
      <c r="O522" t="inlineStr">
        <is>
          <t>eng</t>
        </is>
      </c>
      <c r="P522" t="inlineStr">
        <is>
          <t>nyu</t>
        </is>
      </c>
      <c r="R522" t="inlineStr">
        <is>
          <t xml:space="preserve">QB </t>
        </is>
      </c>
      <c r="S522" t="n">
        <v>1</v>
      </c>
      <c r="T522" t="n">
        <v>1</v>
      </c>
      <c r="U522" t="inlineStr">
        <is>
          <t>2004-10-25</t>
        </is>
      </c>
      <c r="V522" t="inlineStr">
        <is>
          <t>2004-10-25</t>
        </is>
      </c>
      <c r="W522" t="inlineStr">
        <is>
          <t>1992-11-18</t>
        </is>
      </c>
      <c r="X522" t="inlineStr">
        <is>
          <t>1992-11-18</t>
        </is>
      </c>
      <c r="Y522" t="n">
        <v>62</v>
      </c>
      <c r="Z522" t="n">
        <v>57</v>
      </c>
      <c r="AA522" t="n">
        <v>198</v>
      </c>
      <c r="AB522" t="n">
        <v>1</v>
      </c>
      <c r="AC522" t="n">
        <v>1</v>
      </c>
      <c r="AD522" t="n">
        <v>1</v>
      </c>
      <c r="AE522" t="n">
        <v>3</v>
      </c>
      <c r="AF522" t="n">
        <v>1</v>
      </c>
      <c r="AG522" t="n">
        <v>2</v>
      </c>
      <c r="AH522" t="n">
        <v>0</v>
      </c>
      <c r="AI522" t="n">
        <v>0</v>
      </c>
      <c r="AJ522" t="n">
        <v>0</v>
      </c>
      <c r="AK522" t="n">
        <v>2</v>
      </c>
      <c r="AL522" t="n">
        <v>0</v>
      </c>
      <c r="AM522" t="n">
        <v>0</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HYPERLINK("https://creighton-primo.hosted.exlibrisgroup.com/primo-explore/search?tab=default_tab&amp;search_scope=EVERYTHING&amp;vid=01CRU&amp;lang=en_US&amp;offset=0&amp;query=any,contains,991005035129702656","Catalog Record")</f>
        <v/>
      </c>
      <c r="AT522">
        <f>HYPERLINK("http://www.worldcat.org/oclc/6748565","WorldCat Record")</f>
        <v/>
      </c>
      <c r="AU522" t="inlineStr">
        <is>
          <t>5522537855:eng</t>
        </is>
      </c>
      <c r="AV522" t="inlineStr">
        <is>
          <t>6748565</t>
        </is>
      </c>
      <c r="AW522" t="inlineStr">
        <is>
          <t>991005035129702656</t>
        </is>
      </c>
      <c r="AX522" t="inlineStr">
        <is>
          <t>991005035129702656</t>
        </is>
      </c>
      <c r="AY522" t="inlineStr">
        <is>
          <t>2270430070002656</t>
        </is>
      </c>
      <c r="AZ522" t="inlineStr">
        <is>
          <t>BOOK</t>
        </is>
      </c>
      <c r="BC522" t="inlineStr">
        <is>
          <t>32285001432250</t>
        </is>
      </c>
      <c r="BD522" t="inlineStr">
        <is>
          <t>893533058</t>
        </is>
      </c>
    </row>
    <row r="523">
      <c r="A523" t="inlineStr">
        <is>
          <t>No</t>
        </is>
      </c>
      <c r="B523" t="inlineStr">
        <is>
          <t>QB88 .A62 1946</t>
        </is>
      </c>
      <c r="C523" t="inlineStr">
        <is>
          <t>0                      QB 0088000A  62          1946</t>
        </is>
      </c>
      <c r="D523" t="inlineStr">
        <is>
          <t>Amateur telescope making, advanced (book two) : a sequel to Amateur telescope making (book one) / Albert G. Ingalls, editor ; A collection of contributions to amateur precision optics by numerous authorities.</t>
        </is>
      </c>
      <c r="F523" t="inlineStr">
        <is>
          <t>No</t>
        </is>
      </c>
      <c r="G523" t="inlineStr">
        <is>
          <t>1</t>
        </is>
      </c>
      <c r="H523" t="inlineStr">
        <is>
          <t>No</t>
        </is>
      </c>
      <c r="I523" t="inlineStr">
        <is>
          <t>Yes</t>
        </is>
      </c>
      <c r="J523" t="inlineStr">
        <is>
          <t>0</t>
        </is>
      </c>
      <c r="L523" t="inlineStr">
        <is>
          <t>[New York] : Scientific American, c1946, 1980 printing.</t>
        </is>
      </c>
      <c r="M523" t="inlineStr">
        <is>
          <t>1946</t>
        </is>
      </c>
      <c r="O523" t="inlineStr">
        <is>
          <t>eng</t>
        </is>
      </c>
      <c r="P523" t="inlineStr">
        <is>
          <t>nyu</t>
        </is>
      </c>
      <c r="R523" t="inlineStr">
        <is>
          <t xml:space="preserve">QB </t>
        </is>
      </c>
      <c r="S523" t="n">
        <v>1</v>
      </c>
      <c r="T523" t="n">
        <v>1</v>
      </c>
      <c r="U523" t="inlineStr">
        <is>
          <t>2008-05-20</t>
        </is>
      </c>
      <c r="V523" t="inlineStr">
        <is>
          <t>2008-05-20</t>
        </is>
      </c>
      <c r="W523" t="inlineStr">
        <is>
          <t>1992-11-18</t>
        </is>
      </c>
      <c r="X523" t="inlineStr">
        <is>
          <t>1992-11-18</t>
        </is>
      </c>
      <c r="Y523" t="n">
        <v>39</v>
      </c>
      <c r="Z523" t="n">
        <v>39</v>
      </c>
      <c r="AA523" t="n">
        <v>187</v>
      </c>
      <c r="AB523" t="n">
        <v>1</v>
      </c>
      <c r="AC523" t="n">
        <v>1</v>
      </c>
      <c r="AD523" t="n">
        <v>1</v>
      </c>
      <c r="AE523" t="n">
        <v>7</v>
      </c>
      <c r="AF523" t="n">
        <v>1</v>
      </c>
      <c r="AG523" t="n">
        <v>3</v>
      </c>
      <c r="AH523" t="n">
        <v>0</v>
      </c>
      <c r="AI523" t="n">
        <v>0</v>
      </c>
      <c r="AJ523" t="n">
        <v>0</v>
      </c>
      <c r="AK523" t="n">
        <v>6</v>
      </c>
      <c r="AL523" t="n">
        <v>0</v>
      </c>
      <c r="AM523" t="n">
        <v>0</v>
      </c>
      <c r="AN523" t="n">
        <v>0</v>
      </c>
      <c r="AO523" t="n">
        <v>0</v>
      </c>
      <c r="AP523" t="inlineStr">
        <is>
          <t>No</t>
        </is>
      </c>
      <c r="AQ523" t="inlineStr">
        <is>
          <t>Yes</t>
        </is>
      </c>
      <c r="AR523">
        <f>HYPERLINK("http://catalog.hathitrust.org/Record/007056509","HathiTrust Record")</f>
        <v/>
      </c>
      <c r="AS523">
        <f>HYPERLINK("https://creighton-primo.hosted.exlibrisgroup.com/primo-explore/search?tab=default_tab&amp;search_scope=EVERYTHING&amp;vid=01CRU&amp;lang=en_US&amp;offset=0&amp;query=any,contains,991005143419702656","Catalog Record")</f>
        <v/>
      </c>
      <c r="AT523">
        <f>HYPERLINK("http://www.worldcat.org/oclc/7649250","WorldCat Record")</f>
        <v/>
      </c>
      <c r="AU523" t="inlineStr">
        <is>
          <t>3980127733:eng</t>
        </is>
      </c>
      <c r="AV523" t="inlineStr">
        <is>
          <t>7649250</t>
        </is>
      </c>
      <c r="AW523" t="inlineStr">
        <is>
          <t>991005143419702656</t>
        </is>
      </c>
      <c r="AX523" t="inlineStr">
        <is>
          <t>991005143419702656</t>
        </is>
      </c>
      <c r="AY523" t="inlineStr">
        <is>
          <t>2261947510002656</t>
        </is>
      </c>
      <c r="AZ523" t="inlineStr">
        <is>
          <t>BOOK</t>
        </is>
      </c>
      <c r="BC523" t="inlineStr">
        <is>
          <t>32285001432276</t>
        </is>
      </c>
      <c r="BD523" t="inlineStr">
        <is>
          <t>893536409</t>
        </is>
      </c>
    </row>
    <row r="524">
      <c r="A524" t="inlineStr">
        <is>
          <t>No</t>
        </is>
      </c>
      <c r="B524" t="inlineStr">
        <is>
          <t>QB88 .A76</t>
        </is>
      </c>
      <c r="C524" t="inlineStr">
        <is>
          <t>0                      QB 0088000A  76</t>
        </is>
      </c>
      <c r="D524" t="inlineStr">
        <is>
          <t>Eyes on the universe : a history of the telescope / Isaac Asimov.</t>
        </is>
      </c>
      <c r="F524" t="inlineStr">
        <is>
          <t>No</t>
        </is>
      </c>
      <c r="G524" t="inlineStr">
        <is>
          <t>1</t>
        </is>
      </c>
      <c r="H524" t="inlineStr">
        <is>
          <t>No</t>
        </is>
      </c>
      <c r="I524" t="inlineStr">
        <is>
          <t>No</t>
        </is>
      </c>
      <c r="J524" t="inlineStr">
        <is>
          <t>0</t>
        </is>
      </c>
      <c r="K524" t="inlineStr">
        <is>
          <t>Asimov, Isaac, 1920-1992.</t>
        </is>
      </c>
      <c r="L524" t="inlineStr">
        <is>
          <t>Boston : Houghton Mifflin, 1975.</t>
        </is>
      </c>
      <c r="M524" t="inlineStr">
        <is>
          <t>1975</t>
        </is>
      </c>
      <c r="O524" t="inlineStr">
        <is>
          <t>eng</t>
        </is>
      </c>
      <c r="P524" t="inlineStr">
        <is>
          <t>mau</t>
        </is>
      </c>
      <c r="R524" t="inlineStr">
        <is>
          <t xml:space="preserve">QB </t>
        </is>
      </c>
      <c r="S524" t="n">
        <v>2</v>
      </c>
      <c r="T524" t="n">
        <v>2</v>
      </c>
      <c r="U524" t="inlineStr">
        <is>
          <t>2003-11-21</t>
        </is>
      </c>
      <c r="V524" t="inlineStr">
        <is>
          <t>2003-11-21</t>
        </is>
      </c>
      <c r="W524" t="inlineStr">
        <is>
          <t>1997-04-30</t>
        </is>
      </c>
      <c r="X524" t="inlineStr">
        <is>
          <t>1997-04-30</t>
        </is>
      </c>
      <c r="Y524" t="n">
        <v>1106</v>
      </c>
      <c r="Z524" t="n">
        <v>1028</v>
      </c>
      <c r="AA524" t="n">
        <v>1038</v>
      </c>
      <c r="AB524" t="n">
        <v>9</v>
      </c>
      <c r="AC524" t="n">
        <v>9</v>
      </c>
      <c r="AD524" t="n">
        <v>18</v>
      </c>
      <c r="AE524" t="n">
        <v>18</v>
      </c>
      <c r="AF524" t="n">
        <v>3</v>
      </c>
      <c r="AG524" t="n">
        <v>3</v>
      </c>
      <c r="AH524" t="n">
        <v>3</v>
      </c>
      <c r="AI524" t="n">
        <v>3</v>
      </c>
      <c r="AJ524" t="n">
        <v>6</v>
      </c>
      <c r="AK524" t="n">
        <v>6</v>
      </c>
      <c r="AL524" t="n">
        <v>7</v>
      </c>
      <c r="AM524" t="n">
        <v>7</v>
      </c>
      <c r="AN524" t="n">
        <v>0</v>
      </c>
      <c r="AO524" t="n">
        <v>0</v>
      </c>
      <c r="AP524" t="inlineStr">
        <is>
          <t>No</t>
        </is>
      </c>
      <c r="AQ524" t="inlineStr">
        <is>
          <t>Yes</t>
        </is>
      </c>
      <c r="AR524">
        <f>HYPERLINK("http://catalog.hathitrust.org/Record/000023537","HathiTrust Record")</f>
        <v/>
      </c>
      <c r="AS524">
        <f>HYPERLINK("https://creighton-primo.hosted.exlibrisgroup.com/primo-explore/search?tab=default_tab&amp;search_scope=EVERYTHING&amp;vid=01CRU&amp;lang=en_US&amp;offset=0&amp;query=any,contains,991003746709702656","Catalog Record")</f>
        <v/>
      </c>
      <c r="AT524">
        <f>HYPERLINK("http://www.worldcat.org/oclc/1418798","WorldCat Record")</f>
        <v/>
      </c>
      <c r="AU524" t="inlineStr">
        <is>
          <t>347279381:eng</t>
        </is>
      </c>
      <c r="AV524" t="inlineStr">
        <is>
          <t>1418798</t>
        </is>
      </c>
      <c r="AW524" t="inlineStr">
        <is>
          <t>991003746709702656</t>
        </is>
      </c>
      <c r="AX524" t="inlineStr">
        <is>
          <t>991003746709702656</t>
        </is>
      </c>
      <c r="AY524" t="inlineStr">
        <is>
          <t>2261138630002656</t>
        </is>
      </c>
      <c r="AZ524" t="inlineStr">
        <is>
          <t>BOOK</t>
        </is>
      </c>
      <c r="BB524" t="inlineStr">
        <is>
          <t>9780395207161</t>
        </is>
      </c>
      <c r="BC524" t="inlineStr">
        <is>
          <t>32285002640018</t>
        </is>
      </c>
      <c r="BD524" t="inlineStr">
        <is>
          <t>893441662</t>
        </is>
      </c>
    </row>
    <row r="525">
      <c r="A525" t="inlineStr">
        <is>
          <t>No</t>
        </is>
      </c>
      <c r="B525" t="inlineStr">
        <is>
          <t>QB88 .B37</t>
        </is>
      </c>
      <c r="C525" t="inlineStr">
        <is>
          <t>0                      QB 0088000B  37</t>
        </is>
      </c>
      <c r="D525" t="inlineStr">
        <is>
          <t>The astronomical telescope / Boris V. Barlow.</t>
        </is>
      </c>
      <c r="F525" t="inlineStr">
        <is>
          <t>No</t>
        </is>
      </c>
      <c r="G525" t="inlineStr">
        <is>
          <t>1</t>
        </is>
      </c>
      <c r="H525" t="inlineStr">
        <is>
          <t>No</t>
        </is>
      </c>
      <c r="I525" t="inlineStr">
        <is>
          <t>No</t>
        </is>
      </c>
      <c r="J525" t="inlineStr">
        <is>
          <t>0</t>
        </is>
      </c>
      <c r="K525" t="inlineStr">
        <is>
          <t>Barlow, Boris V.</t>
        </is>
      </c>
      <c r="L525" t="inlineStr">
        <is>
          <t>London : Wykeham Publications ; New York : Springer-Verlag, 1975.</t>
        </is>
      </c>
      <c r="M525" t="inlineStr">
        <is>
          <t>1975</t>
        </is>
      </c>
      <c r="O525" t="inlineStr">
        <is>
          <t>eng</t>
        </is>
      </c>
      <c r="P525" t="inlineStr">
        <is>
          <t>enk</t>
        </is>
      </c>
      <c r="Q525" t="inlineStr">
        <is>
          <t>The Wykeham science series ; 31</t>
        </is>
      </c>
      <c r="R525" t="inlineStr">
        <is>
          <t xml:space="preserve">QB </t>
        </is>
      </c>
      <c r="S525" t="n">
        <v>1</v>
      </c>
      <c r="T525" t="n">
        <v>1</v>
      </c>
      <c r="U525" t="inlineStr">
        <is>
          <t>2001-05-01</t>
        </is>
      </c>
      <c r="V525" t="inlineStr">
        <is>
          <t>2001-05-01</t>
        </is>
      </c>
      <c r="W525" t="inlineStr">
        <is>
          <t>1997-04-30</t>
        </is>
      </c>
      <c r="X525" t="inlineStr">
        <is>
          <t>1997-04-30</t>
        </is>
      </c>
      <c r="Y525" t="n">
        <v>319</v>
      </c>
      <c r="Z525" t="n">
        <v>194</v>
      </c>
      <c r="AA525" t="n">
        <v>196</v>
      </c>
      <c r="AB525" t="n">
        <v>1</v>
      </c>
      <c r="AC525" t="n">
        <v>1</v>
      </c>
      <c r="AD525" t="n">
        <v>5</v>
      </c>
      <c r="AE525" t="n">
        <v>5</v>
      </c>
      <c r="AF525" t="n">
        <v>1</v>
      </c>
      <c r="AG525" t="n">
        <v>1</v>
      </c>
      <c r="AH525" t="n">
        <v>2</v>
      </c>
      <c r="AI525" t="n">
        <v>2</v>
      </c>
      <c r="AJ525" t="n">
        <v>3</v>
      </c>
      <c r="AK525" t="n">
        <v>3</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HYPERLINK("https://creighton-primo.hosted.exlibrisgroup.com/primo-explore/search?tab=default_tab&amp;search_scope=EVERYTHING&amp;vid=01CRU&amp;lang=en_US&amp;offset=0&amp;query=any,contains,991003652539702656","Catalog Record")</f>
        <v/>
      </c>
      <c r="AT525">
        <f>HYPERLINK("http://www.worldcat.org/oclc/1256164","WorldCat Record")</f>
        <v/>
      </c>
      <c r="AU525" t="inlineStr">
        <is>
          <t>2174487:eng</t>
        </is>
      </c>
      <c r="AV525" t="inlineStr">
        <is>
          <t>1256164</t>
        </is>
      </c>
      <c r="AW525" t="inlineStr">
        <is>
          <t>991003652539702656</t>
        </is>
      </c>
      <c r="AX525" t="inlineStr">
        <is>
          <t>991003652539702656</t>
        </is>
      </c>
      <c r="AY525" t="inlineStr">
        <is>
          <t>2258257810002656</t>
        </is>
      </c>
      <c r="AZ525" t="inlineStr">
        <is>
          <t>BOOK</t>
        </is>
      </c>
      <c r="BB525" t="inlineStr">
        <is>
          <t>9780387911199</t>
        </is>
      </c>
      <c r="BC525" t="inlineStr">
        <is>
          <t>32285002640026</t>
        </is>
      </c>
      <c r="BD525" t="inlineStr">
        <is>
          <t>893410511</t>
        </is>
      </c>
    </row>
    <row r="526">
      <c r="A526" t="inlineStr">
        <is>
          <t>No</t>
        </is>
      </c>
      <c r="B526" t="inlineStr">
        <is>
          <t>QB88 .B4 1922</t>
        </is>
      </c>
      <c r="C526" t="inlineStr">
        <is>
          <t>0                      QB 0088000B  4           1922</t>
        </is>
      </c>
      <c r="D526" t="inlineStr">
        <is>
          <t>The telescope, by Louis Bell ...</t>
        </is>
      </c>
      <c r="F526" t="inlineStr">
        <is>
          <t>No</t>
        </is>
      </c>
      <c r="G526" t="inlineStr">
        <is>
          <t>1</t>
        </is>
      </c>
      <c r="H526" t="inlineStr">
        <is>
          <t>No</t>
        </is>
      </c>
      <c r="I526" t="inlineStr">
        <is>
          <t>No</t>
        </is>
      </c>
      <c r="J526" t="inlineStr">
        <is>
          <t>0</t>
        </is>
      </c>
      <c r="K526" t="inlineStr">
        <is>
          <t>Bell, Louis, 1864-1923.</t>
        </is>
      </c>
      <c r="L526" t="inlineStr">
        <is>
          <t>New York [etc.] McGraw-Hill book company, inc., 1922.</t>
        </is>
      </c>
      <c r="M526" t="inlineStr">
        <is>
          <t>1922</t>
        </is>
      </c>
      <c r="N526" t="inlineStr">
        <is>
          <t>1st ed.</t>
        </is>
      </c>
      <c r="O526" t="inlineStr">
        <is>
          <t>eng</t>
        </is>
      </c>
      <c r="P526" t="inlineStr">
        <is>
          <t>nyu</t>
        </is>
      </c>
      <c r="R526" t="inlineStr">
        <is>
          <t xml:space="preserve">QB </t>
        </is>
      </c>
      <c r="S526" t="n">
        <v>1</v>
      </c>
      <c r="T526" t="n">
        <v>1</v>
      </c>
      <c r="U526" t="inlineStr">
        <is>
          <t>2004-10-25</t>
        </is>
      </c>
      <c r="V526" t="inlineStr">
        <is>
          <t>2004-10-25</t>
        </is>
      </c>
      <c r="W526" t="inlineStr">
        <is>
          <t>1997-04-30</t>
        </is>
      </c>
      <c r="X526" t="inlineStr">
        <is>
          <t>1997-04-30</t>
        </is>
      </c>
      <c r="Y526" t="n">
        <v>256</v>
      </c>
      <c r="Z526" t="n">
        <v>223</v>
      </c>
      <c r="AA526" t="n">
        <v>367</v>
      </c>
      <c r="AB526" t="n">
        <v>1</v>
      </c>
      <c r="AC526" t="n">
        <v>3</v>
      </c>
      <c r="AD526" t="n">
        <v>11</v>
      </c>
      <c r="AE526" t="n">
        <v>20</v>
      </c>
      <c r="AF526" t="n">
        <v>5</v>
      </c>
      <c r="AG526" t="n">
        <v>7</v>
      </c>
      <c r="AH526" t="n">
        <v>2</v>
      </c>
      <c r="AI526" t="n">
        <v>4</v>
      </c>
      <c r="AJ526" t="n">
        <v>5</v>
      </c>
      <c r="AK526" t="n">
        <v>9</v>
      </c>
      <c r="AL526" t="n">
        <v>0</v>
      </c>
      <c r="AM526" t="n">
        <v>2</v>
      </c>
      <c r="AN526" t="n">
        <v>1</v>
      </c>
      <c r="AO526" t="n">
        <v>2</v>
      </c>
      <c r="AP526" t="inlineStr">
        <is>
          <t>Yes</t>
        </is>
      </c>
      <c r="AQ526" t="inlineStr">
        <is>
          <t>No</t>
        </is>
      </c>
      <c r="AR526">
        <f>HYPERLINK("http://catalog.hathitrust.org/Record/001476196","HathiTrust Record")</f>
        <v/>
      </c>
      <c r="AS526">
        <f>HYPERLINK("https://creighton-primo.hosted.exlibrisgroup.com/primo-explore/search?tab=default_tab&amp;search_scope=EVERYTHING&amp;vid=01CRU&amp;lang=en_US&amp;offset=0&amp;query=any,contains,991002684779702656","Catalog Record")</f>
        <v/>
      </c>
      <c r="AT526">
        <f>HYPERLINK("http://www.worldcat.org/oclc/399559","WorldCat Record")</f>
        <v/>
      </c>
      <c r="AU526" t="inlineStr">
        <is>
          <t>494705:eng</t>
        </is>
      </c>
      <c r="AV526" t="inlineStr">
        <is>
          <t>399559</t>
        </is>
      </c>
      <c r="AW526" t="inlineStr">
        <is>
          <t>991002684779702656</t>
        </is>
      </c>
      <c r="AX526" t="inlineStr">
        <is>
          <t>991002684779702656</t>
        </is>
      </c>
      <c r="AY526" t="inlineStr">
        <is>
          <t>2257827430002656</t>
        </is>
      </c>
      <c r="AZ526" t="inlineStr">
        <is>
          <t>BOOK</t>
        </is>
      </c>
      <c r="BC526" t="inlineStr">
        <is>
          <t>32285002640034</t>
        </is>
      </c>
      <c r="BD526" t="inlineStr">
        <is>
          <t>893716786</t>
        </is>
      </c>
    </row>
    <row r="527">
      <c r="A527" t="inlineStr">
        <is>
          <t>No</t>
        </is>
      </c>
      <c r="B527" t="inlineStr">
        <is>
          <t>QB88 .D5</t>
        </is>
      </c>
      <c r="C527" t="inlineStr">
        <is>
          <t>0                      QB 0088000D  5</t>
        </is>
      </c>
      <c r="D527" t="inlineStr">
        <is>
          <t>Telescopes and accessories, by George Z. Dimitroff and James G. Baker.</t>
        </is>
      </c>
      <c r="F527" t="inlineStr">
        <is>
          <t>No</t>
        </is>
      </c>
      <c r="G527" t="inlineStr">
        <is>
          <t>1</t>
        </is>
      </c>
      <c r="H527" t="inlineStr">
        <is>
          <t>No</t>
        </is>
      </c>
      <c r="I527" t="inlineStr">
        <is>
          <t>No</t>
        </is>
      </c>
      <c r="J527" t="inlineStr">
        <is>
          <t>0</t>
        </is>
      </c>
      <c r="K527" t="inlineStr">
        <is>
          <t>Dimitroff, George Z. (George Zakharieff), 1901-</t>
        </is>
      </c>
      <c r="L527" t="inlineStr">
        <is>
          <t>Philadelphia, The Blakiston Company [1945]</t>
        </is>
      </c>
      <c r="M527" t="inlineStr">
        <is>
          <t>1945</t>
        </is>
      </c>
      <c r="O527" t="inlineStr">
        <is>
          <t>eng</t>
        </is>
      </c>
      <c r="P527" t="inlineStr">
        <is>
          <t>pau</t>
        </is>
      </c>
      <c r="Q527" t="inlineStr">
        <is>
          <t>The Harvard books on astronomy</t>
        </is>
      </c>
      <c r="R527" t="inlineStr">
        <is>
          <t xml:space="preserve">QB </t>
        </is>
      </c>
      <c r="S527" t="n">
        <v>1</v>
      </c>
      <c r="T527" t="n">
        <v>1</v>
      </c>
      <c r="U527" t="inlineStr">
        <is>
          <t>2001-05-01</t>
        </is>
      </c>
      <c r="V527" t="inlineStr">
        <is>
          <t>2001-05-01</t>
        </is>
      </c>
      <c r="W527" t="inlineStr">
        <is>
          <t>1997-04-30</t>
        </is>
      </c>
      <c r="X527" t="inlineStr">
        <is>
          <t>1997-04-30</t>
        </is>
      </c>
      <c r="Y527" t="n">
        <v>328</v>
      </c>
      <c r="Z527" t="n">
        <v>267</v>
      </c>
      <c r="AA527" t="n">
        <v>271</v>
      </c>
      <c r="AB527" t="n">
        <v>3</v>
      </c>
      <c r="AC527" t="n">
        <v>3</v>
      </c>
      <c r="AD527" t="n">
        <v>8</v>
      </c>
      <c r="AE527" t="n">
        <v>8</v>
      </c>
      <c r="AF527" t="n">
        <v>3</v>
      </c>
      <c r="AG527" t="n">
        <v>3</v>
      </c>
      <c r="AH527" t="n">
        <v>0</v>
      </c>
      <c r="AI527" t="n">
        <v>0</v>
      </c>
      <c r="AJ527" t="n">
        <v>4</v>
      </c>
      <c r="AK527" t="n">
        <v>4</v>
      </c>
      <c r="AL527" t="n">
        <v>2</v>
      </c>
      <c r="AM527" t="n">
        <v>2</v>
      </c>
      <c r="AN527" t="n">
        <v>0</v>
      </c>
      <c r="AO527" t="n">
        <v>0</v>
      </c>
      <c r="AP527" t="inlineStr">
        <is>
          <t>No</t>
        </is>
      </c>
      <c r="AQ527" t="inlineStr">
        <is>
          <t>Yes</t>
        </is>
      </c>
      <c r="AR527">
        <f>HYPERLINK("http://catalog.hathitrust.org/Record/006294540","HathiTrust Record")</f>
        <v/>
      </c>
      <c r="AS527">
        <f>HYPERLINK("https://creighton-primo.hosted.exlibrisgroup.com/primo-explore/search?tab=default_tab&amp;search_scope=EVERYTHING&amp;vid=01CRU&amp;lang=en_US&amp;offset=0&amp;query=any,contains,991003035589702656","Catalog Record")</f>
        <v/>
      </c>
      <c r="AT527">
        <f>HYPERLINK("http://www.worldcat.org/oclc/598561","WorldCat Record")</f>
        <v/>
      </c>
      <c r="AU527" t="inlineStr">
        <is>
          <t>1818343:eng</t>
        </is>
      </c>
      <c r="AV527" t="inlineStr">
        <is>
          <t>598561</t>
        </is>
      </c>
      <c r="AW527" t="inlineStr">
        <is>
          <t>991003035589702656</t>
        </is>
      </c>
      <c r="AX527" t="inlineStr">
        <is>
          <t>991003035589702656</t>
        </is>
      </c>
      <c r="AY527" t="inlineStr">
        <is>
          <t>2271168080002656</t>
        </is>
      </c>
      <c r="AZ527" t="inlineStr">
        <is>
          <t>BOOK</t>
        </is>
      </c>
      <c r="BC527" t="inlineStr">
        <is>
          <t>32285002640042</t>
        </is>
      </c>
      <c r="BD527" t="inlineStr">
        <is>
          <t>893434592</t>
        </is>
      </c>
    </row>
    <row r="528">
      <c r="A528" t="inlineStr">
        <is>
          <t>No</t>
        </is>
      </c>
      <c r="B528" t="inlineStr">
        <is>
          <t>QB88 .I54 1985</t>
        </is>
      </c>
      <c r="C528" t="inlineStr">
        <is>
          <t>0                      QB 0088000I  54          1985</t>
        </is>
      </c>
      <c r="D528" t="inlineStr">
        <is>
          <t>Infinite vistas : new tools for astronomy / edited by James Cornell and John Carr.</t>
        </is>
      </c>
      <c r="F528" t="inlineStr">
        <is>
          <t>No</t>
        </is>
      </c>
      <c r="G528" t="inlineStr">
        <is>
          <t>1</t>
        </is>
      </c>
      <c r="H528" t="inlineStr">
        <is>
          <t>No</t>
        </is>
      </c>
      <c r="I528" t="inlineStr">
        <is>
          <t>No</t>
        </is>
      </c>
      <c r="J528" t="inlineStr">
        <is>
          <t>0</t>
        </is>
      </c>
      <c r="L528" t="inlineStr">
        <is>
          <t>New York : Scribner, c1985.</t>
        </is>
      </c>
      <c r="M528" t="inlineStr">
        <is>
          <t>1985</t>
        </is>
      </c>
      <c r="O528" t="inlineStr">
        <is>
          <t>eng</t>
        </is>
      </c>
      <c r="P528" t="inlineStr">
        <is>
          <t>nyu</t>
        </is>
      </c>
      <c r="R528" t="inlineStr">
        <is>
          <t xml:space="preserve">QB </t>
        </is>
      </c>
      <c r="S528" t="n">
        <v>2</v>
      </c>
      <c r="T528" t="n">
        <v>2</v>
      </c>
      <c r="U528" t="inlineStr">
        <is>
          <t>1994-02-21</t>
        </is>
      </c>
      <c r="V528" t="inlineStr">
        <is>
          <t>1994-02-21</t>
        </is>
      </c>
      <c r="W528" t="inlineStr">
        <is>
          <t>1992-11-18</t>
        </is>
      </c>
      <c r="X528" t="inlineStr">
        <is>
          <t>1992-11-18</t>
        </is>
      </c>
      <c r="Y528" t="n">
        <v>300</v>
      </c>
      <c r="Z528" t="n">
        <v>279</v>
      </c>
      <c r="AA528" t="n">
        <v>289</v>
      </c>
      <c r="AB528" t="n">
        <v>1</v>
      </c>
      <c r="AC528" t="n">
        <v>1</v>
      </c>
      <c r="AD528" t="n">
        <v>3</v>
      </c>
      <c r="AE528" t="n">
        <v>3</v>
      </c>
      <c r="AF528" t="n">
        <v>2</v>
      </c>
      <c r="AG528" t="n">
        <v>2</v>
      </c>
      <c r="AH528" t="n">
        <v>1</v>
      </c>
      <c r="AI528" t="n">
        <v>1</v>
      </c>
      <c r="AJ528" t="n">
        <v>2</v>
      </c>
      <c r="AK528" t="n">
        <v>2</v>
      </c>
      <c r="AL528" t="n">
        <v>0</v>
      </c>
      <c r="AM528" t="n">
        <v>0</v>
      </c>
      <c r="AN528" t="n">
        <v>0</v>
      </c>
      <c r="AO528" t="n">
        <v>0</v>
      </c>
      <c r="AP528" t="inlineStr">
        <is>
          <t>No</t>
        </is>
      </c>
      <c r="AQ528" t="inlineStr">
        <is>
          <t>Yes</t>
        </is>
      </c>
      <c r="AR528">
        <f>HYPERLINK("http://catalog.hathitrust.org/Record/000575371","HathiTrust Record")</f>
        <v/>
      </c>
      <c r="AS528">
        <f>HYPERLINK("https://creighton-primo.hosted.exlibrisgroup.com/primo-explore/search?tab=default_tab&amp;search_scope=EVERYTHING&amp;vid=01CRU&amp;lang=en_US&amp;offset=0&amp;query=any,contains,991000661279702656","Catalog Record")</f>
        <v/>
      </c>
      <c r="AT528">
        <f>HYPERLINK("http://www.worldcat.org/oclc/12238457","WorldCat Record")</f>
        <v/>
      </c>
      <c r="AU528" t="inlineStr">
        <is>
          <t>5207506:eng</t>
        </is>
      </c>
      <c r="AV528" t="inlineStr">
        <is>
          <t>12238457</t>
        </is>
      </c>
      <c r="AW528" t="inlineStr">
        <is>
          <t>991000661279702656</t>
        </is>
      </c>
      <c r="AX528" t="inlineStr">
        <is>
          <t>991000661279702656</t>
        </is>
      </c>
      <c r="AY528" t="inlineStr">
        <is>
          <t>2266705500002656</t>
        </is>
      </c>
      <c r="AZ528" t="inlineStr">
        <is>
          <t>BOOK</t>
        </is>
      </c>
      <c r="BB528" t="inlineStr">
        <is>
          <t>9780684182872</t>
        </is>
      </c>
      <c r="BC528" t="inlineStr">
        <is>
          <t>32285001432300</t>
        </is>
      </c>
      <c r="BD528" t="inlineStr">
        <is>
          <t>893327478</t>
        </is>
      </c>
    </row>
    <row r="529">
      <c r="A529" t="inlineStr">
        <is>
          <t>No</t>
        </is>
      </c>
      <c r="B529" t="inlineStr">
        <is>
          <t>QB88 .K5 1955a</t>
        </is>
      </c>
      <c r="C529" t="inlineStr">
        <is>
          <t>0                      QB 0088000K  5           1955a</t>
        </is>
      </c>
      <c r="D529" t="inlineStr">
        <is>
          <t>The history of the telescope / with a foreword by Sir Harold Spencer Jones.</t>
        </is>
      </c>
      <c r="F529" t="inlineStr">
        <is>
          <t>No</t>
        </is>
      </c>
      <c r="G529" t="inlineStr">
        <is>
          <t>1</t>
        </is>
      </c>
      <c r="H529" t="inlineStr">
        <is>
          <t>No</t>
        </is>
      </c>
      <c r="I529" t="inlineStr">
        <is>
          <t>No</t>
        </is>
      </c>
      <c r="J529" t="inlineStr">
        <is>
          <t>0</t>
        </is>
      </c>
      <c r="K529" t="inlineStr">
        <is>
          <t>King, Henry C.</t>
        </is>
      </c>
      <c r="L529" t="inlineStr">
        <is>
          <t>London : Griffin, [1955]</t>
        </is>
      </c>
      <c r="M529" t="inlineStr">
        <is>
          <t>1955</t>
        </is>
      </c>
      <c r="O529" t="inlineStr">
        <is>
          <t>eng</t>
        </is>
      </c>
      <c r="P529" t="inlineStr">
        <is>
          <t xml:space="preserve">xx </t>
        </is>
      </c>
      <c r="R529" t="inlineStr">
        <is>
          <t xml:space="preserve">QB </t>
        </is>
      </c>
      <c r="S529" t="n">
        <v>12</v>
      </c>
      <c r="T529" t="n">
        <v>12</v>
      </c>
      <c r="U529" t="inlineStr">
        <is>
          <t>1996-04-02</t>
        </is>
      </c>
      <c r="V529" t="inlineStr">
        <is>
          <t>1996-04-02</t>
        </is>
      </c>
      <c r="W529" t="inlineStr">
        <is>
          <t>1994-02-23</t>
        </is>
      </c>
      <c r="X529" t="inlineStr">
        <is>
          <t>1994-02-23</t>
        </is>
      </c>
      <c r="Y529" t="n">
        <v>175</v>
      </c>
      <c r="Z529" t="n">
        <v>77</v>
      </c>
      <c r="AA529" t="n">
        <v>618</v>
      </c>
      <c r="AB529" t="n">
        <v>1</v>
      </c>
      <c r="AC529" t="n">
        <v>3</v>
      </c>
      <c r="AD529" t="n">
        <v>2</v>
      </c>
      <c r="AE529" t="n">
        <v>18</v>
      </c>
      <c r="AF529" t="n">
        <v>0</v>
      </c>
      <c r="AG529" t="n">
        <v>4</v>
      </c>
      <c r="AH529" t="n">
        <v>1</v>
      </c>
      <c r="AI529" t="n">
        <v>5</v>
      </c>
      <c r="AJ529" t="n">
        <v>1</v>
      </c>
      <c r="AK529" t="n">
        <v>11</v>
      </c>
      <c r="AL529" t="n">
        <v>0</v>
      </c>
      <c r="AM529" t="n">
        <v>2</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HYPERLINK("https://creighton-primo.hosted.exlibrisgroup.com/primo-explore/search?tab=default_tab&amp;search_scope=EVERYTHING&amp;vid=01CRU&amp;lang=en_US&amp;offset=0&amp;query=any,contains,991003731969702656","Catalog Record")</f>
        <v/>
      </c>
      <c r="AT529">
        <f>HYPERLINK("http://www.worldcat.org/oclc/1383556","WorldCat Record")</f>
        <v/>
      </c>
      <c r="AU529" t="inlineStr">
        <is>
          <t>494349:eng</t>
        </is>
      </c>
      <c r="AV529" t="inlineStr">
        <is>
          <t>1383556</t>
        </is>
      </c>
      <c r="AW529" t="inlineStr">
        <is>
          <t>991003731969702656</t>
        </is>
      </c>
      <c r="AX529" t="inlineStr">
        <is>
          <t>991003731969702656</t>
        </is>
      </c>
      <c r="AY529" t="inlineStr">
        <is>
          <t>2263966770002656</t>
        </is>
      </c>
      <c r="AZ529" t="inlineStr">
        <is>
          <t>BOOK</t>
        </is>
      </c>
      <c r="BC529" t="inlineStr">
        <is>
          <t>32285001839629</t>
        </is>
      </c>
      <c r="BD529" t="inlineStr">
        <is>
          <t>893868783</t>
        </is>
      </c>
    </row>
    <row r="530">
      <c r="A530" t="inlineStr">
        <is>
          <t>No</t>
        </is>
      </c>
      <c r="B530" t="inlineStr">
        <is>
          <t>QB88 .M85 1985</t>
        </is>
      </c>
      <c r="C530" t="inlineStr">
        <is>
          <t>0                      QB 0088000M  85          1985</t>
        </is>
      </c>
      <c r="D530" t="inlineStr">
        <is>
          <t>How to use an astronomical telescope : a beginner's guide to observing the cosmos / by James Muirden.</t>
        </is>
      </c>
      <c r="F530" t="inlineStr">
        <is>
          <t>No</t>
        </is>
      </c>
      <c r="G530" t="inlineStr">
        <is>
          <t>1</t>
        </is>
      </c>
      <c r="H530" t="inlineStr">
        <is>
          <t>No</t>
        </is>
      </c>
      <c r="I530" t="inlineStr">
        <is>
          <t>No</t>
        </is>
      </c>
      <c r="J530" t="inlineStr">
        <is>
          <t>0</t>
        </is>
      </c>
      <c r="K530" t="inlineStr">
        <is>
          <t>Muirden, James.</t>
        </is>
      </c>
      <c r="L530" t="inlineStr">
        <is>
          <t>New York : Linden Press/Simon &amp; Schuster, 1985.</t>
        </is>
      </c>
      <c r="M530" t="inlineStr">
        <is>
          <t>1985</t>
        </is>
      </c>
      <c r="O530" t="inlineStr">
        <is>
          <t>eng</t>
        </is>
      </c>
      <c r="P530" t="inlineStr">
        <is>
          <t>nyu</t>
        </is>
      </c>
      <c r="R530" t="inlineStr">
        <is>
          <t xml:space="preserve">QB </t>
        </is>
      </c>
      <c r="S530" t="n">
        <v>3</v>
      </c>
      <c r="T530" t="n">
        <v>3</v>
      </c>
      <c r="U530" t="inlineStr">
        <is>
          <t>1996-04-02</t>
        </is>
      </c>
      <c r="V530" t="inlineStr">
        <is>
          <t>1996-04-02</t>
        </is>
      </c>
      <c r="W530" t="inlineStr">
        <is>
          <t>1992-11-18</t>
        </is>
      </c>
      <c r="X530" t="inlineStr">
        <is>
          <t>1992-11-18</t>
        </is>
      </c>
      <c r="Y530" t="n">
        <v>640</v>
      </c>
      <c r="Z530" t="n">
        <v>607</v>
      </c>
      <c r="AA530" t="n">
        <v>758</v>
      </c>
      <c r="AB530" t="n">
        <v>3</v>
      </c>
      <c r="AC530" t="n">
        <v>3</v>
      </c>
      <c r="AD530" t="n">
        <v>14</v>
      </c>
      <c r="AE530" t="n">
        <v>14</v>
      </c>
      <c r="AF530" t="n">
        <v>6</v>
      </c>
      <c r="AG530" t="n">
        <v>6</v>
      </c>
      <c r="AH530" t="n">
        <v>3</v>
      </c>
      <c r="AI530" t="n">
        <v>3</v>
      </c>
      <c r="AJ530" t="n">
        <v>6</v>
      </c>
      <c r="AK530" t="n">
        <v>6</v>
      </c>
      <c r="AL530" t="n">
        <v>1</v>
      </c>
      <c r="AM530" t="n">
        <v>1</v>
      </c>
      <c r="AN530" t="n">
        <v>0</v>
      </c>
      <c r="AO530" t="n">
        <v>0</v>
      </c>
      <c r="AP530" t="inlineStr">
        <is>
          <t>No</t>
        </is>
      </c>
      <c r="AQ530" t="inlineStr">
        <is>
          <t>Yes</t>
        </is>
      </c>
      <c r="AR530">
        <f>HYPERLINK("http://catalog.hathitrust.org/Record/000628225","HathiTrust Record")</f>
        <v/>
      </c>
      <c r="AS530">
        <f>HYPERLINK("https://creighton-primo.hosted.exlibrisgroup.com/primo-explore/search?tab=default_tab&amp;search_scope=EVERYTHING&amp;vid=01CRU&amp;lang=en_US&amp;offset=0&amp;query=any,contains,991000510559702656","Catalog Record")</f>
        <v/>
      </c>
      <c r="AT530">
        <f>HYPERLINK("http://www.worldcat.org/oclc/11235687","WorldCat Record")</f>
        <v/>
      </c>
      <c r="AU530" t="inlineStr">
        <is>
          <t>4132275:eng</t>
        </is>
      </c>
      <c r="AV530" t="inlineStr">
        <is>
          <t>11235687</t>
        </is>
      </c>
      <c r="AW530" t="inlineStr">
        <is>
          <t>991000510559702656</t>
        </is>
      </c>
      <c r="AX530" t="inlineStr">
        <is>
          <t>991000510559702656</t>
        </is>
      </c>
      <c r="AY530" t="inlineStr">
        <is>
          <t>2259580250002656</t>
        </is>
      </c>
      <c r="AZ530" t="inlineStr">
        <is>
          <t>BOOK</t>
        </is>
      </c>
      <c r="BB530" t="inlineStr">
        <is>
          <t>9780671477448</t>
        </is>
      </c>
      <c r="BC530" t="inlineStr">
        <is>
          <t>32285001432318</t>
        </is>
      </c>
      <c r="BD530" t="inlineStr">
        <is>
          <t>893890753</t>
        </is>
      </c>
    </row>
    <row r="531">
      <c r="A531" t="inlineStr">
        <is>
          <t>No</t>
        </is>
      </c>
      <c r="B531" t="inlineStr">
        <is>
          <t>QB88 .S88 2004</t>
        </is>
      </c>
      <c r="C531" t="inlineStr">
        <is>
          <t>0                      QB 0088000S  88          2004</t>
        </is>
      </c>
      <c r="D531" t="inlineStr">
        <is>
          <t>The Nexstar user's guide / Michael W. Swanson.</t>
        </is>
      </c>
      <c r="F531" t="inlineStr">
        <is>
          <t>No</t>
        </is>
      </c>
      <c r="G531" t="inlineStr">
        <is>
          <t>1</t>
        </is>
      </c>
      <c r="H531" t="inlineStr">
        <is>
          <t>No</t>
        </is>
      </c>
      <c r="I531" t="inlineStr">
        <is>
          <t>No</t>
        </is>
      </c>
      <c r="J531" t="inlineStr">
        <is>
          <t>0</t>
        </is>
      </c>
      <c r="K531" t="inlineStr">
        <is>
          <t>Swanson, Michael W., 1963-</t>
        </is>
      </c>
      <c r="L531" t="inlineStr">
        <is>
          <t>London ; New York : Springer, c2004.</t>
        </is>
      </c>
      <c r="M531" t="inlineStr">
        <is>
          <t>2004</t>
        </is>
      </c>
      <c r="O531" t="inlineStr">
        <is>
          <t>eng</t>
        </is>
      </c>
      <c r="P531" t="inlineStr">
        <is>
          <t>enk</t>
        </is>
      </c>
      <c r="Q531" t="inlineStr">
        <is>
          <t>Patrick Moore's practical astronomy series</t>
        </is>
      </c>
      <c r="R531" t="inlineStr">
        <is>
          <t xml:space="preserve">QB </t>
        </is>
      </c>
      <c r="S531" t="n">
        <v>1</v>
      </c>
      <c r="T531" t="n">
        <v>1</v>
      </c>
      <c r="U531" t="inlineStr">
        <is>
          <t>2008-12-17</t>
        </is>
      </c>
      <c r="V531" t="inlineStr">
        <is>
          <t>2008-12-17</t>
        </is>
      </c>
      <c r="W531" t="inlineStr">
        <is>
          <t>2008-12-17</t>
        </is>
      </c>
      <c r="X531" t="inlineStr">
        <is>
          <t>2008-12-17</t>
        </is>
      </c>
      <c r="Y531" t="n">
        <v>51</v>
      </c>
      <c r="Z531" t="n">
        <v>40</v>
      </c>
      <c r="AA531" t="n">
        <v>66</v>
      </c>
      <c r="AB531" t="n">
        <v>1</v>
      </c>
      <c r="AC531" t="n">
        <v>1</v>
      </c>
      <c r="AD531" t="n">
        <v>1</v>
      </c>
      <c r="AE531" t="n">
        <v>3</v>
      </c>
      <c r="AF531" t="n">
        <v>0</v>
      </c>
      <c r="AG531" t="n">
        <v>1</v>
      </c>
      <c r="AH531" t="n">
        <v>0</v>
      </c>
      <c r="AI531" t="n">
        <v>1</v>
      </c>
      <c r="AJ531" t="n">
        <v>1</v>
      </c>
      <c r="AK531" t="n">
        <v>2</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HYPERLINK("https://creighton-primo.hosted.exlibrisgroup.com/primo-explore/search?tab=default_tab&amp;search_scope=EVERYTHING&amp;vid=01CRU&amp;lang=en_US&amp;offset=0&amp;query=any,contains,991005285279702656","Catalog Record")</f>
        <v/>
      </c>
      <c r="AT531">
        <f>HYPERLINK("http://www.worldcat.org/oclc/52152350","WorldCat Record")</f>
        <v/>
      </c>
      <c r="AU531" t="inlineStr">
        <is>
          <t>815704:eng</t>
        </is>
      </c>
      <c r="AV531" t="inlineStr">
        <is>
          <t>52152350</t>
        </is>
      </c>
      <c r="AW531" t="inlineStr">
        <is>
          <t>991005285279702656</t>
        </is>
      </c>
      <c r="AX531" t="inlineStr">
        <is>
          <t>991005285279702656</t>
        </is>
      </c>
      <c r="AY531" t="inlineStr">
        <is>
          <t>2259686770002656</t>
        </is>
      </c>
      <c r="AZ531" t="inlineStr">
        <is>
          <t>BOOK</t>
        </is>
      </c>
      <c r="BB531" t="inlineStr">
        <is>
          <t>9781852337148</t>
        </is>
      </c>
      <c r="BC531" t="inlineStr">
        <is>
          <t>32285005474282</t>
        </is>
      </c>
      <c r="BD531" t="inlineStr">
        <is>
          <t>893783354</t>
        </is>
      </c>
    </row>
    <row r="532">
      <c r="A532" t="inlineStr">
        <is>
          <t>No</t>
        </is>
      </c>
      <c r="B532" t="inlineStr">
        <is>
          <t>QB88 .T83 1986</t>
        </is>
      </c>
      <c r="C532" t="inlineStr">
        <is>
          <t>0                      QB 0088000T  83          1986</t>
        </is>
      </c>
      <c r="D532" t="inlineStr">
        <is>
          <t>The cosmic inquirers : modern telescopes and their makers / Wallace Tucker, Karen Tucker.</t>
        </is>
      </c>
      <c r="F532" t="inlineStr">
        <is>
          <t>No</t>
        </is>
      </c>
      <c r="G532" t="inlineStr">
        <is>
          <t>1</t>
        </is>
      </c>
      <c r="H532" t="inlineStr">
        <is>
          <t>No</t>
        </is>
      </c>
      <c r="I532" t="inlineStr">
        <is>
          <t>No</t>
        </is>
      </c>
      <c r="J532" t="inlineStr">
        <is>
          <t>0</t>
        </is>
      </c>
      <c r="K532" t="inlineStr">
        <is>
          <t>Tucker, Wallace H.</t>
        </is>
      </c>
      <c r="L532" t="inlineStr">
        <is>
          <t>Cambridge, Mass. : Harvard University Press, 1986.</t>
        </is>
      </c>
      <c r="M532" t="inlineStr">
        <is>
          <t>1986</t>
        </is>
      </c>
      <c r="O532" t="inlineStr">
        <is>
          <t>eng</t>
        </is>
      </c>
      <c r="P532" t="inlineStr">
        <is>
          <t>mau</t>
        </is>
      </c>
      <c r="R532" t="inlineStr">
        <is>
          <t xml:space="preserve">QB </t>
        </is>
      </c>
      <c r="S532" t="n">
        <v>2</v>
      </c>
      <c r="T532" t="n">
        <v>2</v>
      </c>
      <c r="U532" t="inlineStr">
        <is>
          <t>1994-02-11</t>
        </is>
      </c>
      <c r="V532" t="inlineStr">
        <is>
          <t>1994-02-11</t>
        </is>
      </c>
      <c r="W532" t="inlineStr">
        <is>
          <t>1992-11-18</t>
        </is>
      </c>
      <c r="X532" t="inlineStr">
        <is>
          <t>1992-11-18</t>
        </is>
      </c>
      <c r="Y532" t="n">
        <v>633</v>
      </c>
      <c r="Z532" t="n">
        <v>567</v>
      </c>
      <c r="AA532" t="n">
        <v>579</v>
      </c>
      <c r="AB532" t="n">
        <v>6</v>
      </c>
      <c r="AC532" t="n">
        <v>6</v>
      </c>
      <c r="AD532" t="n">
        <v>15</v>
      </c>
      <c r="AE532" t="n">
        <v>16</v>
      </c>
      <c r="AF532" t="n">
        <v>3</v>
      </c>
      <c r="AG532" t="n">
        <v>4</v>
      </c>
      <c r="AH532" t="n">
        <v>4</v>
      </c>
      <c r="AI532" t="n">
        <v>4</v>
      </c>
      <c r="AJ532" t="n">
        <v>8</v>
      </c>
      <c r="AK532" t="n">
        <v>8</v>
      </c>
      <c r="AL532" t="n">
        <v>4</v>
      </c>
      <c r="AM532" t="n">
        <v>4</v>
      </c>
      <c r="AN532" t="n">
        <v>0</v>
      </c>
      <c r="AO532" t="n">
        <v>0</v>
      </c>
      <c r="AP532" t="inlineStr">
        <is>
          <t>No</t>
        </is>
      </c>
      <c r="AQ532" t="inlineStr">
        <is>
          <t>Yes</t>
        </is>
      </c>
      <c r="AR532">
        <f>HYPERLINK("http://catalog.hathitrust.org/Record/000386916","HathiTrust Record")</f>
        <v/>
      </c>
      <c r="AS532">
        <f>HYPERLINK("https://creighton-primo.hosted.exlibrisgroup.com/primo-explore/search?tab=default_tab&amp;search_scope=EVERYTHING&amp;vid=01CRU&amp;lang=en_US&amp;offset=0&amp;query=any,contains,991000710359702656","Catalog Record")</f>
        <v/>
      </c>
      <c r="AT532">
        <f>HYPERLINK("http://www.worldcat.org/oclc/12582170","WorldCat Record")</f>
        <v/>
      </c>
      <c r="AU532" t="inlineStr">
        <is>
          <t>5212215:eng</t>
        </is>
      </c>
      <c r="AV532" t="inlineStr">
        <is>
          <t>12582170</t>
        </is>
      </c>
      <c r="AW532" t="inlineStr">
        <is>
          <t>991000710359702656</t>
        </is>
      </c>
      <c r="AX532" t="inlineStr">
        <is>
          <t>991000710359702656</t>
        </is>
      </c>
      <c r="AY532" t="inlineStr">
        <is>
          <t>2272286380002656</t>
        </is>
      </c>
      <c r="AZ532" t="inlineStr">
        <is>
          <t>BOOK</t>
        </is>
      </c>
      <c r="BB532" t="inlineStr">
        <is>
          <t>9780674174351</t>
        </is>
      </c>
      <c r="BC532" t="inlineStr">
        <is>
          <t>32285001432326</t>
        </is>
      </c>
      <c r="BD532" t="inlineStr">
        <is>
          <t>893614432</t>
        </is>
      </c>
    </row>
    <row r="533">
      <c r="A533" t="inlineStr">
        <is>
          <t>No</t>
        </is>
      </c>
      <c r="B533" t="inlineStr">
        <is>
          <t>QB88 .W38 2005</t>
        </is>
      </c>
      <c r="C533" t="inlineStr">
        <is>
          <t>0                      QB 0088000W  38          2005</t>
        </is>
      </c>
      <c r="D533" t="inlineStr">
        <is>
          <t>Stargazer : the life and times of the telescope / Fred Watson.</t>
        </is>
      </c>
      <c r="F533" t="inlineStr">
        <is>
          <t>No</t>
        </is>
      </c>
      <c r="G533" t="inlineStr">
        <is>
          <t>1</t>
        </is>
      </c>
      <c r="H533" t="inlineStr">
        <is>
          <t>No</t>
        </is>
      </c>
      <c r="I533" t="inlineStr">
        <is>
          <t>No</t>
        </is>
      </c>
      <c r="J533" t="inlineStr">
        <is>
          <t>0</t>
        </is>
      </c>
      <c r="K533" t="inlineStr">
        <is>
          <t>Watson, Fred, 1944-</t>
        </is>
      </c>
      <c r="L533" t="inlineStr">
        <is>
          <t>Cambridge, MA : Da Capo Press, 2005.</t>
        </is>
      </c>
      <c r="M533" t="inlineStr">
        <is>
          <t>2005</t>
        </is>
      </c>
      <c r="N533" t="inlineStr">
        <is>
          <t>1st Da Capo Press ed.</t>
        </is>
      </c>
      <c r="O533" t="inlineStr">
        <is>
          <t>eng</t>
        </is>
      </c>
      <c r="P533" t="inlineStr">
        <is>
          <t>mau</t>
        </is>
      </c>
      <c r="R533" t="inlineStr">
        <is>
          <t xml:space="preserve">QB </t>
        </is>
      </c>
      <c r="S533" t="n">
        <v>2</v>
      </c>
      <c r="T533" t="n">
        <v>2</v>
      </c>
      <c r="U533" t="inlineStr">
        <is>
          <t>2009-04-03</t>
        </is>
      </c>
      <c r="V533" t="inlineStr">
        <is>
          <t>2009-04-03</t>
        </is>
      </c>
      <c r="W533" t="inlineStr">
        <is>
          <t>2006-01-26</t>
        </is>
      </c>
      <c r="X533" t="inlineStr">
        <is>
          <t>2006-01-26</t>
        </is>
      </c>
      <c r="Y533" t="n">
        <v>959</v>
      </c>
      <c r="Z533" t="n">
        <v>903</v>
      </c>
      <c r="AA533" t="n">
        <v>1033</v>
      </c>
      <c r="AB533" t="n">
        <v>9</v>
      </c>
      <c r="AC533" t="n">
        <v>11</v>
      </c>
      <c r="AD533" t="n">
        <v>23</v>
      </c>
      <c r="AE533" t="n">
        <v>25</v>
      </c>
      <c r="AF533" t="n">
        <v>11</v>
      </c>
      <c r="AG533" t="n">
        <v>12</v>
      </c>
      <c r="AH533" t="n">
        <v>4</v>
      </c>
      <c r="AI533" t="n">
        <v>5</v>
      </c>
      <c r="AJ533" t="n">
        <v>6</v>
      </c>
      <c r="AK533" t="n">
        <v>6</v>
      </c>
      <c r="AL533" t="n">
        <v>6</v>
      </c>
      <c r="AM533" t="n">
        <v>7</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HYPERLINK("https://creighton-primo.hosted.exlibrisgroup.com/primo-explore/search?tab=default_tab&amp;search_scope=EVERYTHING&amp;vid=01CRU&amp;lang=en_US&amp;offset=0&amp;query=any,contains,991004719399702656","Catalog Record")</f>
        <v/>
      </c>
      <c r="AT533">
        <f>HYPERLINK("http://www.worldcat.org/oclc/60821069","WorldCat Record")</f>
        <v/>
      </c>
      <c r="AU533" t="inlineStr">
        <is>
          <t>87228:eng</t>
        </is>
      </c>
      <c r="AV533" t="inlineStr">
        <is>
          <t>60821069</t>
        </is>
      </c>
      <c r="AW533" t="inlineStr">
        <is>
          <t>991004719399702656</t>
        </is>
      </c>
      <c r="AX533" t="inlineStr">
        <is>
          <t>991004719399702656</t>
        </is>
      </c>
      <c r="AY533" t="inlineStr">
        <is>
          <t>2271181880002656</t>
        </is>
      </c>
      <c r="AZ533" t="inlineStr">
        <is>
          <t>BOOK</t>
        </is>
      </c>
      <c r="BB533" t="inlineStr">
        <is>
          <t>9780306814327</t>
        </is>
      </c>
      <c r="BC533" t="inlineStr">
        <is>
          <t>32285005156608</t>
        </is>
      </c>
      <c r="BD533" t="inlineStr">
        <is>
          <t>893229748</t>
        </is>
      </c>
    </row>
    <row r="534">
      <c r="A534" t="inlineStr">
        <is>
          <t>No</t>
        </is>
      </c>
      <c r="B534" t="inlineStr">
        <is>
          <t>QB980 .B54 1984</t>
        </is>
      </c>
      <c r="C534" t="inlineStr">
        <is>
          <t>0                      QB 0980000B  54          1984</t>
        </is>
      </c>
      <c r="D534" t="inlineStr">
        <is>
          <t>The Big bang and Georges Lemaître : proceedings of a symposium in honour of G. Lemaître fifty years after his initiation of big-bang cosmology, Louvain-la-Neuve, Belgium, 10-13 October 1983 / edited by A. Berger.</t>
        </is>
      </c>
      <c r="F534" t="inlineStr">
        <is>
          <t>No</t>
        </is>
      </c>
      <c r="G534" t="inlineStr">
        <is>
          <t>1</t>
        </is>
      </c>
      <c r="H534" t="inlineStr">
        <is>
          <t>No</t>
        </is>
      </c>
      <c r="I534" t="inlineStr">
        <is>
          <t>No</t>
        </is>
      </c>
      <c r="J534" t="inlineStr">
        <is>
          <t>0</t>
        </is>
      </c>
      <c r="L534" t="inlineStr">
        <is>
          <t>Dordrecht ; Boston : D. Reidel Pub. Co. ; Hingham, MA : Sold and distributed in the U.S.A. and Canada by Kluwer Academic Publishers, c1984.</t>
        </is>
      </c>
      <c r="M534" t="inlineStr">
        <is>
          <t>1984</t>
        </is>
      </c>
      <c r="O534" t="inlineStr">
        <is>
          <t>eng</t>
        </is>
      </c>
      <c r="P534" t="inlineStr">
        <is>
          <t xml:space="preserve">ne </t>
        </is>
      </c>
      <c r="R534" t="inlineStr">
        <is>
          <t xml:space="preserve">QB </t>
        </is>
      </c>
      <c r="S534" t="n">
        <v>2</v>
      </c>
      <c r="T534" t="n">
        <v>2</v>
      </c>
      <c r="U534" t="inlineStr">
        <is>
          <t>2000-10-26</t>
        </is>
      </c>
      <c r="V534" t="inlineStr">
        <is>
          <t>2000-10-26</t>
        </is>
      </c>
      <c r="W534" t="inlineStr">
        <is>
          <t>1996-04-16</t>
        </is>
      </c>
      <c r="X534" t="inlineStr">
        <is>
          <t>1996-04-16</t>
        </is>
      </c>
      <c r="Y534" t="n">
        <v>199</v>
      </c>
      <c r="Z534" t="n">
        <v>145</v>
      </c>
      <c r="AA534" t="n">
        <v>157</v>
      </c>
      <c r="AB534" t="n">
        <v>2</v>
      </c>
      <c r="AC534" t="n">
        <v>2</v>
      </c>
      <c r="AD534" t="n">
        <v>3</v>
      </c>
      <c r="AE534" t="n">
        <v>3</v>
      </c>
      <c r="AF534" t="n">
        <v>0</v>
      </c>
      <c r="AG534" t="n">
        <v>0</v>
      </c>
      <c r="AH534" t="n">
        <v>0</v>
      </c>
      <c r="AI534" t="n">
        <v>0</v>
      </c>
      <c r="AJ534" t="n">
        <v>2</v>
      </c>
      <c r="AK534" t="n">
        <v>2</v>
      </c>
      <c r="AL534" t="n">
        <v>1</v>
      </c>
      <c r="AM534" t="n">
        <v>1</v>
      </c>
      <c r="AN534" t="n">
        <v>0</v>
      </c>
      <c r="AO534" t="n">
        <v>0</v>
      </c>
      <c r="AP534" t="inlineStr">
        <is>
          <t>No</t>
        </is>
      </c>
      <c r="AQ534" t="inlineStr">
        <is>
          <t>Yes</t>
        </is>
      </c>
      <c r="AR534">
        <f>HYPERLINK("http://catalog.hathitrust.org/Record/000361744","HathiTrust Record")</f>
        <v/>
      </c>
      <c r="AS534">
        <f>HYPERLINK("https://creighton-primo.hosted.exlibrisgroup.com/primo-explore/search?tab=default_tab&amp;search_scope=EVERYTHING&amp;vid=01CRU&amp;lang=en_US&amp;offset=0&amp;query=any,contains,991000487709702656","Catalog Record")</f>
        <v/>
      </c>
      <c r="AT534">
        <f>HYPERLINK("http://www.worldcat.org/oclc/11089944","WorldCat Record")</f>
        <v/>
      </c>
      <c r="AU534" t="inlineStr">
        <is>
          <t>836675539:eng</t>
        </is>
      </c>
      <c r="AV534" t="inlineStr">
        <is>
          <t>11089944</t>
        </is>
      </c>
      <c r="AW534" t="inlineStr">
        <is>
          <t>991000487709702656</t>
        </is>
      </c>
      <c r="AX534" t="inlineStr">
        <is>
          <t>991000487709702656</t>
        </is>
      </c>
      <c r="AY534" t="inlineStr">
        <is>
          <t>2265170400002656</t>
        </is>
      </c>
      <c r="AZ534" t="inlineStr">
        <is>
          <t>BOOK</t>
        </is>
      </c>
      <c r="BB534" t="inlineStr">
        <is>
          <t>9789027718488</t>
        </is>
      </c>
      <c r="BC534" t="inlineStr">
        <is>
          <t>32285001434926</t>
        </is>
      </c>
      <c r="BD534" t="inlineStr">
        <is>
          <t>893333515</t>
        </is>
      </c>
    </row>
    <row r="535">
      <c r="A535" t="inlineStr">
        <is>
          <t>No</t>
        </is>
      </c>
      <c r="B535" t="inlineStr">
        <is>
          <t>QB980 .N37 1986</t>
        </is>
      </c>
      <c r="C535" t="inlineStr">
        <is>
          <t>0                      QB 0980000N  37          1986</t>
        </is>
      </c>
      <c r="D535" t="inlineStr">
        <is>
          <t>Gauge theory and the early universe / edited by P. Galeotti and David N. Schramm.</t>
        </is>
      </c>
      <c r="F535" t="inlineStr">
        <is>
          <t>No</t>
        </is>
      </c>
      <c r="G535" t="inlineStr">
        <is>
          <t>1</t>
        </is>
      </c>
      <c r="H535" t="inlineStr">
        <is>
          <t>No</t>
        </is>
      </c>
      <c r="I535" t="inlineStr">
        <is>
          <t>No</t>
        </is>
      </c>
      <c r="J535" t="inlineStr">
        <is>
          <t>0</t>
        </is>
      </c>
      <c r="K535" t="inlineStr">
        <is>
          <t>NATO Advanced Study Institute on Gauge Theory and the Early Universe (1986 : Erice, Italy)</t>
        </is>
      </c>
      <c r="L535" t="inlineStr">
        <is>
          <t>Dordrecht ; Boston : Kluwer Academic Publishers, 1988.</t>
        </is>
      </c>
      <c r="M535" t="inlineStr">
        <is>
          <t>1988</t>
        </is>
      </c>
      <c r="O535" t="inlineStr">
        <is>
          <t>eng</t>
        </is>
      </c>
      <c r="P535" t="inlineStr">
        <is>
          <t xml:space="preserve">ne </t>
        </is>
      </c>
      <c r="Q535" t="inlineStr">
        <is>
          <t>NATO ASI series. Series C, Mathematical and physical sciences ; vol. 248</t>
        </is>
      </c>
      <c r="R535" t="inlineStr">
        <is>
          <t xml:space="preserve">QB </t>
        </is>
      </c>
      <c r="S535" t="n">
        <v>3</v>
      </c>
      <c r="T535" t="n">
        <v>3</v>
      </c>
      <c r="U535" t="inlineStr">
        <is>
          <t>2007-04-10</t>
        </is>
      </c>
      <c r="V535" t="inlineStr">
        <is>
          <t>2007-04-10</t>
        </is>
      </c>
      <c r="W535" t="inlineStr">
        <is>
          <t>1991-03-06</t>
        </is>
      </c>
      <c r="X535" t="inlineStr">
        <is>
          <t>1991-03-06</t>
        </is>
      </c>
      <c r="Y535" t="n">
        <v>122</v>
      </c>
      <c r="Z535" t="n">
        <v>90</v>
      </c>
      <c r="AA535" t="n">
        <v>92</v>
      </c>
      <c r="AB535" t="n">
        <v>1</v>
      </c>
      <c r="AC535" t="n">
        <v>1</v>
      </c>
      <c r="AD535" t="n">
        <v>2</v>
      </c>
      <c r="AE535" t="n">
        <v>2</v>
      </c>
      <c r="AF535" t="n">
        <v>0</v>
      </c>
      <c r="AG535" t="n">
        <v>0</v>
      </c>
      <c r="AH535" t="n">
        <v>1</v>
      </c>
      <c r="AI535" t="n">
        <v>1</v>
      </c>
      <c r="AJ535" t="n">
        <v>2</v>
      </c>
      <c r="AK535" t="n">
        <v>2</v>
      </c>
      <c r="AL535" t="n">
        <v>0</v>
      </c>
      <c r="AM535" t="n">
        <v>0</v>
      </c>
      <c r="AN535" t="n">
        <v>0</v>
      </c>
      <c r="AO535" t="n">
        <v>0</v>
      </c>
      <c r="AP535" t="inlineStr">
        <is>
          <t>No</t>
        </is>
      </c>
      <c r="AQ535" t="inlineStr">
        <is>
          <t>Yes</t>
        </is>
      </c>
      <c r="AR535">
        <f>HYPERLINK("http://catalog.hathitrust.org/Record/001087514","HathiTrust Record")</f>
        <v/>
      </c>
      <c r="AS535">
        <f>HYPERLINK("https://creighton-primo.hosted.exlibrisgroup.com/primo-explore/search?tab=default_tab&amp;search_scope=EVERYTHING&amp;vid=01CRU&amp;lang=en_US&amp;offset=0&amp;query=any,contains,991001354969702656","Catalog Record")</f>
        <v/>
      </c>
      <c r="AT535">
        <f>HYPERLINK("http://www.worldcat.org/oclc/18464174","WorldCat Record")</f>
        <v/>
      </c>
      <c r="AU535" t="inlineStr">
        <is>
          <t>499433280:eng</t>
        </is>
      </c>
      <c r="AV535" t="inlineStr">
        <is>
          <t>18464174</t>
        </is>
      </c>
      <c r="AW535" t="inlineStr">
        <is>
          <t>991001354969702656</t>
        </is>
      </c>
      <c r="AX535" t="inlineStr">
        <is>
          <t>991001354969702656</t>
        </is>
      </c>
      <c r="AY535" t="inlineStr">
        <is>
          <t>2268889450002656</t>
        </is>
      </c>
      <c r="AZ535" t="inlineStr">
        <is>
          <t>BOOK</t>
        </is>
      </c>
      <c r="BB535" t="inlineStr">
        <is>
          <t>9789027728050</t>
        </is>
      </c>
      <c r="BC535" t="inlineStr">
        <is>
          <t>32285000493238</t>
        </is>
      </c>
      <c r="BD535" t="inlineStr">
        <is>
          <t>893321857</t>
        </is>
      </c>
    </row>
    <row r="536">
      <c r="A536" t="inlineStr">
        <is>
          <t>No</t>
        </is>
      </c>
      <c r="B536" t="inlineStr">
        <is>
          <t>QB980 .V46 1983</t>
        </is>
      </c>
      <c r="C536" t="inlineStr">
        <is>
          <t>0                      QB 0980000V  46          1983</t>
        </is>
      </c>
      <c r="D536" t="inlineStr">
        <is>
          <t>The Very early universe : proceedings of the Nuffield workshop, Cambridge, 21 June to 9 July, 1982 / edited by G.W. Gibbons and S.W. Hawking and S.T.C. Siklos.</t>
        </is>
      </c>
      <c r="F536" t="inlineStr">
        <is>
          <t>No</t>
        </is>
      </c>
      <c r="G536" t="inlineStr">
        <is>
          <t>1</t>
        </is>
      </c>
      <c r="H536" t="inlineStr">
        <is>
          <t>No</t>
        </is>
      </c>
      <c r="I536" t="inlineStr">
        <is>
          <t>No</t>
        </is>
      </c>
      <c r="J536" t="inlineStr">
        <is>
          <t>0</t>
        </is>
      </c>
      <c r="L536" t="inlineStr">
        <is>
          <t>Cambridge [Cambridgeshire] ; New York : Cambridge University Press, 1983.</t>
        </is>
      </c>
      <c r="M536" t="inlineStr">
        <is>
          <t>1983</t>
        </is>
      </c>
      <c r="O536" t="inlineStr">
        <is>
          <t>eng</t>
        </is>
      </c>
      <c r="P536" t="inlineStr">
        <is>
          <t>enk</t>
        </is>
      </c>
      <c r="R536" t="inlineStr">
        <is>
          <t xml:space="preserve">QB </t>
        </is>
      </c>
      <c r="S536" t="n">
        <v>2</v>
      </c>
      <c r="T536" t="n">
        <v>2</v>
      </c>
      <c r="U536" t="inlineStr">
        <is>
          <t>2003-02-26</t>
        </is>
      </c>
      <c r="V536" t="inlineStr">
        <is>
          <t>2003-02-26</t>
        </is>
      </c>
      <c r="W536" t="inlineStr">
        <is>
          <t>1992-11-24</t>
        </is>
      </c>
      <c r="X536" t="inlineStr">
        <is>
          <t>1992-11-24</t>
        </is>
      </c>
      <c r="Y536" t="n">
        <v>364</v>
      </c>
      <c r="Z536" t="n">
        <v>248</v>
      </c>
      <c r="AA536" t="n">
        <v>266</v>
      </c>
      <c r="AB536" t="n">
        <v>2</v>
      </c>
      <c r="AC536" t="n">
        <v>2</v>
      </c>
      <c r="AD536" t="n">
        <v>8</v>
      </c>
      <c r="AE536" t="n">
        <v>10</v>
      </c>
      <c r="AF536" t="n">
        <v>1</v>
      </c>
      <c r="AG536" t="n">
        <v>1</v>
      </c>
      <c r="AH536" t="n">
        <v>2</v>
      </c>
      <c r="AI536" t="n">
        <v>2</v>
      </c>
      <c r="AJ536" t="n">
        <v>5</v>
      </c>
      <c r="AK536" t="n">
        <v>7</v>
      </c>
      <c r="AL536" t="n">
        <v>1</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HYPERLINK("https://creighton-primo.hosted.exlibrisgroup.com/primo-explore/search?tab=default_tab&amp;search_scope=EVERYTHING&amp;vid=01CRU&amp;lang=en_US&amp;offset=0&amp;query=any,contains,991000205369702656","Catalog Record")</f>
        <v/>
      </c>
      <c r="AT536">
        <f>HYPERLINK("http://www.worldcat.org/oclc/9488764","WorldCat Record")</f>
        <v/>
      </c>
      <c r="AU536" t="inlineStr">
        <is>
          <t>836723881:eng</t>
        </is>
      </c>
      <c r="AV536" t="inlineStr">
        <is>
          <t>9488764</t>
        </is>
      </c>
      <c r="AW536" t="inlineStr">
        <is>
          <t>991000205369702656</t>
        </is>
      </c>
      <c r="AX536" t="inlineStr">
        <is>
          <t>991000205369702656</t>
        </is>
      </c>
      <c r="AY536" t="inlineStr">
        <is>
          <t>2259156260002656</t>
        </is>
      </c>
      <c r="AZ536" t="inlineStr">
        <is>
          <t>BOOK</t>
        </is>
      </c>
      <c r="BB536" t="inlineStr">
        <is>
          <t>9780521253499</t>
        </is>
      </c>
      <c r="BC536" t="inlineStr">
        <is>
          <t>32285001434942</t>
        </is>
      </c>
      <c r="BD536" t="inlineStr">
        <is>
          <t>893413182</t>
        </is>
      </c>
    </row>
    <row r="537">
      <c r="A537" t="inlineStr">
        <is>
          <t>No</t>
        </is>
      </c>
      <c r="B537" t="inlineStr">
        <is>
          <t>QB981 .A45</t>
        </is>
      </c>
      <c r="C537" t="inlineStr">
        <is>
          <t>0                      QB 0981000A  45</t>
        </is>
      </c>
      <c r="D537" t="inlineStr">
        <is>
          <t>Synthesis &amp; abundances of the elements; selected reprints.</t>
        </is>
      </c>
      <c r="F537" t="inlineStr">
        <is>
          <t>No</t>
        </is>
      </c>
      <c r="G537" t="inlineStr">
        <is>
          <t>1</t>
        </is>
      </c>
      <c r="H537" t="inlineStr">
        <is>
          <t>No</t>
        </is>
      </c>
      <c r="I537" t="inlineStr">
        <is>
          <t>No</t>
        </is>
      </c>
      <c r="J537" t="inlineStr">
        <is>
          <t>0</t>
        </is>
      </c>
      <c r="L537" t="inlineStr">
        <is>
          <t>New York, Published for the American Association of Physics Teachers by the American Institute of Physics [1967?]</t>
        </is>
      </c>
      <c r="M537" t="inlineStr">
        <is>
          <t>1967</t>
        </is>
      </c>
      <c r="O537" t="inlineStr">
        <is>
          <t>eng</t>
        </is>
      </c>
      <c r="P537" t="inlineStr">
        <is>
          <t xml:space="preserve">xx </t>
        </is>
      </c>
      <c r="R537" t="inlineStr">
        <is>
          <t xml:space="preserve">QB </t>
        </is>
      </c>
      <c r="S537" t="n">
        <v>3</v>
      </c>
      <c r="T537" t="n">
        <v>3</v>
      </c>
      <c r="U537" t="inlineStr">
        <is>
          <t>2007-11-09</t>
        </is>
      </c>
      <c r="V537" t="inlineStr">
        <is>
          <t>2007-11-09</t>
        </is>
      </c>
      <c r="W537" t="inlineStr">
        <is>
          <t>1997-05-05</t>
        </is>
      </c>
      <c r="X537" t="inlineStr">
        <is>
          <t>1997-05-05</t>
        </is>
      </c>
      <c r="Y537" t="n">
        <v>84</v>
      </c>
      <c r="Z537" t="n">
        <v>71</v>
      </c>
      <c r="AA537" t="n">
        <v>168</v>
      </c>
      <c r="AB537" t="n">
        <v>3</v>
      </c>
      <c r="AC537" t="n">
        <v>3</v>
      </c>
      <c r="AD537" t="n">
        <v>5</v>
      </c>
      <c r="AE537" t="n">
        <v>10</v>
      </c>
      <c r="AF537" t="n">
        <v>2</v>
      </c>
      <c r="AG537" t="n">
        <v>4</v>
      </c>
      <c r="AH537" t="n">
        <v>1</v>
      </c>
      <c r="AI537" t="n">
        <v>1</v>
      </c>
      <c r="AJ537" t="n">
        <v>3</v>
      </c>
      <c r="AK537" t="n">
        <v>6</v>
      </c>
      <c r="AL537" t="n">
        <v>2</v>
      </c>
      <c r="AM537" t="n">
        <v>2</v>
      </c>
      <c r="AN537" t="n">
        <v>0</v>
      </c>
      <c r="AO537" t="n">
        <v>0</v>
      </c>
      <c r="AP537" t="inlineStr">
        <is>
          <t>No</t>
        </is>
      </c>
      <c r="AQ537" t="inlineStr">
        <is>
          <t>Yes</t>
        </is>
      </c>
      <c r="AR537">
        <f>HYPERLINK("http://catalog.hathitrust.org/Record/102073250","HathiTrust Record")</f>
        <v/>
      </c>
      <c r="AS537">
        <f>HYPERLINK("https://creighton-primo.hosted.exlibrisgroup.com/primo-explore/search?tab=default_tab&amp;search_scope=EVERYTHING&amp;vid=01CRU&amp;lang=en_US&amp;offset=0&amp;query=any,contains,991003095849702656","Catalog Record")</f>
        <v/>
      </c>
      <c r="AT537">
        <f>HYPERLINK("http://www.worldcat.org/oclc/645410","WorldCat Record")</f>
        <v/>
      </c>
      <c r="AU537" t="inlineStr">
        <is>
          <t>1790887:eng</t>
        </is>
      </c>
      <c r="AV537" t="inlineStr">
        <is>
          <t>645410</t>
        </is>
      </c>
      <c r="AW537" t="inlineStr">
        <is>
          <t>991003095849702656</t>
        </is>
      </c>
      <c r="AX537" t="inlineStr">
        <is>
          <t>991003095849702656</t>
        </is>
      </c>
      <c r="AY537" t="inlineStr">
        <is>
          <t>2259785850002656</t>
        </is>
      </c>
      <c r="AZ537" t="inlineStr">
        <is>
          <t>BOOK</t>
        </is>
      </c>
      <c r="BC537" t="inlineStr">
        <is>
          <t>32285002643020</t>
        </is>
      </c>
      <c r="BD537" t="inlineStr">
        <is>
          <t>893805425</t>
        </is>
      </c>
    </row>
    <row r="538">
      <c r="A538" t="inlineStr">
        <is>
          <t>No</t>
        </is>
      </c>
      <c r="B538" t="inlineStr">
        <is>
          <t>QB981 .A5513</t>
        </is>
      </c>
      <c r="C538" t="inlineStr">
        <is>
          <t>0                      QB 0981000A  5513</t>
        </is>
      </c>
      <c r="D538" t="inlineStr">
        <is>
          <t>Worlds-antiworlds; antimatter in cosmology.</t>
        </is>
      </c>
      <c r="F538" t="inlineStr">
        <is>
          <t>No</t>
        </is>
      </c>
      <c r="G538" t="inlineStr">
        <is>
          <t>1</t>
        </is>
      </c>
      <c r="H538" t="inlineStr">
        <is>
          <t>No</t>
        </is>
      </c>
      <c r="I538" t="inlineStr">
        <is>
          <t>No</t>
        </is>
      </c>
      <c r="J538" t="inlineStr">
        <is>
          <t>0</t>
        </is>
      </c>
      <c r="K538" t="inlineStr">
        <is>
          <t>Alfvén, Hannes, 1908-1995.</t>
        </is>
      </c>
      <c r="L538" t="inlineStr">
        <is>
          <t>San Francisco, W. H. Freeman [1966]</t>
        </is>
      </c>
      <c r="M538" t="inlineStr">
        <is>
          <t>1966</t>
        </is>
      </c>
      <c r="O538" t="inlineStr">
        <is>
          <t>eng</t>
        </is>
      </c>
      <c r="P538" t="inlineStr">
        <is>
          <t>cau</t>
        </is>
      </c>
      <c r="R538" t="inlineStr">
        <is>
          <t xml:space="preserve">QB </t>
        </is>
      </c>
      <c r="S538" t="n">
        <v>1</v>
      </c>
      <c r="T538" t="n">
        <v>1</v>
      </c>
      <c r="U538" t="inlineStr">
        <is>
          <t>1997-11-21</t>
        </is>
      </c>
      <c r="V538" t="inlineStr">
        <is>
          <t>1997-11-21</t>
        </is>
      </c>
      <c r="W538" t="inlineStr">
        <is>
          <t>1997-05-05</t>
        </is>
      </c>
      <c r="X538" t="inlineStr">
        <is>
          <t>1997-05-05</t>
        </is>
      </c>
      <c r="Y538" t="n">
        <v>974</v>
      </c>
      <c r="Z538" t="n">
        <v>832</v>
      </c>
      <c r="AA538" t="n">
        <v>840</v>
      </c>
      <c r="AB538" t="n">
        <v>5</v>
      </c>
      <c r="AC538" t="n">
        <v>5</v>
      </c>
      <c r="AD538" t="n">
        <v>27</v>
      </c>
      <c r="AE538" t="n">
        <v>27</v>
      </c>
      <c r="AF538" t="n">
        <v>10</v>
      </c>
      <c r="AG538" t="n">
        <v>10</v>
      </c>
      <c r="AH538" t="n">
        <v>4</v>
      </c>
      <c r="AI538" t="n">
        <v>4</v>
      </c>
      <c r="AJ538" t="n">
        <v>14</v>
      </c>
      <c r="AK538" t="n">
        <v>14</v>
      </c>
      <c r="AL538" t="n">
        <v>4</v>
      </c>
      <c r="AM538" t="n">
        <v>4</v>
      </c>
      <c r="AN538" t="n">
        <v>0</v>
      </c>
      <c r="AO538" t="n">
        <v>0</v>
      </c>
      <c r="AP538" t="inlineStr">
        <is>
          <t>No</t>
        </is>
      </c>
      <c r="AQ538" t="inlineStr">
        <is>
          <t>Yes</t>
        </is>
      </c>
      <c r="AR538">
        <f>HYPERLINK("http://catalog.hathitrust.org/Record/001477329","HathiTrust Record")</f>
        <v/>
      </c>
      <c r="AS538">
        <f>HYPERLINK("https://creighton-primo.hosted.exlibrisgroup.com/primo-explore/search?tab=default_tab&amp;search_scope=EVERYTHING&amp;vid=01CRU&amp;lang=en_US&amp;offset=0&amp;query=any,contains,991004020109702656","Catalog Record")</f>
        <v/>
      </c>
      <c r="AT538">
        <f>HYPERLINK("http://www.worldcat.org/oclc/2120750","WorldCat Record")</f>
        <v/>
      </c>
      <c r="AU538" t="inlineStr">
        <is>
          <t>364449615:eng</t>
        </is>
      </c>
      <c r="AV538" t="inlineStr">
        <is>
          <t>2120750</t>
        </is>
      </c>
      <c r="AW538" t="inlineStr">
        <is>
          <t>991004020109702656</t>
        </is>
      </c>
      <c r="AX538" t="inlineStr">
        <is>
          <t>991004020109702656</t>
        </is>
      </c>
      <c r="AY538" t="inlineStr">
        <is>
          <t>2269392590002656</t>
        </is>
      </c>
      <c r="AZ538" t="inlineStr">
        <is>
          <t>BOOK</t>
        </is>
      </c>
      <c r="BC538" t="inlineStr">
        <is>
          <t>32285002643038</t>
        </is>
      </c>
      <c r="BD538" t="inlineStr">
        <is>
          <t>893331116</t>
        </is>
      </c>
    </row>
    <row r="539">
      <c r="A539" t="inlineStr">
        <is>
          <t>No</t>
        </is>
      </c>
      <c r="B539" t="inlineStr">
        <is>
          <t>QB981 .A95 1981</t>
        </is>
      </c>
      <c r="C539" t="inlineStr">
        <is>
          <t>0                      QB 0981000A  95          1981</t>
        </is>
      </c>
      <c r="D539" t="inlineStr">
        <is>
          <t>The creation / P.W. Atkins.</t>
        </is>
      </c>
      <c r="F539" t="inlineStr">
        <is>
          <t>No</t>
        </is>
      </c>
      <c r="G539" t="inlineStr">
        <is>
          <t>1</t>
        </is>
      </c>
      <c r="H539" t="inlineStr">
        <is>
          <t>No</t>
        </is>
      </c>
      <c r="I539" t="inlineStr">
        <is>
          <t>No</t>
        </is>
      </c>
      <c r="J539" t="inlineStr">
        <is>
          <t>0</t>
        </is>
      </c>
      <c r="K539" t="inlineStr">
        <is>
          <t>Atkins, P. W. (Peter William), 1940-</t>
        </is>
      </c>
      <c r="L539" t="inlineStr">
        <is>
          <t>Oxford ; San Francisco : W.H. Freeman, c1981.</t>
        </is>
      </c>
      <c r="M539" t="inlineStr">
        <is>
          <t>1981</t>
        </is>
      </c>
      <c r="O539" t="inlineStr">
        <is>
          <t>eng</t>
        </is>
      </c>
      <c r="P539" t="inlineStr">
        <is>
          <t>enk</t>
        </is>
      </c>
      <c r="R539" t="inlineStr">
        <is>
          <t xml:space="preserve">QB </t>
        </is>
      </c>
      <c r="S539" t="n">
        <v>11</v>
      </c>
      <c r="T539" t="n">
        <v>11</v>
      </c>
      <c r="U539" t="inlineStr">
        <is>
          <t>1996-03-27</t>
        </is>
      </c>
      <c r="V539" t="inlineStr">
        <is>
          <t>1996-03-27</t>
        </is>
      </c>
      <c r="W539" t="inlineStr">
        <is>
          <t>1992-11-24</t>
        </is>
      </c>
      <c r="X539" t="inlineStr">
        <is>
          <t>1992-11-24</t>
        </is>
      </c>
      <c r="Y539" t="n">
        <v>645</v>
      </c>
      <c r="Z539" t="n">
        <v>491</v>
      </c>
      <c r="AA539" t="n">
        <v>491</v>
      </c>
      <c r="AB539" t="n">
        <v>1</v>
      </c>
      <c r="AC539" t="n">
        <v>1</v>
      </c>
      <c r="AD539" t="n">
        <v>15</v>
      </c>
      <c r="AE539" t="n">
        <v>15</v>
      </c>
      <c r="AF539" t="n">
        <v>9</v>
      </c>
      <c r="AG539" t="n">
        <v>9</v>
      </c>
      <c r="AH539" t="n">
        <v>2</v>
      </c>
      <c r="AI539" t="n">
        <v>2</v>
      </c>
      <c r="AJ539" t="n">
        <v>8</v>
      </c>
      <c r="AK539" t="n">
        <v>8</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HYPERLINK("https://creighton-primo.hosted.exlibrisgroup.com/primo-explore/search?tab=default_tab&amp;search_scope=EVERYTHING&amp;vid=01CRU&amp;lang=en_US&amp;offset=0&amp;query=any,contains,991005133059702656","Catalog Record")</f>
        <v/>
      </c>
      <c r="AT539">
        <f>HYPERLINK("http://www.worldcat.org/oclc/7574173","WorldCat Record")</f>
        <v/>
      </c>
      <c r="AU539" t="inlineStr">
        <is>
          <t>3943302443:eng</t>
        </is>
      </c>
      <c r="AV539" t="inlineStr">
        <is>
          <t>7574173</t>
        </is>
      </c>
      <c r="AW539" t="inlineStr">
        <is>
          <t>991005133059702656</t>
        </is>
      </c>
      <c r="AX539" t="inlineStr">
        <is>
          <t>991005133059702656</t>
        </is>
      </c>
      <c r="AY539" t="inlineStr">
        <is>
          <t>2271053930002656</t>
        </is>
      </c>
      <c r="AZ539" t="inlineStr">
        <is>
          <t>BOOK</t>
        </is>
      </c>
      <c r="BB539" t="inlineStr">
        <is>
          <t>9780716713500</t>
        </is>
      </c>
      <c r="BC539" t="inlineStr">
        <is>
          <t>32285001434967</t>
        </is>
      </c>
      <c r="BD539" t="inlineStr">
        <is>
          <t>893437213</t>
        </is>
      </c>
    </row>
    <row r="540">
      <c r="A540" t="inlineStr">
        <is>
          <t>No</t>
        </is>
      </c>
      <c r="B540" t="inlineStr">
        <is>
          <t>QB981 .A96 1992</t>
        </is>
      </c>
      <c r="C540" t="inlineStr">
        <is>
          <t>0                      QB 0981000A  96          1992</t>
        </is>
      </c>
      <c r="D540" t="inlineStr">
        <is>
          <t>Creation revisited / P.W. Atkins.</t>
        </is>
      </c>
      <c r="F540" t="inlineStr">
        <is>
          <t>No</t>
        </is>
      </c>
      <c r="G540" t="inlineStr">
        <is>
          <t>1</t>
        </is>
      </c>
      <c r="H540" t="inlineStr">
        <is>
          <t>No</t>
        </is>
      </c>
      <c r="I540" t="inlineStr">
        <is>
          <t>No</t>
        </is>
      </c>
      <c r="J540" t="inlineStr">
        <is>
          <t>0</t>
        </is>
      </c>
      <c r="K540" t="inlineStr">
        <is>
          <t>Atkins, P. W. (Peter William), 1940-</t>
        </is>
      </c>
      <c r="L540" t="inlineStr">
        <is>
          <t>Oxford ; New York : W.H. Freeman, c1992.</t>
        </is>
      </c>
      <c r="M540" t="inlineStr">
        <is>
          <t>1992</t>
        </is>
      </c>
      <c r="O540" t="inlineStr">
        <is>
          <t>eng</t>
        </is>
      </c>
      <c r="P540" t="inlineStr">
        <is>
          <t>enk</t>
        </is>
      </c>
      <c r="R540" t="inlineStr">
        <is>
          <t xml:space="preserve">QB </t>
        </is>
      </c>
      <c r="S540" t="n">
        <v>9</v>
      </c>
      <c r="T540" t="n">
        <v>9</v>
      </c>
      <c r="U540" t="inlineStr">
        <is>
          <t>2009-05-01</t>
        </is>
      </c>
      <c r="V540" t="inlineStr">
        <is>
          <t>2009-05-01</t>
        </is>
      </c>
      <c r="W540" t="inlineStr">
        <is>
          <t>1993-11-29</t>
        </is>
      </c>
      <c r="X540" t="inlineStr">
        <is>
          <t>1993-11-29</t>
        </is>
      </c>
      <c r="Y540" t="n">
        <v>493</v>
      </c>
      <c r="Z540" t="n">
        <v>374</v>
      </c>
      <c r="AA540" t="n">
        <v>408</v>
      </c>
      <c r="AB540" t="n">
        <v>3</v>
      </c>
      <c r="AC540" t="n">
        <v>3</v>
      </c>
      <c r="AD540" t="n">
        <v>13</v>
      </c>
      <c r="AE540" t="n">
        <v>13</v>
      </c>
      <c r="AF540" t="n">
        <v>2</v>
      </c>
      <c r="AG540" t="n">
        <v>2</v>
      </c>
      <c r="AH540" t="n">
        <v>3</v>
      </c>
      <c r="AI540" t="n">
        <v>3</v>
      </c>
      <c r="AJ540" t="n">
        <v>8</v>
      </c>
      <c r="AK540" t="n">
        <v>8</v>
      </c>
      <c r="AL540" t="n">
        <v>2</v>
      </c>
      <c r="AM540" t="n">
        <v>2</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HYPERLINK("https://creighton-primo.hosted.exlibrisgroup.com/primo-explore/search?tab=default_tab&amp;search_scope=EVERYTHING&amp;vid=01CRU&amp;lang=en_US&amp;offset=0&amp;query=any,contains,991002050499702656","Catalog Record")</f>
        <v/>
      </c>
      <c r="AT540">
        <f>HYPERLINK("http://www.worldcat.org/oclc/26161299","WorldCat Record")</f>
        <v/>
      </c>
      <c r="AU540" t="inlineStr">
        <is>
          <t>24132027:eng</t>
        </is>
      </c>
      <c r="AV540" t="inlineStr">
        <is>
          <t>26161299</t>
        </is>
      </c>
      <c r="AW540" t="inlineStr">
        <is>
          <t>991002050499702656</t>
        </is>
      </c>
      <c r="AX540" t="inlineStr">
        <is>
          <t>991002050499702656</t>
        </is>
      </c>
      <c r="AY540" t="inlineStr">
        <is>
          <t>2271737810002656</t>
        </is>
      </c>
      <c r="AZ540" t="inlineStr">
        <is>
          <t>BOOK</t>
        </is>
      </c>
      <c r="BB540" t="inlineStr">
        <is>
          <t>9780716745006</t>
        </is>
      </c>
      <c r="BC540" t="inlineStr">
        <is>
          <t>32285001813384</t>
        </is>
      </c>
      <c r="BD540" t="inlineStr">
        <is>
          <t>893439716</t>
        </is>
      </c>
    </row>
    <row r="541">
      <c r="A541" t="inlineStr">
        <is>
          <t>No</t>
        </is>
      </c>
      <c r="B541" t="inlineStr">
        <is>
          <t>QB981 .A99 1992</t>
        </is>
      </c>
      <c r="C541" t="inlineStr">
        <is>
          <t>0                      QB 0981000A  99          1992</t>
        </is>
      </c>
      <c r="D541" t="inlineStr">
        <is>
          <t>Conversing with the planets : how science and myth invented the cosmos / Anthony Aveni.</t>
        </is>
      </c>
      <c r="F541" t="inlineStr">
        <is>
          <t>No</t>
        </is>
      </c>
      <c r="G541" t="inlineStr">
        <is>
          <t>1</t>
        </is>
      </c>
      <c r="H541" t="inlineStr">
        <is>
          <t>No</t>
        </is>
      </c>
      <c r="I541" t="inlineStr">
        <is>
          <t>No</t>
        </is>
      </c>
      <c r="J541" t="inlineStr">
        <is>
          <t>0</t>
        </is>
      </c>
      <c r="K541" t="inlineStr">
        <is>
          <t>Aveni, Anthony F.</t>
        </is>
      </c>
      <c r="L541" t="inlineStr">
        <is>
          <t>New York : Times Books, c1992.</t>
        </is>
      </c>
      <c r="M541" t="inlineStr">
        <is>
          <t>1992</t>
        </is>
      </c>
      <c r="N541" t="inlineStr">
        <is>
          <t>1st ed.</t>
        </is>
      </c>
      <c r="O541" t="inlineStr">
        <is>
          <t>eng</t>
        </is>
      </c>
      <c r="P541" t="inlineStr">
        <is>
          <t>nyu</t>
        </is>
      </c>
      <c r="R541" t="inlineStr">
        <is>
          <t xml:space="preserve">QB </t>
        </is>
      </c>
      <c r="S541" t="n">
        <v>3</v>
      </c>
      <c r="T541" t="n">
        <v>3</v>
      </c>
      <c r="U541" t="inlineStr">
        <is>
          <t>2004-10-27</t>
        </is>
      </c>
      <c r="V541" t="inlineStr">
        <is>
          <t>2004-10-27</t>
        </is>
      </c>
      <c r="W541" t="inlineStr">
        <is>
          <t>1993-08-17</t>
        </is>
      </c>
      <c r="X541" t="inlineStr">
        <is>
          <t>1993-08-17</t>
        </is>
      </c>
      <c r="Y541" t="n">
        <v>523</v>
      </c>
      <c r="Z541" t="n">
        <v>478</v>
      </c>
      <c r="AA541" t="n">
        <v>674</v>
      </c>
      <c r="AB541" t="n">
        <v>5</v>
      </c>
      <c r="AC541" t="n">
        <v>9</v>
      </c>
      <c r="AD541" t="n">
        <v>18</v>
      </c>
      <c r="AE541" t="n">
        <v>27</v>
      </c>
      <c r="AF541" t="n">
        <v>5</v>
      </c>
      <c r="AG541" t="n">
        <v>9</v>
      </c>
      <c r="AH541" t="n">
        <v>3</v>
      </c>
      <c r="AI541" t="n">
        <v>4</v>
      </c>
      <c r="AJ541" t="n">
        <v>11</v>
      </c>
      <c r="AK541" t="n">
        <v>13</v>
      </c>
      <c r="AL541" t="n">
        <v>3</v>
      </c>
      <c r="AM541" t="n">
        <v>6</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HYPERLINK("https://creighton-primo.hosted.exlibrisgroup.com/primo-explore/search?tab=default_tab&amp;search_scope=EVERYTHING&amp;vid=01CRU&amp;lang=en_US&amp;offset=0&amp;query=any,contains,991001991299702656","Catalog Record")</f>
        <v/>
      </c>
      <c r="AT541">
        <f>HYPERLINK("http://www.worldcat.org/oclc/25283224","WorldCat Record")</f>
        <v/>
      </c>
      <c r="AU541" t="inlineStr">
        <is>
          <t>1031875:eng</t>
        </is>
      </c>
      <c r="AV541" t="inlineStr">
        <is>
          <t>25283224</t>
        </is>
      </c>
      <c r="AW541" t="inlineStr">
        <is>
          <t>991001991299702656</t>
        </is>
      </c>
      <c r="AX541" t="inlineStr">
        <is>
          <t>991001991299702656</t>
        </is>
      </c>
      <c r="AY541" t="inlineStr">
        <is>
          <t>2272399130002656</t>
        </is>
      </c>
      <c r="AZ541" t="inlineStr">
        <is>
          <t>BOOK</t>
        </is>
      </c>
      <c r="BB541" t="inlineStr">
        <is>
          <t>9780812919752</t>
        </is>
      </c>
      <c r="BC541" t="inlineStr">
        <is>
          <t>32285001727121</t>
        </is>
      </c>
      <c r="BD541" t="inlineStr">
        <is>
          <t>893226318</t>
        </is>
      </c>
    </row>
    <row r="542">
      <c r="A542" t="inlineStr">
        <is>
          <t>No</t>
        </is>
      </c>
      <c r="B542" t="inlineStr">
        <is>
          <t>QB981 .B2795 1983</t>
        </is>
      </c>
      <c r="C542" t="inlineStr">
        <is>
          <t>0                      QB 0981000B  2795        1983</t>
        </is>
      </c>
      <c r="D542" t="inlineStr">
        <is>
          <t>The left hand of creation : the origin and evolution of the expanding universe / John D. Barrow, Joseph Silk.</t>
        </is>
      </c>
      <c r="F542" t="inlineStr">
        <is>
          <t>No</t>
        </is>
      </c>
      <c r="G542" t="inlineStr">
        <is>
          <t>1</t>
        </is>
      </c>
      <c r="H542" t="inlineStr">
        <is>
          <t>No</t>
        </is>
      </c>
      <c r="I542" t="inlineStr">
        <is>
          <t>Yes</t>
        </is>
      </c>
      <c r="J542" t="inlineStr">
        <is>
          <t>0</t>
        </is>
      </c>
      <c r="K542" t="inlineStr">
        <is>
          <t>Barrow, John D., 1952-</t>
        </is>
      </c>
      <c r="L542" t="inlineStr">
        <is>
          <t>New York : Basic Books, c1983.</t>
        </is>
      </c>
      <c r="M542" t="inlineStr">
        <is>
          <t>1983</t>
        </is>
      </c>
      <c r="O542" t="inlineStr">
        <is>
          <t>eng</t>
        </is>
      </c>
      <c r="P542" t="inlineStr">
        <is>
          <t>nyu</t>
        </is>
      </c>
      <c r="R542" t="inlineStr">
        <is>
          <t xml:space="preserve">QB </t>
        </is>
      </c>
      <c r="S542" t="n">
        <v>5</v>
      </c>
      <c r="T542" t="n">
        <v>5</v>
      </c>
      <c r="U542" t="inlineStr">
        <is>
          <t>2001-02-15</t>
        </is>
      </c>
      <c r="V542" t="inlineStr">
        <is>
          <t>2001-02-15</t>
        </is>
      </c>
      <c r="W542" t="inlineStr">
        <is>
          <t>1992-11-24</t>
        </is>
      </c>
      <c r="X542" t="inlineStr">
        <is>
          <t>1992-11-24</t>
        </is>
      </c>
      <c r="Y542" t="n">
        <v>892</v>
      </c>
      <c r="Z542" t="n">
        <v>829</v>
      </c>
      <c r="AA542" t="n">
        <v>1171</v>
      </c>
      <c r="AB542" t="n">
        <v>1</v>
      </c>
      <c r="AC542" t="n">
        <v>8</v>
      </c>
      <c r="AD542" t="n">
        <v>22</v>
      </c>
      <c r="AE542" t="n">
        <v>41</v>
      </c>
      <c r="AF542" t="n">
        <v>8</v>
      </c>
      <c r="AG542" t="n">
        <v>15</v>
      </c>
      <c r="AH542" t="n">
        <v>7</v>
      </c>
      <c r="AI542" t="n">
        <v>10</v>
      </c>
      <c r="AJ542" t="n">
        <v>14</v>
      </c>
      <c r="AK542" t="n">
        <v>22</v>
      </c>
      <c r="AL542" t="n">
        <v>0</v>
      </c>
      <c r="AM542" t="n">
        <v>6</v>
      </c>
      <c r="AN542" t="n">
        <v>0</v>
      </c>
      <c r="AO542" t="n">
        <v>0</v>
      </c>
      <c r="AP542" t="inlineStr">
        <is>
          <t>No</t>
        </is>
      </c>
      <c r="AQ542" t="inlineStr">
        <is>
          <t>Yes</t>
        </is>
      </c>
      <c r="AR542">
        <f>HYPERLINK("http://catalog.hathitrust.org/Record/000115119","HathiTrust Record")</f>
        <v/>
      </c>
      <c r="AS542">
        <f>HYPERLINK("https://creighton-primo.hosted.exlibrisgroup.com/primo-explore/search?tab=default_tab&amp;search_scope=EVERYTHING&amp;vid=01CRU&amp;lang=en_US&amp;offset=0&amp;query=any,contains,991005403269702656","Catalog Record")</f>
        <v/>
      </c>
      <c r="AT542">
        <f>HYPERLINK("http://www.worldcat.org/oclc/9784264","WorldCat Record")</f>
        <v/>
      </c>
      <c r="AU542" t="inlineStr">
        <is>
          <t>328058:eng</t>
        </is>
      </c>
      <c r="AV542" t="inlineStr">
        <is>
          <t>9784264</t>
        </is>
      </c>
      <c r="AW542" t="inlineStr">
        <is>
          <t>991005403269702656</t>
        </is>
      </c>
      <c r="AX542" t="inlineStr">
        <is>
          <t>991005403269702656</t>
        </is>
      </c>
      <c r="AY542" t="inlineStr">
        <is>
          <t>2268680760002656</t>
        </is>
      </c>
      <c r="AZ542" t="inlineStr">
        <is>
          <t>BOOK</t>
        </is>
      </c>
      <c r="BB542" t="inlineStr">
        <is>
          <t>9780465038954</t>
        </is>
      </c>
      <c r="BC542" t="inlineStr">
        <is>
          <t>32285001434975</t>
        </is>
      </c>
      <c r="BD542" t="inlineStr">
        <is>
          <t>893628756</t>
        </is>
      </c>
    </row>
    <row r="543">
      <c r="A543" t="inlineStr">
        <is>
          <t>No</t>
        </is>
      </c>
      <c r="B543" t="inlineStr">
        <is>
          <t>QB981 .B2798 1994</t>
        </is>
      </c>
      <c r="C543" t="inlineStr">
        <is>
          <t>0                      QB 0981000B  2798        1994</t>
        </is>
      </c>
      <c r="D543" t="inlineStr">
        <is>
          <t>The origin of the universe / John D. Barrow.</t>
        </is>
      </c>
      <c r="F543" t="inlineStr">
        <is>
          <t>No</t>
        </is>
      </c>
      <c r="G543" t="inlineStr">
        <is>
          <t>1</t>
        </is>
      </c>
      <c r="H543" t="inlineStr">
        <is>
          <t>No</t>
        </is>
      </c>
      <c r="I543" t="inlineStr">
        <is>
          <t>No</t>
        </is>
      </c>
      <c r="J543" t="inlineStr">
        <is>
          <t>0</t>
        </is>
      </c>
      <c r="K543" t="inlineStr">
        <is>
          <t>Barrow, John D., 1952-</t>
        </is>
      </c>
      <c r="L543" t="inlineStr">
        <is>
          <t>New York : BasicBooks, c1994.</t>
        </is>
      </c>
      <c r="M543" t="inlineStr">
        <is>
          <t>1994</t>
        </is>
      </c>
      <c r="O543" t="inlineStr">
        <is>
          <t>eng</t>
        </is>
      </c>
      <c r="P543" t="inlineStr">
        <is>
          <t>nyu</t>
        </is>
      </c>
      <c r="Q543" t="inlineStr">
        <is>
          <t>Science masters series</t>
        </is>
      </c>
      <c r="R543" t="inlineStr">
        <is>
          <t xml:space="preserve">QB </t>
        </is>
      </c>
      <c r="S543" t="n">
        <v>4</v>
      </c>
      <c r="T543" t="n">
        <v>4</v>
      </c>
      <c r="U543" t="inlineStr">
        <is>
          <t>2005-05-01</t>
        </is>
      </c>
      <c r="V543" t="inlineStr">
        <is>
          <t>2005-05-01</t>
        </is>
      </c>
      <c r="W543" t="inlineStr">
        <is>
          <t>1995-02-22</t>
        </is>
      </c>
      <c r="X543" t="inlineStr">
        <is>
          <t>1995-02-22</t>
        </is>
      </c>
      <c r="Y543" t="n">
        <v>1226</v>
      </c>
      <c r="Z543" t="n">
        <v>1146</v>
      </c>
      <c r="AA543" t="n">
        <v>1171</v>
      </c>
      <c r="AB543" t="n">
        <v>8</v>
      </c>
      <c r="AC543" t="n">
        <v>9</v>
      </c>
      <c r="AD543" t="n">
        <v>31</v>
      </c>
      <c r="AE543" t="n">
        <v>33</v>
      </c>
      <c r="AF543" t="n">
        <v>12</v>
      </c>
      <c r="AG543" t="n">
        <v>13</v>
      </c>
      <c r="AH543" t="n">
        <v>9</v>
      </c>
      <c r="AI543" t="n">
        <v>9</v>
      </c>
      <c r="AJ543" t="n">
        <v>16</v>
      </c>
      <c r="AK543" t="n">
        <v>17</v>
      </c>
      <c r="AL543" t="n">
        <v>3</v>
      </c>
      <c r="AM543" t="n">
        <v>4</v>
      </c>
      <c r="AN543" t="n">
        <v>0</v>
      </c>
      <c r="AO543" t="n">
        <v>0</v>
      </c>
      <c r="AP543" t="inlineStr">
        <is>
          <t>No</t>
        </is>
      </c>
      <c r="AQ543" t="inlineStr">
        <is>
          <t>Yes</t>
        </is>
      </c>
      <c r="AR543">
        <f>HYPERLINK("http://catalog.hathitrust.org/Record/002898615","HathiTrust Record")</f>
        <v/>
      </c>
      <c r="AS543">
        <f>HYPERLINK("https://creighton-primo.hosted.exlibrisgroup.com/primo-explore/search?tab=default_tab&amp;search_scope=EVERYTHING&amp;vid=01CRU&amp;lang=en_US&amp;offset=0&amp;query=any,contains,991002307179702656","Catalog Record")</f>
        <v/>
      </c>
      <c r="AT543">
        <f>HYPERLINK("http://www.worldcat.org/oclc/29913158","WorldCat Record")</f>
        <v/>
      </c>
      <c r="AU543" t="inlineStr">
        <is>
          <t>20956002:eng</t>
        </is>
      </c>
      <c r="AV543" t="inlineStr">
        <is>
          <t>29913158</t>
        </is>
      </c>
      <c r="AW543" t="inlineStr">
        <is>
          <t>991002307179702656</t>
        </is>
      </c>
      <c r="AX543" t="inlineStr">
        <is>
          <t>991002307179702656</t>
        </is>
      </c>
      <c r="AY543" t="inlineStr">
        <is>
          <t>2255688640002656</t>
        </is>
      </c>
      <c r="AZ543" t="inlineStr">
        <is>
          <t>BOOK</t>
        </is>
      </c>
      <c r="BB543" t="inlineStr">
        <is>
          <t>9780465053544</t>
        </is>
      </c>
      <c r="BC543" t="inlineStr">
        <is>
          <t>32285002000023</t>
        </is>
      </c>
      <c r="BD543" t="inlineStr">
        <is>
          <t>893497955</t>
        </is>
      </c>
    </row>
    <row r="544">
      <c r="A544" t="inlineStr">
        <is>
          <t>No</t>
        </is>
      </c>
      <c r="B544" t="inlineStr">
        <is>
          <t>QB981 .B54</t>
        </is>
      </c>
      <c r="C544" t="inlineStr">
        <is>
          <t>0                      QB 0981000B  54</t>
        </is>
      </c>
      <c r="D544" t="inlineStr">
        <is>
          <t>Principles of cosmology and gravitation / Michael Berry.</t>
        </is>
      </c>
      <c r="F544" t="inlineStr">
        <is>
          <t>No</t>
        </is>
      </c>
      <c r="G544" t="inlineStr">
        <is>
          <t>1</t>
        </is>
      </c>
      <c r="H544" t="inlineStr">
        <is>
          <t>No</t>
        </is>
      </c>
      <c r="I544" t="inlineStr">
        <is>
          <t>No</t>
        </is>
      </c>
      <c r="J544" t="inlineStr">
        <is>
          <t>0</t>
        </is>
      </c>
      <c r="K544" t="inlineStr">
        <is>
          <t>Berry, Michael V.</t>
        </is>
      </c>
      <c r="L544" t="inlineStr">
        <is>
          <t>Cambridge [Eng.] ; New York : Cambridge University Press, 1976.</t>
        </is>
      </c>
      <c r="M544" t="inlineStr">
        <is>
          <t>1976</t>
        </is>
      </c>
      <c r="O544" t="inlineStr">
        <is>
          <t>eng</t>
        </is>
      </c>
      <c r="P544" t="inlineStr">
        <is>
          <t>enk</t>
        </is>
      </c>
      <c r="R544" t="inlineStr">
        <is>
          <t xml:space="preserve">QB </t>
        </is>
      </c>
      <c r="S544" t="n">
        <v>5</v>
      </c>
      <c r="T544" t="n">
        <v>5</v>
      </c>
      <c r="U544" t="inlineStr">
        <is>
          <t>2005-05-01</t>
        </is>
      </c>
      <c r="V544" t="inlineStr">
        <is>
          <t>2005-05-01</t>
        </is>
      </c>
      <c r="W544" t="inlineStr">
        <is>
          <t>1997-05-05</t>
        </is>
      </c>
      <c r="X544" t="inlineStr">
        <is>
          <t>1997-05-05</t>
        </is>
      </c>
      <c r="Y544" t="n">
        <v>631</v>
      </c>
      <c r="Z544" t="n">
        <v>466</v>
      </c>
      <c r="AA544" t="n">
        <v>571</v>
      </c>
      <c r="AB544" t="n">
        <v>3</v>
      </c>
      <c r="AC544" t="n">
        <v>3</v>
      </c>
      <c r="AD544" t="n">
        <v>20</v>
      </c>
      <c r="AE544" t="n">
        <v>28</v>
      </c>
      <c r="AF544" t="n">
        <v>10</v>
      </c>
      <c r="AG544" t="n">
        <v>13</v>
      </c>
      <c r="AH544" t="n">
        <v>3</v>
      </c>
      <c r="AI544" t="n">
        <v>5</v>
      </c>
      <c r="AJ544" t="n">
        <v>10</v>
      </c>
      <c r="AK544" t="n">
        <v>16</v>
      </c>
      <c r="AL544" t="n">
        <v>2</v>
      </c>
      <c r="AM544" t="n">
        <v>2</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HYPERLINK("https://creighton-primo.hosted.exlibrisgroup.com/primo-explore/search?tab=default_tab&amp;search_scope=EVERYTHING&amp;vid=01CRU&amp;lang=en_US&amp;offset=0&amp;query=any,contains,991003951129702656","Catalog Record")</f>
        <v/>
      </c>
      <c r="AT544">
        <f>HYPERLINK("http://www.worldcat.org/oclc/1958138","WorldCat Record")</f>
        <v/>
      </c>
      <c r="AU544" t="inlineStr">
        <is>
          <t>32405:eng</t>
        </is>
      </c>
      <c r="AV544" t="inlineStr">
        <is>
          <t>1958138</t>
        </is>
      </c>
      <c r="AW544" t="inlineStr">
        <is>
          <t>991003951129702656</t>
        </is>
      </c>
      <c r="AX544" t="inlineStr">
        <is>
          <t>991003951129702656</t>
        </is>
      </c>
      <c r="AY544" t="inlineStr">
        <is>
          <t>2262951240002656</t>
        </is>
      </c>
      <c r="AZ544" t="inlineStr">
        <is>
          <t>BOOK</t>
        </is>
      </c>
      <c r="BB544" t="inlineStr">
        <is>
          <t>9780521210614</t>
        </is>
      </c>
      <c r="BC544" t="inlineStr">
        <is>
          <t>32285002643053</t>
        </is>
      </c>
      <c r="BD544" t="inlineStr">
        <is>
          <t>893535733</t>
        </is>
      </c>
    </row>
    <row r="545">
      <c r="A545" t="inlineStr">
        <is>
          <t>No</t>
        </is>
      </c>
      <c r="B545" t="inlineStr">
        <is>
          <t>QB981 .B7 1961</t>
        </is>
      </c>
      <c r="C545" t="inlineStr">
        <is>
          <t>0                      QB 0981000B  7           1961</t>
        </is>
      </c>
      <c r="D545" t="inlineStr">
        <is>
          <t>Cosmology.</t>
        </is>
      </c>
      <c r="F545" t="inlineStr">
        <is>
          <t>No</t>
        </is>
      </c>
      <c r="G545" t="inlineStr">
        <is>
          <t>1</t>
        </is>
      </c>
      <c r="H545" t="inlineStr">
        <is>
          <t>No</t>
        </is>
      </c>
      <c r="I545" t="inlineStr">
        <is>
          <t>No</t>
        </is>
      </c>
      <c r="J545" t="inlineStr">
        <is>
          <t>0</t>
        </is>
      </c>
      <c r="K545" t="inlineStr">
        <is>
          <t>Bondi, Hermann.</t>
        </is>
      </c>
      <c r="L545" t="inlineStr">
        <is>
          <t>Cambridge [Eng.] University Press, 1961.</t>
        </is>
      </c>
      <c r="M545" t="inlineStr">
        <is>
          <t>1961</t>
        </is>
      </c>
      <c r="N545" t="inlineStr">
        <is>
          <t>2d ed.</t>
        </is>
      </c>
      <c r="O545" t="inlineStr">
        <is>
          <t>eng</t>
        </is>
      </c>
      <c r="P545" t="inlineStr">
        <is>
          <t>enk</t>
        </is>
      </c>
      <c r="Q545" t="inlineStr">
        <is>
          <t>Cambridge monographs on physics</t>
        </is>
      </c>
      <c r="R545" t="inlineStr">
        <is>
          <t xml:space="preserve">QB </t>
        </is>
      </c>
      <c r="S545" t="n">
        <v>1</v>
      </c>
      <c r="T545" t="n">
        <v>1</v>
      </c>
      <c r="U545" t="inlineStr">
        <is>
          <t>2005-08-02</t>
        </is>
      </c>
      <c r="V545" t="inlineStr">
        <is>
          <t>2005-08-02</t>
        </is>
      </c>
      <c r="W545" t="inlineStr">
        <is>
          <t>1997-05-05</t>
        </is>
      </c>
      <c r="X545" t="inlineStr">
        <is>
          <t>1997-05-05</t>
        </is>
      </c>
      <c r="Y545" t="n">
        <v>271</v>
      </c>
      <c r="Z545" t="n">
        <v>222</v>
      </c>
      <c r="AA545" t="n">
        <v>496</v>
      </c>
      <c r="AB545" t="n">
        <v>2</v>
      </c>
      <c r="AC545" t="n">
        <v>3</v>
      </c>
      <c r="AD545" t="n">
        <v>11</v>
      </c>
      <c r="AE545" t="n">
        <v>26</v>
      </c>
      <c r="AF545" t="n">
        <v>5</v>
      </c>
      <c r="AG545" t="n">
        <v>11</v>
      </c>
      <c r="AH545" t="n">
        <v>1</v>
      </c>
      <c r="AI545" t="n">
        <v>4</v>
      </c>
      <c r="AJ545" t="n">
        <v>6</v>
      </c>
      <c r="AK545" t="n">
        <v>16</v>
      </c>
      <c r="AL545" t="n">
        <v>1</v>
      </c>
      <c r="AM545" t="n">
        <v>2</v>
      </c>
      <c r="AN545" t="n">
        <v>0</v>
      </c>
      <c r="AO545" t="n">
        <v>0</v>
      </c>
      <c r="AP545" t="inlineStr">
        <is>
          <t>No</t>
        </is>
      </c>
      <c r="AQ545" t="inlineStr">
        <is>
          <t>Yes</t>
        </is>
      </c>
      <c r="AR545">
        <f>HYPERLINK("http://catalog.hathitrust.org/Record/010390152","HathiTrust Record")</f>
        <v/>
      </c>
      <c r="AS545">
        <f>HYPERLINK("https://creighton-primo.hosted.exlibrisgroup.com/primo-explore/search?tab=default_tab&amp;search_scope=EVERYTHING&amp;vid=01CRU&amp;lang=en_US&amp;offset=0&amp;query=any,contains,991003758509702656","Catalog Record")</f>
        <v/>
      </c>
      <c r="AT545">
        <f>HYPERLINK("http://www.worldcat.org/oclc/1442236","WorldCat Record")</f>
        <v/>
      </c>
      <c r="AU545" t="inlineStr">
        <is>
          <t>1407507:eng</t>
        </is>
      </c>
      <c r="AV545" t="inlineStr">
        <is>
          <t>1442236</t>
        </is>
      </c>
      <c r="AW545" t="inlineStr">
        <is>
          <t>991003758509702656</t>
        </is>
      </c>
      <c r="AX545" t="inlineStr">
        <is>
          <t>991003758509702656</t>
        </is>
      </c>
      <c r="AY545" t="inlineStr">
        <is>
          <t>2256593070002656</t>
        </is>
      </c>
      <c r="AZ545" t="inlineStr">
        <is>
          <t>BOOK</t>
        </is>
      </c>
      <c r="BC545" t="inlineStr">
        <is>
          <t>32285002643061</t>
        </is>
      </c>
      <c r="BD545" t="inlineStr">
        <is>
          <t>893441678</t>
        </is>
      </c>
    </row>
    <row r="546">
      <c r="A546" t="inlineStr">
        <is>
          <t>No</t>
        </is>
      </c>
      <c r="B546" t="inlineStr">
        <is>
          <t>QB981 .B725 1988</t>
        </is>
      </c>
      <c r="C546" t="inlineStr">
        <is>
          <t>0                      QB 0981000B  725         1988</t>
        </is>
      </c>
      <c r="D546" t="inlineStr">
        <is>
          <t>The early universe : facts and fiction / G. Börner.</t>
        </is>
      </c>
      <c r="F546" t="inlineStr">
        <is>
          <t>No</t>
        </is>
      </c>
      <c r="G546" t="inlineStr">
        <is>
          <t>1</t>
        </is>
      </c>
      <c r="H546" t="inlineStr">
        <is>
          <t>No</t>
        </is>
      </c>
      <c r="I546" t="inlineStr">
        <is>
          <t>No</t>
        </is>
      </c>
      <c r="J546" t="inlineStr">
        <is>
          <t>0</t>
        </is>
      </c>
      <c r="K546" t="inlineStr">
        <is>
          <t>Börner, G. (Gerhard), 1941-</t>
        </is>
      </c>
      <c r="L546" t="inlineStr">
        <is>
          <t>Berlin ; New York : Springer-Verlag, c1988.</t>
        </is>
      </c>
      <c r="M546" t="inlineStr">
        <is>
          <t>1988</t>
        </is>
      </c>
      <c r="O546" t="inlineStr">
        <is>
          <t>eng</t>
        </is>
      </c>
      <c r="P546" t="inlineStr">
        <is>
          <t xml:space="preserve">gw </t>
        </is>
      </c>
      <c r="Q546" t="inlineStr">
        <is>
          <t>Texts and monographs in physics</t>
        </is>
      </c>
      <c r="R546" t="inlineStr">
        <is>
          <t xml:space="preserve">QB </t>
        </is>
      </c>
      <c r="S546" t="n">
        <v>4</v>
      </c>
      <c r="T546" t="n">
        <v>4</v>
      </c>
      <c r="U546" t="inlineStr">
        <is>
          <t>2005-03-22</t>
        </is>
      </c>
      <c r="V546" t="inlineStr">
        <is>
          <t>2005-03-22</t>
        </is>
      </c>
      <c r="W546" t="inlineStr">
        <is>
          <t>1990-07-16</t>
        </is>
      </c>
      <c r="X546" t="inlineStr">
        <is>
          <t>1990-07-16</t>
        </is>
      </c>
      <c r="Y546" t="n">
        <v>273</v>
      </c>
      <c r="Z546" t="n">
        <v>171</v>
      </c>
      <c r="AA546" t="n">
        <v>345</v>
      </c>
      <c r="AB546" t="n">
        <v>2</v>
      </c>
      <c r="AC546" t="n">
        <v>2</v>
      </c>
      <c r="AD546" t="n">
        <v>3</v>
      </c>
      <c r="AE546" t="n">
        <v>15</v>
      </c>
      <c r="AF546" t="n">
        <v>1</v>
      </c>
      <c r="AG546" t="n">
        <v>4</v>
      </c>
      <c r="AH546" t="n">
        <v>0</v>
      </c>
      <c r="AI546" t="n">
        <v>3</v>
      </c>
      <c r="AJ546" t="n">
        <v>1</v>
      </c>
      <c r="AK546" t="n">
        <v>11</v>
      </c>
      <c r="AL546" t="n">
        <v>1</v>
      </c>
      <c r="AM546" t="n">
        <v>1</v>
      </c>
      <c r="AN546" t="n">
        <v>0</v>
      </c>
      <c r="AO546" t="n">
        <v>0</v>
      </c>
      <c r="AP546" t="inlineStr">
        <is>
          <t>No</t>
        </is>
      </c>
      <c r="AQ546" t="inlineStr">
        <is>
          <t>Yes</t>
        </is>
      </c>
      <c r="AR546">
        <f>HYPERLINK("http://catalog.hathitrust.org/Record/001079906","HathiTrust Record")</f>
        <v/>
      </c>
      <c r="AS546">
        <f>HYPERLINK("https://creighton-primo.hosted.exlibrisgroup.com/primo-explore/search?tab=default_tab&amp;search_scope=EVERYTHING&amp;vid=01CRU&amp;lang=en_US&amp;offset=0&amp;query=any,contains,991001249989702656","Catalog Record")</f>
        <v/>
      </c>
      <c r="AT546">
        <f>HYPERLINK("http://www.worldcat.org/oclc/17674858","WorldCat Record")</f>
        <v/>
      </c>
      <c r="AU546" t="inlineStr">
        <is>
          <t>335392:eng</t>
        </is>
      </c>
      <c r="AV546" t="inlineStr">
        <is>
          <t>17674858</t>
        </is>
      </c>
      <c r="AW546" t="inlineStr">
        <is>
          <t>991001249989702656</t>
        </is>
      </c>
      <c r="AX546" t="inlineStr">
        <is>
          <t>991001249989702656</t>
        </is>
      </c>
      <c r="AY546" t="inlineStr">
        <is>
          <t>2263673810002656</t>
        </is>
      </c>
      <c r="AZ546" t="inlineStr">
        <is>
          <t>BOOK</t>
        </is>
      </c>
      <c r="BB546" t="inlineStr">
        <is>
          <t>9780387161877</t>
        </is>
      </c>
      <c r="BC546" t="inlineStr">
        <is>
          <t>32285000208594</t>
        </is>
      </c>
      <c r="BD546" t="inlineStr">
        <is>
          <t>893590147</t>
        </is>
      </c>
    </row>
    <row r="547">
      <c r="A547" t="inlineStr">
        <is>
          <t>No</t>
        </is>
      </c>
      <c r="B547" t="inlineStr">
        <is>
          <t>QB981 .B7269 1992</t>
        </is>
      </c>
      <c r="C547" t="inlineStr">
        <is>
          <t>0                      QB 0981000B  7269        1992</t>
        </is>
      </c>
      <c r="D547" t="inlineStr">
        <is>
          <t>Masters of time : cosmology at the end of innocence / John Boslough ; illustrations by Wendy W. Cortesi.</t>
        </is>
      </c>
      <c r="F547" t="inlineStr">
        <is>
          <t>No</t>
        </is>
      </c>
      <c r="G547" t="inlineStr">
        <is>
          <t>1</t>
        </is>
      </c>
      <c r="H547" t="inlineStr">
        <is>
          <t>No</t>
        </is>
      </c>
      <c r="I547" t="inlineStr">
        <is>
          <t>No</t>
        </is>
      </c>
      <c r="J547" t="inlineStr">
        <is>
          <t>0</t>
        </is>
      </c>
      <c r="K547" t="inlineStr">
        <is>
          <t>Boslough, John.</t>
        </is>
      </c>
      <c r="L547" t="inlineStr">
        <is>
          <t>Reading, Mass. : Addison-Wesley Pub. Co., c1992.</t>
        </is>
      </c>
      <c r="M547" t="inlineStr">
        <is>
          <t>1992</t>
        </is>
      </c>
      <c r="O547" t="inlineStr">
        <is>
          <t>eng</t>
        </is>
      </c>
      <c r="P547" t="inlineStr">
        <is>
          <t>mau</t>
        </is>
      </c>
      <c r="R547" t="inlineStr">
        <is>
          <t xml:space="preserve">QB </t>
        </is>
      </c>
      <c r="S547" t="n">
        <v>6</v>
      </c>
      <c r="T547" t="n">
        <v>6</v>
      </c>
      <c r="U547" t="inlineStr">
        <is>
          <t>1996-09-11</t>
        </is>
      </c>
      <c r="V547" t="inlineStr">
        <is>
          <t>1996-09-11</t>
        </is>
      </c>
      <c r="W547" t="inlineStr">
        <is>
          <t>1993-08-12</t>
        </is>
      </c>
      <c r="X547" t="inlineStr">
        <is>
          <t>1993-08-12</t>
        </is>
      </c>
      <c r="Y547" t="n">
        <v>465</v>
      </c>
      <c r="Z547" t="n">
        <v>428</v>
      </c>
      <c r="AA547" t="n">
        <v>437</v>
      </c>
      <c r="AB547" t="n">
        <v>4</v>
      </c>
      <c r="AC547" t="n">
        <v>4</v>
      </c>
      <c r="AD547" t="n">
        <v>13</v>
      </c>
      <c r="AE547" t="n">
        <v>13</v>
      </c>
      <c r="AF547" t="n">
        <v>3</v>
      </c>
      <c r="AG547" t="n">
        <v>3</v>
      </c>
      <c r="AH547" t="n">
        <v>3</v>
      </c>
      <c r="AI547" t="n">
        <v>3</v>
      </c>
      <c r="AJ547" t="n">
        <v>7</v>
      </c>
      <c r="AK547" t="n">
        <v>7</v>
      </c>
      <c r="AL547" t="n">
        <v>2</v>
      </c>
      <c r="AM547" t="n">
        <v>2</v>
      </c>
      <c r="AN547" t="n">
        <v>0</v>
      </c>
      <c r="AO547" t="n">
        <v>0</v>
      </c>
      <c r="AP547" t="inlineStr">
        <is>
          <t>No</t>
        </is>
      </c>
      <c r="AQ547" t="inlineStr">
        <is>
          <t>Yes</t>
        </is>
      </c>
      <c r="AR547">
        <f>HYPERLINK("http://catalog.hathitrust.org/Record/002551679","HathiTrust Record")</f>
        <v/>
      </c>
      <c r="AS547">
        <f>HYPERLINK("https://creighton-primo.hosted.exlibrisgroup.com/primo-explore/search?tab=default_tab&amp;search_scope=EVERYTHING&amp;vid=01CRU&amp;lang=en_US&amp;offset=0&amp;query=any,contains,991001952199702656","Catalog Record")</f>
        <v/>
      </c>
      <c r="AT547">
        <f>HYPERLINK("http://www.worldcat.org/oclc/24671889","WorldCat Record")</f>
        <v/>
      </c>
      <c r="AU547" t="inlineStr">
        <is>
          <t>905769972:eng</t>
        </is>
      </c>
      <c r="AV547" t="inlineStr">
        <is>
          <t>24671889</t>
        </is>
      </c>
      <c r="AW547" t="inlineStr">
        <is>
          <t>991001952199702656</t>
        </is>
      </c>
      <c r="AX547" t="inlineStr">
        <is>
          <t>991001952199702656</t>
        </is>
      </c>
      <c r="AY547" t="inlineStr">
        <is>
          <t>2270332910002656</t>
        </is>
      </c>
      <c r="AZ547" t="inlineStr">
        <is>
          <t>BOOK</t>
        </is>
      </c>
      <c r="BB547" t="inlineStr">
        <is>
          <t>9780201577914</t>
        </is>
      </c>
      <c r="BC547" t="inlineStr">
        <is>
          <t>32285001726289</t>
        </is>
      </c>
      <c r="BD547" t="inlineStr">
        <is>
          <t>893523015</t>
        </is>
      </c>
    </row>
    <row r="548">
      <c r="A548" t="inlineStr">
        <is>
          <t>No</t>
        </is>
      </c>
      <c r="B548" t="inlineStr">
        <is>
          <t>QB981 .B7274 1998</t>
        </is>
      </c>
      <c r="C548" t="inlineStr">
        <is>
          <t>0                      QB 0981000B  7274        1998</t>
        </is>
      </c>
      <c r="D548" t="inlineStr">
        <is>
          <t>Modern cosmological observations and problems / by Greg Bothun.</t>
        </is>
      </c>
      <c r="F548" t="inlineStr">
        <is>
          <t>No</t>
        </is>
      </c>
      <c r="G548" t="inlineStr">
        <is>
          <t>1</t>
        </is>
      </c>
      <c r="H548" t="inlineStr">
        <is>
          <t>No</t>
        </is>
      </c>
      <c r="I548" t="inlineStr">
        <is>
          <t>No</t>
        </is>
      </c>
      <c r="J548" t="inlineStr">
        <is>
          <t>0</t>
        </is>
      </c>
      <c r="K548" t="inlineStr">
        <is>
          <t>Bothun, Greg.</t>
        </is>
      </c>
      <c r="L548" t="inlineStr">
        <is>
          <t>London ; Bristol, Pa. : Taylor &amp; Francis, c1998.</t>
        </is>
      </c>
      <c r="M548" t="inlineStr">
        <is>
          <t>1998</t>
        </is>
      </c>
      <c r="O548" t="inlineStr">
        <is>
          <t>eng</t>
        </is>
      </c>
      <c r="P548" t="inlineStr">
        <is>
          <t>enk</t>
        </is>
      </c>
      <c r="R548" t="inlineStr">
        <is>
          <t xml:space="preserve">QB </t>
        </is>
      </c>
      <c r="S548" t="n">
        <v>4</v>
      </c>
      <c r="T548" t="n">
        <v>4</v>
      </c>
      <c r="U548" t="inlineStr">
        <is>
          <t>2007-11-19</t>
        </is>
      </c>
      <c r="V548" t="inlineStr">
        <is>
          <t>2007-11-19</t>
        </is>
      </c>
      <c r="W548" t="inlineStr">
        <is>
          <t>1999-10-27</t>
        </is>
      </c>
      <c r="X548" t="inlineStr">
        <is>
          <t>1999-10-27</t>
        </is>
      </c>
      <c r="Y548" t="n">
        <v>413</v>
      </c>
      <c r="Z548" t="n">
        <v>343</v>
      </c>
      <c r="AA548" t="n">
        <v>362</v>
      </c>
      <c r="AB548" t="n">
        <v>3</v>
      </c>
      <c r="AC548" t="n">
        <v>3</v>
      </c>
      <c r="AD548" t="n">
        <v>20</v>
      </c>
      <c r="AE548" t="n">
        <v>20</v>
      </c>
      <c r="AF548" t="n">
        <v>10</v>
      </c>
      <c r="AG548" t="n">
        <v>10</v>
      </c>
      <c r="AH548" t="n">
        <v>5</v>
      </c>
      <c r="AI548" t="n">
        <v>5</v>
      </c>
      <c r="AJ548" t="n">
        <v>10</v>
      </c>
      <c r="AK548" t="n">
        <v>10</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HYPERLINK("https://creighton-primo.hosted.exlibrisgroup.com/primo-explore/search?tab=default_tab&amp;search_scope=EVERYTHING&amp;vid=01CRU&amp;lang=en_US&amp;offset=0&amp;query=any,contains,991002939239702656","Catalog Record")</f>
        <v/>
      </c>
      <c r="AT548">
        <f>HYPERLINK("http://www.worldcat.org/oclc/39106078","WorldCat Record")</f>
        <v/>
      </c>
      <c r="AU548" t="inlineStr">
        <is>
          <t>584043:eng</t>
        </is>
      </c>
      <c r="AV548" t="inlineStr">
        <is>
          <t>39106078</t>
        </is>
      </c>
      <c r="AW548" t="inlineStr">
        <is>
          <t>991002939239702656</t>
        </is>
      </c>
      <c r="AX548" t="inlineStr">
        <is>
          <t>991002939239702656</t>
        </is>
      </c>
      <c r="AY548" t="inlineStr">
        <is>
          <t>2262256170002656</t>
        </is>
      </c>
      <c r="AZ548" t="inlineStr">
        <is>
          <t>BOOK</t>
        </is>
      </c>
      <c r="BB548" t="inlineStr">
        <is>
          <t>9780748403325</t>
        </is>
      </c>
      <c r="BC548" t="inlineStr">
        <is>
          <t>32285003614426</t>
        </is>
      </c>
      <c r="BD548" t="inlineStr">
        <is>
          <t>893698460</t>
        </is>
      </c>
    </row>
    <row r="549">
      <c r="A549" t="inlineStr">
        <is>
          <t>No</t>
        </is>
      </c>
      <c r="B549" t="inlineStr">
        <is>
          <t>QB981 .C4</t>
        </is>
      </c>
      <c r="C549" t="inlineStr">
        <is>
          <t>0                      QB 0981000C  4</t>
        </is>
      </c>
      <c r="D549" t="inlineStr">
        <is>
          <t>Cosmic dawn : the origins of matter and life / Eric Chaisson ; illustrated by Lola Judith Chaisson.</t>
        </is>
      </c>
      <c r="F549" t="inlineStr">
        <is>
          <t>No</t>
        </is>
      </c>
      <c r="G549" t="inlineStr">
        <is>
          <t>1</t>
        </is>
      </c>
      <c r="H549" t="inlineStr">
        <is>
          <t>No</t>
        </is>
      </c>
      <c r="I549" t="inlineStr">
        <is>
          <t>No</t>
        </is>
      </c>
      <c r="J549" t="inlineStr">
        <is>
          <t>0</t>
        </is>
      </c>
      <c r="K549" t="inlineStr">
        <is>
          <t>Chaisson, Eric.</t>
        </is>
      </c>
      <c r="L549" t="inlineStr">
        <is>
          <t>Boston : Little, Brown, c1981.</t>
        </is>
      </c>
      <c r="M549" t="inlineStr">
        <is>
          <t>1981</t>
        </is>
      </c>
      <c r="N549" t="inlineStr">
        <is>
          <t>1st ed.</t>
        </is>
      </c>
      <c r="O549" t="inlineStr">
        <is>
          <t>eng</t>
        </is>
      </c>
      <c r="P549" t="inlineStr">
        <is>
          <t>mau</t>
        </is>
      </c>
      <c r="R549" t="inlineStr">
        <is>
          <t xml:space="preserve">QB </t>
        </is>
      </c>
      <c r="S549" t="n">
        <v>5</v>
      </c>
      <c r="T549" t="n">
        <v>5</v>
      </c>
      <c r="U549" t="inlineStr">
        <is>
          <t>1994-10-01</t>
        </is>
      </c>
      <c r="V549" t="inlineStr">
        <is>
          <t>1994-10-01</t>
        </is>
      </c>
      <c r="W549" t="inlineStr">
        <is>
          <t>1992-11-24</t>
        </is>
      </c>
      <c r="X549" t="inlineStr">
        <is>
          <t>1992-11-24</t>
        </is>
      </c>
      <c r="Y549" t="n">
        <v>866</v>
      </c>
      <c r="Z549" t="n">
        <v>798</v>
      </c>
      <c r="AA549" t="n">
        <v>893</v>
      </c>
      <c r="AB549" t="n">
        <v>7</v>
      </c>
      <c r="AC549" t="n">
        <v>7</v>
      </c>
      <c r="AD549" t="n">
        <v>20</v>
      </c>
      <c r="AE549" t="n">
        <v>23</v>
      </c>
      <c r="AF549" t="n">
        <v>5</v>
      </c>
      <c r="AG549" t="n">
        <v>6</v>
      </c>
      <c r="AH549" t="n">
        <v>4</v>
      </c>
      <c r="AI549" t="n">
        <v>6</v>
      </c>
      <c r="AJ549" t="n">
        <v>9</v>
      </c>
      <c r="AK549" t="n">
        <v>12</v>
      </c>
      <c r="AL549" t="n">
        <v>5</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HYPERLINK("https://creighton-primo.hosted.exlibrisgroup.com/primo-explore/search?tab=default_tab&amp;search_scope=EVERYTHING&amp;vid=01CRU&amp;lang=en_US&amp;offset=0&amp;query=any,contains,991005079759702656","Catalog Record")</f>
        <v/>
      </c>
      <c r="AT549">
        <f>HYPERLINK("http://www.worldcat.org/oclc/7170243","WorldCat Record")</f>
        <v/>
      </c>
      <c r="AU549" t="inlineStr">
        <is>
          <t>4164028288:eng</t>
        </is>
      </c>
      <c r="AV549" t="inlineStr">
        <is>
          <t>7170243</t>
        </is>
      </c>
      <c r="AW549" t="inlineStr">
        <is>
          <t>991005079759702656</t>
        </is>
      </c>
      <c r="AX549" t="inlineStr">
        <is>
          <t>991005079759702656</t>
        </is>
      </c>
      <c r="AY549" t="inlineStr">
        <is>
          <t>2256640040002656</t>
        </is>
      </c>
      <c r="AZ549" t="inlineStr">
        <is>
          <t>BOOK</t>
        </is>
      </c>
      <c r="BB549" t="inlineStr">
        <is>
          <t>9780316135900</t>
        </is>
      </c>
      <c r="BC549" t="inlineStr">
        <is>
          <t>32285001450013</t>
        </is>
      </c>
      <c r="BD549" t="inlineStr">
        <is>
          <t>893600583</t>
        </is>
      </c>
    </row>
    <row r="550">
      <c r="A550" t="inlineStr">
        <is>
          <t>No</t>
        </is>
      </c>
      <c r="B550" t="inlineStr">
        <is>
          <t>QB981 .C412 2001</t>
        </is>
      </c>
      <c r="C550" t="inlineStr">
        <is>
          <t>0                      QB 0981000C  412         2001</t>
        </is>
      </c>
      <c r="D550" t="inlineStr">
        <is>
          <t>Cosmic evolution : the rise of complexity in nature / Eric J. Chaisson.</t>
        </is>
      </c>
      <c r="F550" t="inlineStr">
        <is>
          <t>No</t>
        </is>
      </c>
      <c r="G550" t="inlineStr">
        <is>
          <t>1</t>
        </is>
      </c>
      <c r="H550" t="inlineStr">
        <is>
          <t>No</t>
        </is>
      </c>
      <c r="I550" t="inlineStr">
        <is>
          <t>No</t>
        </is>
      </c>
      <c r="J550" t="inlineStr">
        <is>
          <t>0</t>
        </is>
      </c>
      <c r="K550" t="inlineStr">
        <is>
          <t>Chaisson, Eric.</t>
        </is>
      </c>
      <c r="L550" t="inlineStr">
        <is>
          <t>Cambridge, Mass. : Harvard University Press, 2001.</t>
        </is>
      </c>
      <c r="M550" t="inlineStr">
        <is>
          <t>2001</t>
        </is>
      </c>
      <c r="O550" t="inlineStr">
        <is>
          <t>eng</t>
        </is>
      </c>
      <c r="P550" t="inlineStr">
        <is>
          <t>mau</t>
        </is>
      </c>
      <c r="R550" t="inlineStr">
        <is>
          <t xml:space="preserve">QB </t>
        </is>
      </c>
      <c r="S550" t="n">
        <v>2</v>
      </c>
      <c r="T550" t="n">
        <v>2</v>
      </c>
      <c r="U550" t="inlineStr">
        <is>
          <t>2004-10-13</t>
        </is>
      </c>
      <c r="V550" t="inlineStr">
        <is>
          <t>2004-10-13</t>
        </is>
      </c>
      <c r="W550" t="inlineStr">
        <is>
          <t>2001-07-10</t>
        </is>
      </c>
      <c r="X550" t="inlineStr">
        <is>
          <t>2001-07-10</t>
        </is>
      </c>
      <c r="Y550" t="n">
        <v>568</v>
      </c>
      <c r="Z550" t="n">
        <v>475</v>
      </c>
      <c r="AA550" t="n">
        <v>484</v>
      </c>
      <c r="AB550" t="n">
        <v>5</v>
      </c>
      <c r="AC550" t="n">
        <v>5</v>
      </c>
      <c r="AD550" t="n">
        <v>22</v>
      </c>
      <c r="AE550" t="n">
        <v>22</v>
      </c>
      <c r="AF550" t="n">
        <v>8</v>
      </c>
      <c r="AG550" t="n">
        <v>8</v>
      </c>
      <c r="AH550" t="n">
        <v>4</v>
      </c>
      <c r="AI550" t="n">
        <v>4</v>
      </c>
      <c r="AJ550" t="n">
        <v>11</v>
      </c>
      <c r="AK550" t="n">
        <v>11</v>
      </c>
      <c r="AL550" t="n">
        <v>4</v>
      </c>
      <c r="AM550" t="n">
        <v>4</v>
      </c>
      <c r="AN550" t="n">
        <v>0</v>
      </c>
      <c r="AO550" t="n">
        <v>0</v>
      </c>
      <c r="AP550" t="inlineStr">
        <is>
          <t>No</t>
        </is>
      </c>
      <c r="AQ550" t="inlineStr">
        <is>
          <t>Yes</t>
        </is>
      </c>
      <c r="AR550">
        <f>HYPERLINK("http://catalog.hathitrust.org/Record/004144170","HathiTrust Record")</f>
        <v/>
      </c>
      <c r="AS550">
        <f>HYPERLINK("https://creighton-primo.hosted.exlibrisgroup.com/primo-explore/search?tab=default_tab&amp;search_scope=EVERYTHING&amp;vid=01CRU&amp;lang=en_US&amp;offset=0&amp;query=any,contains,991003537389702656","Catalog Record")</f>
        <v/>
      </c>
      <c r="AT550">
        <f>HYPERLINK("http://www.worldcat.org/oclc/44613085","WorldCat Record")</f>
        <v/>
      </c>
      <c r="AU550" t="inlineStr">
        <is>
          <t>235211326:eng</t>
        </is>
      </c>
      <c r="AV550" t="inlineStr">
        <is>
          <t>44613085</t>
        </is>
      </c>
      <c r="AW550" t="inlineStr">
        <is>
          <t>991003537389702656</t>
        </is>
      </c>
      <c r="AX550" t="inlineStr">
        <is>
          <t>991003537389702656</t>
        </is>
      </c>
      <c r="AY550" t="inlineStr">
        <is>
          <t>2260685550002656</t>
        </is>
      </c>
      <c r="AZ550" t="inlineStr">
        <is>
          <t>BOOK</t>
        </is>
      </c>
      <c r="BB550" t="inlineStr">
        <is>
          <t>9780674003422</t>
        </is>
      </c>
      <c r="BC550" t="inlineStr">
        <is>
          <t>32285004331004</t>
        </is>
      </c>
      <c r="BD550" t="inlineStr">
        <is>
          <t>893881270</t>
        </is>
      </c>
    </row>
    <row r="551">
      <c r="A551" t="inlineStr">
        <is>
          <t>No</t>
        </is>
      </c>
      <c r="B551" t="inlineStr">
        <is>
          <t>QB981 .C62</t>
        </is>
      </c>
      <c r="C551" t="inlineStr">
        <is>
          <t>0                      QB 0981000C  62</t>
        </is>
      </c>
      <c r="D551" t="inlineStr">
        <is>
          <t>The dark night sky : a personal adventure in cosmology / Donald D. Clayton.</t>
        </is>
      </c>
      <c r="F551" t="inlineStr">
        <is>
          <t>No</t>
        </is>
      </c>
      <c r="G551" t="inlineStr">
        <is>
          <t>1</t>
        </is>
      </c>
      <c r="H551" t="inlineStr">
        <is>
          <t>No</t>
        </is>
      </c>
      <c r="I551" t="inlineStr">
        <is>
          <t>No</t>
        </is>
      </c>
      <c r="J551" t="inlineStr">
        <is>
          <t>0</t>
        </is>
      </c>
      <c r="K551" t="inlineStr">
        <is>
          <t>Clayton, Donald D.</t>
        </is>
      </c>
      <c r="L551" t="inlineStr">
        <is>
          <t>New York : Quadrangle/New York Times Book Co., [1975]</t>
        </is>
      </c>
      <c r="M551" t="inlineStr">
        <is>
          <t>1975</t>
        </is>
      </c>
      <c r="O551" t="inlineStr">
        <is>
          <t>eng</t>
        </is>
      </c>
      <c r="P551" t="inlineStr">
        <is>
          <t>nyu</t>
        </is>
      </c>
      <c r="R551" t="inlineStr">
        <is>
          <t xml:space="preserve">QB </t>
        </is>
      </c>
      <c r="S551" t="n">
        <v>1</v>
      </c>
      <c r="T551" t="n">
        <v>1</v>
      </c>
      <c r="U551" t="inlineStr">
        <is>
          <t>2006-12-22</t>
        </is>
      </c>
      <c r="V551" t="inlineStr">
        <is>
          <t>2006-12-22</t>
        </is>
      </c>
      <c r="W551" t="inlineStr">
        <is>
          <t>1997-05-05</t>
        </is>
      </c>
      <c r="X551" t="inlineStr">
        <is>
          <t>1997-05-05</t>
        </is>
      </c>
      <c r="Y551" t="n">
        <v>537</v>
      </c>
      <c r="Z551" t="n">
        <v>472</v>
      </c>
      <c r="AA551" t="n">
        <v>479</v>
      </c>
      <c r="AB551" t="n">
        <v>3</v>
      </c>
      <c r="AC551" t="n">
        <v>3</v>
      </c>
      <c r="AD551" t="n">
        <v>9</v>
      </c>
      <c r="AE551" t="n">
        <v>9</v>
      </c>
      <c r="AF551" t="n">
        <v>1</v>
      </c>
      <c r="AG551" t="n">
        <v>1</v>
      </c>
      <c r="AH551" t="n">
        <v>2</v>
      </c>
      <c r="AI551" t="n">
        <v>2</v>
      </c>
      <c r="AJ551" t="n">
        <v>6</v>
      </c>
      <c r="AK551" t="n">
        <v>6</v>
      </c>
      <c r="AL551" t="n">
        <v>1</v>
      </c>
      <c r="AM551" t="n">
        <v>1</v>
      </c>
      <c r="AN551" t="n">
        <v>0</v>
      </c>
      <c r="AO551" t="n">
        <v>0</v>
      </c>
      <c r="AP551" t="inlineStr">
        <is>
          <t>No</t>
        </is>
      </c>
      <c r="AQ551" t="inlineStr">
        <is>
          <t>Yes</t>
        </is>
      </c>
      <c r="AR551">
        <f>HYPERLINK("http://catalog.hathitrust.org/Record/000034209","HathiTrust Record")</f>
        <v/>
      </c>
      <c r="AS551">
        <f>HYPERLINK("https://creighton-primo.hosted.exlibrisgroup.com/primo-explore/search?tab=default_tab&amp;search_scope=EVERYTHING&amp;vid=01CRU&amp;lang=en_US&amp;offset=0&amp;query=any,contains,991003784449702656","Catalog Record")</f>
        <v/>
      </c>
      <c r="AT551">
        <f>HYPERLINK("http://www.worldcat.org/oclc/1500072","WorldCat Record")</f>
        <v/>
      </c>
      <c r="AU551" t="inlineStr">
        <is>
          <t>293734477:eng</t>
        </is>
      </c>
      <c r="AV551" t="inlineStr">
        <is>
          <t>1500072</t>
        </is>
      </c>
      <c r="AW551" t="inlineStr">
        <is>
          <t>991003784449702656</t>
        </is>
      </c>
      <c r="AX551" t="inlineStr">
        <is>
          <t>991003784449702656</t>
        </is>
      </c>
      <c r="AY551" t="inlineStr">
        <is>
          <t>2260428490002656</t>
        </is>
      </c>
      <c r="AZ551" t="inlineStr">
        <is>
          <t>BOOK</t>
        </is>
      </c>
      <c r="BB551" t="inlineStr">
        <is>
          <t>9780812905854</t>
        </is>
      </c>
      <c r="BC551" t="inlineStr">
        <is>
          <t>32285002643087</t>
        </is>
      </c>
      <c r="BD551" t="inlineStr">
        <is>
          <t>893881536</t>
        </is>
      </c>
    </row>
    <row r="552">
      <c r="A552" t="inlineStr">
        <is>
          <t>No</t>
        </is>
      </c>
      <c r="B552" t="inlineStr">
        <is>
          <t>QB981 .C79 1991</t>
        </is>
      </c>
      <c r="C552" t="inlineStr">
        <is>
          <t>0                      QB 0981000C  79          1991</t>
        </is>
      </c>
      <c r="D552" t="inlineStr">
        <is>
          <t>Cosmology and particle physics / edited by David Lindley, Edward W. Kolb, David N. Schramm.</t>
        </is>
      </c>
      <c r="F552" t="inlineStr">
        <is>
          <t>No</t>
        </is>
      </c>
      <c r="G552" t="inlineStr">
        <is>
          <t>1</t>
        </is>
      </c>
      <c r="H552" t="inlineStr">
        <is>
          <t>No</t>
        </is>
      </c>
      <c r="I552" t="inlineStr">
        <is>
          <t>No</t>
        </is>
      </c>
      <c r="J552" t="inlineStr">
        <is>
          <t>0</t>
        </is>
      </c>
      <c r="L552" t="inlineStr">
        <is>
          <t>College Park, MD : American Association of Physics Teachers, c1991.</t>
        </is>
      </c>
      <c r="M552" t="inlineStr">
        <is>
          <t>1991</t>
        </is>
      </c>
      <c r="O552" t="inlineStr">
        <is>
          <t>eng</t>
        </is>
      </c>
      <c r="P552" t="inlineStr">
        <is>
          <t>mdu</t>
        </is>
      </c>
      <c r="R552" t="inlineStr">
        <is>
          <t xml:space="preserve">QB </t>
        </is>
      </c>
      <c r="S552" t="n">
        <v>2</v>
      </c>
      <c r="T552" t="n">
        <v>2</v>
      </c>
      <c r="U552" t="inlineStr">
        <is>
          <t>1996-02-01</t>
        </is>
      </c>
      <c r="V552" t="inlineStr">
        <is>
          <t>1996-02-01</t>
        </is>
      </c>
      <c r="W552" t="inlineStr">
        <is>
          <t>1992-11-30</t>
        </is>
      </c>
      <c r="X552" t="inlineStr">
        <is>
          <t>1992-11-30</t>
        </is>
      </c>
      <c r="Y552" t="n">
        <v>55</v>
      </c>
      <c r="Z552" t="n">
        <v>47</v>
      </c>
      <c r="AA552" t="n">
        <v>47</v>
      </c>
      <c r="AB552" t="n">
        <v>1</v>
      </c>
      <c r="AC552" t="n">
        <v>1</v>
      </c>
      <c r="AD552" t="n">
        <v>3</v>
      </c>
      <c r="AE552" t="n">
        <v>3</v>
      </c>
      <c r="AF552" t="n">
        <v>1</v>
      </c>
      <c r="AG552" t="n">
        <v>1</v>
      </c>
      <c r="AH552" t="n">
        <v>0</v>
      </c>
      <c r="AI552" t="n">
        <v>0</v>
      </c>
      <c r="AJ552" t="n">
        <v>3</v>
      </c>
      <c r="AK552" t="n">
        <v>3</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HYPERLINK("https://creighton-primo.hosted.exlibrisgroup.com/primo-explore/search?tab=default_tab&amp;search_scope=EVERYTHING&amp;vid=01CRU&amp;lang=en_US&amp;offset=0&amp;query=any,contains,991001981439702656","Catalog Record")</f>
        <v/>
      </c>
      <c r="AT552">
        <f>HYPERLINK("http://www.worldcat.org/oclc/25150204","WorldCat Record")</f>
        <v/>
      </c>
      <c r="AU552" t="inlineStr">
        <is>
          <t>55542645:eng</t>
        </is>
      </c>
      <c r="AV552" t="inlineStr">
        <is>
          <t>25150204</t>
        </is>
      </c>
      <c r="AW552" t="inlineStr">
        <is>
          <t>991001981439702656</t>
        </is>
      </c>
      <c r="AX552" t="inlineStr">
        <is>
          <t>991001981439702656</t>
        </is>
      </c>
      <c r="AY552" t="inlineStr">
        <is>
          <t>2264998080002656</t>
        </is>
      </c>
      <c r="AZ552" t="inlineStr">
        <is>
          <t>BOOK</t>
        </is>
      </c>
      <c r="BB552" t="inlineStr">
        <is>
          <t>9780917853425</t>
        </is>
      </c>
      <c r="BC552" t="inlineStr">
        <is>
          <t>32285001400315</t>
        </is>
      </c>
      <c r="BD552" t="inlineStr">
        <is>
          <t>893534777</t>
        </is>
      </c>
    </row>
    <row r="553">
      <c r="A553" t="inlineStr">
        <is>
          <t>No</t>
        </is>
      </c>
      <c r="B553" t="inlineStr">
        <is>
          <t>QB981 .C818</t>
        </is>
      </c>
      <c r="C553" t="inlineStr">
        <is>
          <t>0                      QB 0981000C  818</t>
        </is>
      </c>
      <c r="D553" t="inlineStr">
        <is>
          <t>Cosmologie physique = Physical cosmology / édité par Jean Audouze, Roger Balian, David N. Schramm.</t>
        </is>
      </c>
      <c r="F553" t="inlineStr">
        <is>
          <t>No</t>
        </is>
      </c>
      <c r="G553" t="inlineStr">
        <is>
          <t>1</t>
        </is>
      </c>
      <c r="H553" t="inlineStr">
        <is>
          <t>No</t>
        </is>
      </c>
      <c r="I553" t="inlineStr">
        <is>
          <t>No</t>
        </is>
      </c>
      <c r="J553" t="inlineStr">
        <is>
          <t>0</t>
        </is>
      </c>
      <c r="L553" t="inlineStr">
        <is>
          <t>Amsterdam ; New York : North Holland Pub. Co. ; New York : sole distributors for the USA and Canada, Elsevier North-Holland, 1980.</t>
        </is>
      </c>
      <c r="M553" t="inlineStr">
        <is>
          <t>1980</t>
        </is>
      </c>
      <c r="O553" t="inlineStr">
        <is>
          <t>eng</t>
        </is>
      </c>
      <c r="P553" t="inlineStr">
        <is>
          <t xml:space="preserve">ne </t>
        </is>
      </c>
      <c r="R553" t="inlineStr">
        <is>
          <t xml:space="preserve">QB </t>
        </is>
      </c>
      <c r="S553" t="n">
        <v>1</v>
      </c>
      <c r="T553" t="n">
        <v>1</v>
      </c>
      <c r="U553" t="inlineStr">
        <is>
          <t>2005-04-05</t>
        </is>
      </c>
      <c r="V553" t="inlineStr">
        <is>
          <t>2005-04-05</t>
        </is>
      </c>
      <c r="W553" t="inlineStr">
        <is>
          <t>1992-11-24</t>
        </is>
      </c>
      <c r="X553" t="inlineStr">
        <is>
          <t>1992-11-24</t>
        </is>
      </c>
      <c r="Y553" t="n">
        <v>179</v>
      </c>
      <c r="Z553" t="n">
        <v>124</v>
      </c>
      <c r="AA553" t="n">
        <v>128</v>
      </c>
      <c r="AB553" t="n">
        <v>2</v>
      </c>
      <c r="AC553" t="n">
        <v>2</v>
      </c>
      <c r="AD553" t="n">
        <v>3</v>
      </c>
      <c r="AE553" t="n">
        <v>3</v>
      </c>
      <c r="AF553" t="n">
        <v>0</v>
      </c>
      <c r="AG553" t="n">
        <v>0</v>
      </c>
      <c r="AH553" t="n">
        <v>1</v>
      </c>
      <c r="AI553" t="n">
        <v>1</v>
      </c>
      <c r="AJ553" t="n">
        <v>2</v>
      </c>
      <c r="AK553" t="n">
        <v>2</v>
      </c>
      <c r="AL553" t="n">
        <v>1</v>
      </c>
      <c r="AM553" t="n">
        <v>1</v>
      </c>
      <c r="AN553" t="n">
        <v>0</v>
      </c>
      <c r="AO553" t="n">
        <v>0</v>
      </c>
      <c r="AP553" t="inlineStr">
        <is>
          <t>No</t>
        </is>
      </c>
      <c r="AQ553" t="inlineStr">
        <is>
          <t>Yes</t>
        </is>
      </c>
      <c r="AR553">
        <f>HYPERLINK("http://catalog.hathitrust.org/Record/000706073","HathiTrust Record")</f>
        <v/>
      </c>
      <c r="AS553">
        <f>HYPERLINK("https://creighton-primo.hosted.exlibrisgroup.com/primo-explore/search?tab=default_tab&amp;search_scope=EVERYTHING&amp;vid=01CRU&amp;lang=en_US&amp;offset=0&amp;query=any,contains,991004974519702656","Catalog Record")</f>
        <v/>
      </c>
      <c r="AT553">
        <f>HYPERLINK("http://www.worldcat.org/oclc/6379015","WorldCat Record")</f>
        <v/>
      </c>
      <c r="AU553" t="inlineStr">
        <is>
          <t>1017087152:eng</t>
        </is>
      </c>
      <c r="AV553" t="inlineStr">
        <is>
          <t>6379015</t>
        </is>
      </c>
      <c r="AW553" t="inlineStr">
        <is>
          <t>991004974519702656</t>
        </is>
      </c>
      <c r="AX553" t="inlineStr">
        <is>
          <t>991004974519702656</t>
        </is>
      </c>
      <c r="AY553" t="inlineStr">
        <is>
          <t>2270732430002656</t>
        </is>
      </c>
      <c r="AZ553" t="inlineStr">
        <is>
          <t>BOOK</t>
        </is>
      </c>
      <c r="BB553" t="inlineStr">
        <is>
          <t>9780444854339</t>
        </is>
      </c>
      <c r="BC553" t="inlineStr">
        <is>
          <t>32285001450054</t>
        </is>
      </c>
      <c r="BD553" t="inlineStr">
        <is>
          <t>893242034</t>
        </is>
      </c>
    </row>
    <row r="554">
      <c r="A554" t="inlineStr">
        <is>
          <t>No</t>
        </is>
      </c>
      <c r="B554" t="inlineStr">
        <is>
          <t>QB981 .C82</t>
        </is>
      </c>
      <c r="C554" t="inlineStr">
        <is>
          <t>0                      QB 0981000C  82</t>
        </is>
      </c>
      <c r="D554" t="inlineStr">
        <is>
          <t>Cosmology, history, and theology / edited by Wolfgang Yourgrau, Allen D. Breck ; contributors, Hannes O. Alfvén ... [et al.].</t>
        </is>
      </c>
      <c r="F554" t="inlineStr">
        <is>
          <t>No</t>
        </is>
      </c>
      <c r="G554" t="inlineStr">
        <is>
          <t>1</t>
        </is>
      </c>
      <c r="H554" t="inlineStr">
        <is>
          <t>No</t>
        </is>
      </c>
      <c r="I554" t="inlineStr">
        <is>
          <t>No</t>
        </is>
      </c>
      <c r="J554" t="inlineStr">
        <is>
          <t>0</t>
        </is>
      </c>
      <c r="L554" t="inlineStr">
        <is>
          <t>New York : Plenum Press, c1977.</t>
        </is>
      </c>
      <c r="M554" t="inlineStr">
        <is>
          <t>1977</t>
        </is>
      </c>
      <c r="O554" t="inlineStr">
        <is>
          <t>eng</t>
        </is>
      </c>
      <c r="P554" t="inlineStr">
        <is>
          <t>nyu</t>
        </is>
      </c>
      <c r="R554" t="inlineStr">
        <is>
          <t xml:space="preserve">QB </t>
        </is>
      </c>
      <c r="S554" t="n">
        <v>7</v>
      </c>
      <c r="T554" t="n">
        <v>7</v>
      </c>
      <c r="U554" t="inlineStr">
        <is>
          <t>2002-09-11</t>
        </is>
      </c>
      <c r="V554" t="inlineStr">
        <is>
          <t>2002-09-11</t>
        </is>
      </c>
      <c r="W554" t="inlineStr">
        <is>
          <t>1997-07-09</t>
        </is>
      </c>
      <c r="X554" t="inlineStr">
        <is>
          <t>1997-07-09</t>
        </is>
      </c>
      <c r="Y554" t="n">
        <v>573</v>
      </c>
      <c r="Z554" t="n">
        <v>454</v>
      </c>
      <c r="AA554" t="n">
        <v>466</v>
      </c>
      <c r="AB554" t="n">
        <v>4</v>
      </c>
      <c r="AC554" t="n">
        <v>4</v>
      </c>
      <c r="AD554" t="n">
        <v>21</v>
      </c>
      <c r="AE554" t="n">
        <v>22</v>
      </c>
      <c r="AF554" t="n">
        <v>6</v>
      </c>
      <c r="AG554" t="n">
        <v>7</v>
      </c>
      <c r="AH554" t="n">
        <v>6</v>
      </c>
      <c r="AI554" t="n">
        <v>6</v>
      </c>
      <c r="AJ554" t="n">
        <v>10</v>
      </c>
      <c r="AK554" t="n">
        <v>11</v>
      </c>
      <c r="AL554" t="n">
        <v>3</v>
      </c>
      <c r="AM554" t="n">
        <v>3</v>
      </c>
      <c r="AN554" t="n">
        <v>0</v>
      </c>
      <c r="AO554" t="n">
        <v>0</v>
      </c>
      <c r="AP554" t="inlineStr">
        <is>
          <t>No</t>
        </is>
      </c>
      <c r="AQ554" t="inlineStr">
        <is>
          <t>Yes</t>
        </is>
      </c>
      <c r="AR554">
        <f>HYPERLINK("http://catalog.hathitrust.org/Record/000086622","HathiTrust Record")</f>
        <v/>
      </c>
      <c r="AS554">
        <f>HYPERLINK("https://creighton-primo.hosted.exlibrisgroup.com/primo-explore/search?tab=default_tab&amp;search_scope=EVERYTHING&amp;vid=01CRU&amp;lang=en_US&amp;offset=0&amp;query=any,contains,991004177059702656","Catalog Record")</f>
        <v/>
      </c>
      <c r="AT554">
        <f>HYPERLINK("http://www.worldcat.org/oclc/2597346","WorldCat Record")</f>
        <v/>
      </c>
      <c r="AU554" t="inlineStr">
        <is>
          <t>347111271:eng</t>
        </is>
      </c>
      <c r="AV554" t="inlineStr">
        <is>
          <t>2597346</t>
        </is>
      </c>
      <c r="AW554" t="inlineStr">
        <is>
          <t>991004177059702656</t>
        </is>
      </c>
      <c r="AX554" t="inlineStr">
        <is>
          <t>991004177059702656</t>
        </is>
      </c>
      <c r="AY554" t="inlineStr">
        <is>
          <t>2268578880002656</t>
        </is>
      </c>
      <c r="AZ554" t="inlineStr">
        <is>
          <t>BOOK</t>
        </is>
      </c>
      <c r="BB554" t="inlineStr">
        <is>
          <t>9780306309403</t>
        </is>
      </c>
      <c r="BC554" t="inlineStr">
        <is>
          <t>32285002897444</t>
        </is>
      </c>
      <c r="BD554" t="inlineStr">
        <is>
          <t>893800684</t>
        </is>
      </c>
    </row>
    <row r="555">
      <c r="A555" t="inlineStr">
        <is>
          <t>No</t>
        </is>
      </c>
      <c r="B555" t="inlineStr">
        <is>
          <t>QB981 .C884 2001</t>
        </is>
      </c>
      <c r="C555" t="inlineStr">
        <is>
          <t>0                      QB 0981000C  884         2001</t>
        </is>
      </c>
      <c r="D555" t="inlineStr">
        <is>
          <t>The universe at midnight : observations illuminating the cosmos / Ken Croswell.</t>
        </is>
      </c>
      <c r="F555" t="inlineStr">
        <is>
          <t>No</t>
        </is>
      </c>
      <c r="G555" t="inlineStr">
        <is>
          <t>1</t>
        </is>
      </c>
      <c r="H555" t="inlineStr">
        <is>
          <t>No</t>
        </is>
      </c>
      <c r="I555" t="inlineStr">
        <is>
          <t>No</t>
        </is>
      </c>
      <c r="J555" t="inlineStr">
        <is>
          <t>0</t>
        </is>
      </c>
      <c r="K555" t="inlineStr">
        <is>
          <t>Croswell, Ken.</t>
        </is>
      </c>
      <c r="L555" t="inlineStr">
        <is>
          <t>New York : Free Press, c2001.</t>
        </is>
      </c>
      <c r="M555" t="inlineStr">
        <is>
          <t>2001</t>
        </is>
      </c>
      <c r="O555" t="inlineStr">
        <is>
          <t>eng</t>
        </is>
      </c>
      <c r="P555" t="inlineStr">
        <is>
          <t>nyu</t>
        </is>
      </c>
      <c r="R555" t="inlineStr">
        <is>
          <t xml:space="preserve">QB </t>
        </is>
      </c>
      <c r="S555" t="n">
        <v>2</v>
      </c>
      <c r="T555" t="n">
        <v>2</v>
      </c>
      <c r="U555" t="inlineStr">
        <is>
          <t>2007-11-14</t>
        </is>
      </c>
      <c r="V555" t="inlineStr">
        <is>
          <t>2007-11-14</t>
        </is>
      </c>
      <c r="W555" t="inlineStr">
        <is>
          <t>2003-11-13</t>
        </is>
      </c>
      <c r="X555" t="inlineStr">
        <is>
          <t>2003-11-13</t>
        </is>
      </c>
      <c r="Y555" t="n">
        <v>513</v>
      </c>
      <c r="Z555" t="n">
        <v>476</v>
      </c>
      <c r="AA555" t="n">
        <v>482</v>
      </c>
      <c r="AB555" t="n">
        <v>4</v>
      </c>
      <c r="AC555" t="n">
        <v>4</v>
      </c>
      <c r="AD555" t="n">
        <v>14</v>
      </c>
      <c r="AE555" t="n">
        <v>14</v>
      </c>
      <c r="AF555" t="n">
        <v>5</v>
      </c>
      <c r="AG555" t="n">
        <v>5</v>
      </c>
      <c r="AH555" t="n">
        <v>1</v>
      </c>
      <c r="AI555" t="n">
        <v>1</v>
      </c>
      <c r="AJ555" t="n">
        <v>10</v>
      </c>
      <c r="AK555" t="n">
        <v>10</v>
      </c>
      <c r="AL555" t="n">
        <v>3</v>
      </c>
      <c r="AM555" t="n">
        <v>3</v>
      </c>
      <c r="AN555" t="n">
        <v>0</v>
      </c>
      <c r="AO555" t="n">
        <v>0</v>
      </c>
      <c r="AP555" t="inlineStr">
        <is>
          <t>No</t>
        </is>
      </c>
      <c r="AQ555" t="inlineStr">
        <is>
          <t>Yes</t>
        </is>
      </c>
      <c r="AR555">
        <f>HYPERLINK("http://catalog.hathitrust.org/Record/004198233","HathiTrust Record")</f>
        <v/>
      </c>
      <c r="AS555">
        <f>HYPERLINK("https://creighton-primo.hosted.exlibrisgroup.com/primo-explore/search?tab=default_tab&amp;search_scope=EVERYTHING&amp;vid=01CRU&amp;lang=en_US&amp;offset=0&amp;query=any,contains,991004163009702656","Catalog Record")</f>
        <v/>
      </c>
      <c r="AT555">
        <f>HYPERLINK("http://www.worldcat.org/oclc/47073310","WorldCat Record")</f>
        <v/>
      </c>
      <c r="AU555" t="inlineStr">
        <is>
          <t>20811057:eng</t>
        </is>
      </c>
      <c r="AV555" t="inlineStr">
        <is>
          <t>47073310</t>
        </is>
      </c>
      <c r="AW555" t="inlineStr">
        <is>
          <t>991004163009702656</t>
        </is>
      </c>
      <c r="AX555" t="inlineStr">
        <is>
          <t>991004163009702656</t>
        </is>
      </c>
      <c r="AY555" t="inlineStr">
        <is>
          <t>2257534320002656</t>
        </is>
      </c>
      <c r="AZ555" t="inlineStr">
        <is>
          <t>BOOK</t>
        </is>
      </c>
      <c r="BB555" t="inlineStr">
        <is>
          <t>9780684859316</t>
        </is>
      </c>
      <c r="BC555" t="inlineStr">
        <is>
          <t>32285004797063</t>
        </is>
      </c>
      <c r="BD555" t="inlineStr">
        <is>
          <t>893712228</t>
        </is>
      </c>
    </row>
    <row r="556">
      <c r="A556" t="inlineStr">
        <is>
          <t>No</t>
        </is>
      </c>
      <c r="B556" t="inlineStr">
        <is>
          <t>QB981 .D275 2001</t>
        </is>
      </c>
      <c r="C556" t="inlineStr">
        <is>
          <t>0                      QB 0981000D  275         2001</t>
        </is>
      </c>
      <c r="D556" t="inlineStr">
        <is>
          <t>Don't know much about the universe : everything you need to know about the cosmos but never learned / Kenneth C. Davis.</t>
        </is>
      </c>
      <c r="F556" t="inlineStr">
        <is>
          <t>No</t>
        </is>
      </c>
      <c r="G556" t="inlineStr">
        <is>
          <t>1</t>
        </is>
      </c>
      <c r="H556" t="inlineStr">
        <is>
          <t>No</t>
        </is>
      </c>
      <c r="I556" t="inlineStr">
        <is>
          <t>No</t>
        </is>
      </c>
      <c r="J556" t="inlineStr">
        <is>
          <t>0</t>
        </is>
      </c>
      <c r="K556" t="inlineStr">
        <is>
          <t>Davis, Kenneth C.</t>
        </is>
      </c>
      <c r="L556" t="inlineStr">
        <is>
          <t>New York : HarperCollins, 2001.</t>
        </is>
      </c>
      <c r="M556" t="inlineStr">
        <is>
          <t>2001</t>
        </is>
      </c>
      <c r="N556" t="inlineStr">
        <is>
          <t>1st ed.</t>
        </is>
      </c>
      <c r="O556" t="inlineStr">
        <is>
          <t>eng</t>
        </is>
      </c>
      <c r="P556" t="inlineStr">
        <is>
          <t>nyu</t>
        </is>
      </c>
      <c r="Q556" t="inlineStr">
        <is>
          <t>Don't know much about series.</t>
        </is>
      </c>
      <c r="R556" t="inlineStr">
        <is>
          <t xml:space="preserve">QB </t>
        </is>
      </c>
      <c r="S556" t="n">
        <v>2</v>
      </c>
      <c r="T556" t="n">
        <v>2</v>
      </c>
      <c r="U556" t="inlineStr">
        <is>
          <t>2006-10-16</t>
        </is>
      </c>
      <c r="V556" t="inlineStr">
        <is>
          <t>2006-10-16</t>
        </is>
      </c>
      <c r="W556" t="inlineStr">
        <is>
          <t>2002-04-18</t>
        </is>
      </c>
      <c r="X556" t="inlineStr">
        <is>
          <t>2002-04-18</t>
        </is>
      </c>
      <c r="Y556" t="n">
        <v>1016</v>
      </c>
      <c r="Z556" t="n">
        <v>971</v>
      </c>
      <c r="AA556" t="n">
        <v>1042</v>
      </c>
      <c r="AB556" t="n">
        <v>7</v>
      </c>
      <c r="AC556" t="n">
        <v>7</v>
      </c>
      <c r="AD556" t="n">
        <v>4</v>
      </c>
      <c r="AE556" t="n">
        <v>4</v>
      </c>
      <c r="AF556" t="n">
        <v>2</v>
      </c>
      <c r="AG556" t="n">
        <v>2</v>
      </c>
      <c r="AH556" t="n">
        <v>1</v>
      </c>
      <c r="AI556" t="n">
        <v>1</v>
      </c>
      <c r="AJ556" t="n">
        <v>2</v>
      </c>
      <c r="AK556" t="n">
        <v>2</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HYPERLINK("https://creighton-primo.hosted.exlibrisgroup.com/primo-explore/search?tab=default_tab&amp;search_scope=EVERYTHING&amp;vid=01CRU&amp;lang=en_US&amp;offset=0&amp;query=any,contains,991003794539702656","Catalog Record")</f>
        <v/>
      </c>
      <c r="AT556">
        <f>HYPERLINK("http://www.worldcat.org/oclc/46812091","WorldCat Record")</f>
        <v/>
      </c>
      <c r="AU556" t="inlineStr">
        <is>
          <t>2864284464:eng</t>
        </is>
      </c>
      <c r="AV556" t="inlineStr">
        <is>
          <t>46812091</t>
        </is>
      </c>
      <c r="AW556" t="inlineStr">
        <is>
          <t>991003794539702656</t>
        </is>
      </c>
      <c r="AX556" t="inlineStr">
        <is>
          <t>991003794539702656</t>
        </is>
      </c>
      <c r="AY556" t="inlineStr">
        <is>
          <t>2261324500002656</t>
        </is>
      </c>
      <c r="AZ556" t="inlineStr">
        <is>
          <t>BOOK</t>
        </is>
      </c>
      <c r="BB556" t="inlineStr">
        <is>
          <t>9780060194598</t>
        </is>
      </c>
      <c r="BC556" t="inlineStr">
        <is>
          <t>32285004481650</t>
        </is>
      </c>
      <c r="BD556" t="inlineStr">
        <is>
          <t>893499718</t>
        </is>
      </c>
    </row>
    <row r="557">
      <c r="A557" t="inlineStr">
        <is>
          <t>No</t>
        </is>
      </c>
      <c r="B557" t="inlineStr">
        <is>
          <t>QB981 .D4313 1998</t>
        </is>
      </c>
      <c r="C557" t="inlineStr">
        <is>
          <t>0                      QB 0981000D  4313        1998</t>
        </is>
      </c>
      <c r="D557" t="inlineStr">
        <is>
          <t>Our cosmic origins : from the Big Bang to the emergence of life and intelligence / Armand Delsemme ; [foreword by Christian de Duve].</t>
        </is>
      </c>
      <c r="F557" t="inlineStr">
        <is>
          <t>No</t>
        </is>
      </c>
      <c r="G557" t="inlineStr">
        <is>
          <t>1</t>
        </is>
      </c>
      <c r="H557" t="inlineStr">
        <is>
          <t>No</t>
        </is>
      </c>
      <c r="I557" t="inlineStr">
        <is>
          <t>No</t>
        </is>
      </c>
      <c r="J557" t="inlineStr">
        <is>
          <t>0</t>
        </is>
      </c>
      <c r="K557" t="inlineStr">
        <is>
          <t>Delsemme, A. H.</t>
        </is>
      </c>
      <c r="L557" t="inlineStr">
        <is>
          <t>Cambridge ; New York : Cambridge University Press, 1998.</t>
        </is>
      </c>
      <c r="M557" t="inlineStr">
        <is>
          <t>1998</t>
        </is>
      </c>
      <c r="O557" t="inlineStr">
        <is>
          <t>eng</t>
        </is>
      </c>
      <c r="P557" t="inlineStr">
        <is>
          <t>enk</t>
        </is>
      </c>
      <c r="R557" t="inlineStr">
        <is>
          <t xml:space="preserve">QB </t>
        </is>
      </c>
      <c r="S557" t="n">
        <v>3</v>
      </c>
      <c r="T557" t="n">
        <v>3</v>
      </c>
      <c r="U557" t="inlineStr">
        <is>
          <t>2007-12-02</t>
        </is>
      </c>
      <c r="V557" t="inlineStr">
        <is>
          <t>2007-12-02</t>
        </is>
      </c>
      <c r="W557" t="inlineStr">
        <is>
          <t>1998-08-04</t>
        </is>
      </c>
      <c r="X557" t="inlineStr">
        <is>
          <t>1998-08-04</t>
        </is>
      </c>
      <c r="Y557" t="n">
        <v>700</v>
      </c>
      <c r="Z557" t="n">
        <v>575</v>
      </c>
      <c r="AA557" t="n">
        <v>621</v>
      </c>
      <c r="AB557" t="n">
        <v>5</v>
      </c>
      <c r="AC557" t="n">
        <v>5</v>
      </c>
      <c r="AD557" t="n">
        <v>23</v>
      </c>
      <c r="AE557" t="n">
        <v>23</v>
      </c>
      <c r="AF557" t="n">
        <v>9</v>
      </c>
      <c r="AG557" t="n">
        <v>9</v>
      </c>
      <c r="AH557" t="n">
        <v>3</v>
      </c>
      <c r="AI557" t="n">
        <v>3</v>
      </c>
      <c r="AJ557" t="n">
        <v>12</v>
      </c>
      <c r="AK557" t="n">
        <v>12</v>
      </c>
      <c r="AL557" t="n">
        <v>4</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HYPERLINK("https://creighton-primo.hosted.exlibrisgroup.com/primo-explore/search?tab=default_tab&amp;search_scope=EVERYTHING&amp;vid=01CRU&amp;lang=en_US&amp;offset=0&amp;query=any,contains,991002842739702656","Catalog Record")</f>
        <v/>
      </c>
      <c r="AT557">
        <f>HYPERLINK("http://www.worldcat.org/oclc/37451824","WorldCat Record")</f>
        <v/>
      </c>
      <c r="AU557" t="inlineStr">
        <is>
          <t>47353:eng</t>
        </is>
      </c>
      <c r="AV557" t="inlineStr">
        <is>
          <t>37451824</t>
        </is>
      </c>
      <c r="AW557" t="inlineStr">
        <is>
          <t>991002842739702656</t>
        </is>
      </c>
      <c r="AX557" t="inlineStr">
        <is>
          <t>991002842739702656</t>
        </is>
      </c>
      <c r="AY557" t="inlineStr">
        <is>
          <t>2260347820002656</t>
        </is>
      </c>
      <c r="AZ557" t="inlineStr">
        <is>
          <t>BOOK</t>
        </is>
      </c>
      <c r="BB557" t="inlineStr">
        <is>
          <t>9780521620383</t>
        </is>
      </c>
      <c r="BC557" t="inlineStr">
        <is>
          <t>32285003448825</t>
        </is>
      </c>
      <c r="BD557" t="inlineStr">
        <is>
          <t>893504892</t>
        </is>
      </c>
    </row>
    <row r="558">
      <c r="A558" t="inlineStr">
        <is>
          <t>No</t>
        </is>
      </c>
      <c r="B558" t="inlineStr">
        <is>
          <t>QB981 .D89 1983</t>
        </is>
      </c>
      <c r="C558" t="inlineStr">
        <is>
          <t>0                      QB 0981000D  89          1983</t>
        </is>
      </c>
      <c r="D558" t="inlineStr">
        <is>
          <t>Frame of the universe : a history of physical cosmology / Frank Durham, Robert D. Purrington.</t>
        </is>
      </c>
      <c r="F558" t="inlineStr">
        <is>
          <t>No</t>
        </is>
      </c>
      <c r="G558" t="inlineStr">
        <is>
          <t>1</t>
        </is>
      </c>
      <c r="H558" t="inlineStr">
        <is>
          <t>No</t>
        </is>
      </c>
      <c r="I558" t="inlineStr">
        <is>
          <t>No</t>
        </is>
      </c>
      <c r="J558" t="inlineStr">
        <is>
          <t>0</t>
        </is>
      </c>
      <c r="K558" t="inlineStr">
        <is>
          <t>Durham, Frank, 1935-</t>
        </is>
      </c>
      <c r="L558" t="inlineStr">
        <is>
          <t>New York : Columbia University Press, 1983.</t>
        </is>
      </c>
      <c r="M558" t="inlineStr">
        <is>
          <t>1983</t>
        </is>
      </c>
      <c r="O558" t="inlineStr">
        <is>
          <t>eng</t>
        </is>
      </c>
      <c r="P558" t="inlineStr">
        <is>
          <t>nyu</t>
        </is>
      </c>
      <c r="R558" t="inlineStr">
        <is>
          <t xml:space="preserve">QB </t>
        </is>
      </c>
      <c r="S558" t="n">
        <v>3</v>
      </c>
      <c r="T558" t="n">
        <v>3</v>
      </c>
      <c r="U558" t="inlineStr">
        <is>
          <t>1996-10-20</t>
        </is>
      </c>
      <c r="V558" t="inlineStr">
        <is>
          <t>1996-10-20</t>
        </is>
      </c>
      <c r="W558" t="inlineStr">
        <is>
          <t>1992-11-24</t>
        </is>
      </c>
      <c r="X558" t="inlineStr">
        <is>
          <t>1992-11-24</t>
        </is>
      </c>
      <c r="Y558" t="n">
        <v>859</v>
      </c>
      <c r="Z558" t="n">
        <v>754</v>
      </c>
      <c r="AA558" t="n">
        <v>761</v>
      </c>
      <c r="AB558" t="n">
        <v>5</v>
      </c>
      <c r="AC558" t="n">
        <v>5</v>
      </c>
      <c r="AD558" t="n">
        <v>33</v>
      </c>
      <c r="AE558" t="n">
        <v>33</v>
      </c>
      <c r="AF558" t="n">
        <v>11</v>
      </c>
      <c r="AG558" t="n">
        <v>11</v>
      </c>
      <c r="AH558" t="n">
        <v>7</v>
      </c>
      <c r="AI558" t="n">
        <v>7</v>
      </c>
      <c r="AJ558" t="n">
        <v>17</v>
      </c>
      <c r="AK558" t="n">
        <v>17</v>
      </c>
      <c r="AL558" t="n">
        <v>4</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HYPERLINK("https://creighton-primo.hosted.exlibrisgroup.com/primo-explore/search?tab=default_tab&amp;search_scope=EVERYTHING&amp;vid=01CRU&amp;lang=en_US&amp;offset=0&amp;query=any,contains,991000052229702656","Catalog Record")</f>
        <v/>
      </c>
      <c r="AT558">
        <f>HYPERLINK("http://www.worldcat.org/oclc/8689434","WorldCat Record")</f>
        <v/>
      </c>
      <c r="AU558" t="inlineStr">
        <is>
          <t>918626038:eng</t>
        </is>
      </c>
      <c r="AV558" t="inlineStr">
        <is>
          <t>8689434</t>
        </is>
      </c>
      <c r="AW558" t="inlineStr">
        <is>
          <t>991000052229702656</t>
        </is>
      </c>
      <c r="AX558" t="inlineStr">
        <is>
          <t>991000052229702656</t>
        </is>
      </c>
      <c r="AY558" t="inlineStr">
        <is>
          <t>2272021350002656</t>
        </is>
      </c>
      <c r="AZ558" t="inlineStr">
        <is>
          <t>BOOK</t>
        </is>
      </c>
      <c r="BB558" t="inlineStr">
        <is>
          <t>9780231053921</t>
        </is>
      </c>
      <c r="BC558" t="inlineStr">
        <is>
          <t>32285001450088</t>
        </is>
      </c>
      <c r="BD558" t="inlineStr">
        <is>
          <t>893683118</t>
        </is>
      </c>
    </row>
    <row r="559">
      <c r="A559" t="inlineStr">
        <is>
          <t>No</t>
        </is>
      </c>
      <c r="B559" t="inlineStr">
        <is>
          <t>QB981 .E58 1988</t>
        </is>
      </c>
      <c r="C559" t="inlineStr">
        <is>
          <t>0                      QB 0981000E  58          1988</t>
        </is>
      </c>
      <c r="D559" t="inlineStr">
        <is>
          <t>The scientific companion : exploring the physical world with facts, figures, and formulas / Cesare Emiliani.</t>
        </is>
      </c>
      <c r="F559" t="inlineStr">
        <is>
          <t>No</t>
        </is>
      </c>
      <c r="G559" t="inlineStr">
        <is>
          <t>1</t>
        </is>
      </c>
      <c r="H559" t="inlineStr">
        <is>
          <t>No</t>
        </is>
      </c>
      <c r="I559" t="inlineStr">
        <is>
          <t>No</t>
        </is>
      </c>
      <c r="J559" t="inlineStr">
        <is>
          <t>0</t>
        </is>
      </c>
      <c r="K559" t="inlineStr">
        <is>
          <t>Emiliani, Cesare.</t>
        </is>
      </c>
      <c r="L559" t="inlineStr">
        <is>
          <t>New York : Wiley, c1988.</t>
        </is>
      </c>
      <c r="M559" t="inlineStr">
        <is>
          <t>1988</t>
        </is>
      </c>
      <c r="O559" t="inlineStr">
        <is>
          <t>eng</t>
        </is>
      </c>
      <c r="P559" t="inlineStr">
        <is>
          <t>nyu</t>
        </is>
      </c>
      <c r="Q559" t="inlineStr">
        <is>
          <t>Wiley science editions</t>
        </is>
      </c>
      <c r="R559" t="inlineStr">
        <is>
          <t xml:space="preserve">QB </t>
        </is>
      </c>
      <c r="S559" t="n">
        <v>7</v>
      </c>
      <c r="T559" t="n">
        <v>7</v>
      </c>
      <c r="U559" t="inlineStr">
        <is>
          <t>1994-01-29</t>
        </is>
      </c>
      <c r="V559" t="inlineStr">
        <is>
          <t>1994-01-29</t>
        </is>
      </c>
      <c r="W559" t="inlineStr">
        <is>
          <t>1991-04-17</t>
        </is>
      </c>
      <c r="X559" t="inlineStr">
        <is>
          <t>1991-04-17</t>
        </is>
      </c>
      <c r="Y559" t="n">
        <v>482</v>
      </c>
      <c r="Z559" t="n">
        <v>391</v>
      </c>
      <c r="AA559" t="n">
        <v>623</v>
      </c>
      <c r="AB559" t="n">
        <v>3</v>
      </c>
      <c r="AC559" t="n">
        <v>4</v>
      </c>
      <c r="AD559" t="n">
        <v>9</v>
      </c>
      <c r="AE559" t="n">
        <v>17</v>
      </c>
      <c r="AF559" t="n">
        <v>4</v>
      </c>
      <c r="AG559" t="n">
        <v>7</v>
      </c>
      <c r="AH559" t="n">
        <v>0</v>
      </c>
      <c r="AI559" t="n">
        <v>2</v>
      </c>
      <c r="AJ559" t="n">
        <v>6</v>
      </c>
      <c r="AK559" t="n">
        <v>11</v>
      </c>
      <c r="AL559" t="n">
        <v>1</v>
      </c>
      <c r="AM559" t="n">
        <v>1</v>
      </c>
      <c r="AN559" t="n">
        <v>0</v>
      </c>
      <c r="AO559" t="n">
        <v>0</v>
      </c>
      <c r="AP559" t="inlineStr">
        <is>
          <t>No</t>
        </is>
      </c>
      <c r="AQ559" t="inlineStr">
        <is>
          <t>Yes</t>
        </is>
      </c>
      <c r="AR559">
        <f>HYPERLINK("http://catalog.hathitrust.org/Record/000906963","HathiTrust Record")</f>
        <v/>
      </c>
      <c r="AS559">
        <f>HYPERLINK("https://creighton-primo.hosted.exlibrisgroup.com/primo-explore/search?tab=default_tab&amp;search_scope=EVERYTHING&amp;vid=01CRU&amp;lang=en_US&amp;offset=0&amp;query=any,contains,991001065699702656","Catalog Record")</f>
        <v/>
      </c>
      <c r="AT559">
        <f>HYPERLINK("http://www.worldcat.org/oclc/15793300","WorldCat Record")</f>
        <v/>
      </c>
      <c r="AU559" t="inlineStr">
        <is>
          <t>836968830:eng</t>
        </is>
      </c>
      <c r="AV559" t="inlineStr">
        <is>
          <t>15793300</t>
        </is>
      </c>
      <c r="AW559" t="inlineStr">
        <is>
          <t>991001065699702656</t>
        </is>
      </c>
      <c r="AX559" t="inlineStr">
        <is>
          <t>991001065699702656</t>
        </is>
      </c>
      <c r="AY559" t="inlineStr">
        <is>
          <t>2261157300002656</t>
        </is>
      </c>
      <c r="AZ559" t="inlineStr">
        <is>
          <t>BOOK</t>
        </is>
      </c>
      <c r="BB559" t="inlineStr">
        <is>
          <t>9780471624837</t>
        </is>
      </c>
      <c r="BC559" t="inlineStr">
        <is>
          <t>32285000568559</t>
        </is>
      </c>
      <c r="BD559" t="inlineStr">
        <is>
          <t>893432571</t>
        </is>
      </c>
    </row>
    <row r="560">
      <c r="A560" t="inlineStr">
        <is>
          <t>No</t>
        </is>
      </c>
      <c r="B560" t="inlineStr">
        <is>
          <t>QB981 .F175 2002</t>
        </is>
      </c>
      <c r="C560" t="inlineStr">
        <is>
          <t>0                      QB 0981000F  175         2002</t>
        </is>
      </c>
      <c r="D560" t="inlineStr">
        <is>
          <t>The far-future universe : eschatology from a cosmic perspective / edited by George F.R. Ellis.</t>
        </is>
      </c>
      <c r="F560" t="inlineStr">
        <is>
          <t>No</t>
        </is>
      </c>
      <c r="G560" t="inlineStr">
        <is>
          <t>1</t>
        </is>
      </c>
      <c r="H560" t="inlineStr">
        <is>
          <t>No</t>
        </is>
      </c>
      <c r="I560" t="inlineStr">
        <is>
          <t>No</t>
        </is>
      </c>
      <c r="J560" t="inlineStr">
        <is>
          <t>0</t>
        </is>
      </c>
      <c r="L560" t="inlineStr">
        <is>
          <t>Philadelphia : Templeton Foundation Press, c2002.</t>
        </is>
      </c>
      <c r="M560" t="inlineStr">
        <is>
          <t>2002</t>
        </is>
      </c>
      <c r="O560" t="inlineStr">
        <is>
          <t>eng</t>
        </is>
      </c>
      <c r="P560" t="inlineStr">
        <is>
          <t>pau</t>
        </is>
      </c>
      <c r="R560" t="inlineStr">
        <is>
          <t xml:space="preserve">QB </t>
        </is>
      </c>
      <c r="S560" t="n">
        <v>1</v>
      </c>
      <c r="T560" t="n">
        <v>1</v>
      </c>
      <c r="U560" t="inlineStr">
        <is>
          <t>2006-03-06</t>
        </is>
      </c>
      <c r="V560" t="inlineStr">
        <is>
          <t>2006-03-06</t>
        </is>
      </c>
      <c r="W560" t="inlineStr">
        <is>
          <t>2006-03-06</t>
        </is>
      </c>
      <c r="X560" t="inlineStr">
        <is>
          <t>2006-03-06</t>
        </is>
      </c>
      <c r="Y560" t="n">
        <v>214</v>
      </c>
      <c r="Z560" t="n">
        <v>176</v>
      </c>
      <c r="AA560" t="n">
        <v>176</v>
      </c>
      <c r="AB560" t="n">
        <v>3</v>
      </c>
      <c r="AC560" t="n">
        <v>3</v>
      </c>
      <c r="AD560" t="n">
        <v>15</v>
      </c>
      <c r="AE560" t="n">
        <v>15</v>
      </c>
      <c r="AF560" t="n">
        <v>4</v>
      </c>
      <c r="AG560" t="n">
        <v>4</v>
      </c>
      <c r="AH560" t="n">
        <v>5</v>
      </c>
      <c r="AI560" t="n">
        <v>5</v>
      </c>
      <c r="AJ560" t="n">
        <v>10</v>
      </c>
      <c r="AK560" t="n">
        <v>10</v>
      </c>
      <c r="AL560" t="n">
        <v>2</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HYPERLINK("https://creighton-primo.hosted.exlibrisgroup.com/primo-explore/search?tab=default_tab&amp;search_scope=EVERYTHING&amp;vid=01CRU&amp;lang=en_US&amp;offset=0&amp;query=any,contains,991004728009702656","Catalog Record")</f>
        <v/>
      </c>
      <c r="AT560">
        <f>HYPERLINK("http://www.worldcat.org/oclc/49260974","WorldCat Record")</f>
        <v/>
      </c>
      <c r="AU560" t="inlineStr">
        <is>
          <t>510490079:eng</t>
        </is>
      </c>
      <c r="AV560" t="inlineStr">
        <is>
          <t>49260974</t>
        </is>
      </c>
      <c r="AW560" t="inlineStr">
        <is>
          <t>991004728009702656</t>
        </is>
      </c>
      <c r="AX560" t="inlineStr">
        <is>
          <t>991004728009702656</t>
        </is>
      </c>
      <c r="AY560" t="inlineStr">
        <is>
          <t>2254720410002656</t>
        </is>
      </c>
      <c r="AZ560" t="inlineStr">
        <is>
          <t>BOOK</t>
        </is>
      </c>
      <c r="BB560" t="inlineStr">
        <is>
          <t>9781890151904</t>
        </is>
      </c>
      <c r="BC560" t="inlineStr">
        <is>
          <t>32285005162978</t>
        </is>
      </c>
      <c r="BD560" t="inlineStr">
        <is>
          <t>893446363</t>
        </is>
      </c>
    </row>
    <row r="561">
      <c r="A561" t="inlineStr">
        <is>
          <t>No</t>
        </is>
      </c>
      <c r="B561" t="inlineStr">
        <is>
          <t>QB981 .F38 1997</t>
        </is>
      </c>
      <c r="C561" t="inlineStr">
        <is>
          <t>0                      QB 0981000F  38          1997</t>
        </is>
      </c>
      <c r="D561" t="inlineStr">
        <is>
          <t>The whole shebang : a state-of-the-universe(s) report / Timothy Ferris.</t>
        </is>
      </c>
      <c r="F561" t="inlineStr">
        <is>
          <t>No</t>
        </is>
      </c>
      <c r="G561" t="inlineStr">
        <is>
          <t>1</t>
        </is>
      </c>
      <c r="H561" t="inlineStr">
        <is>
          <t>No</t>
        </is>
      </c>
      <c r="I561" t="inlineStr">
        <is>
          <t>No</t>
        </is>
      </c>
      <c r="J561" t="inlineStr">
        <is>
          <t>0</t>
        </is>
      </c>
      <c r="K561" t="inlineStr">
        <is>
          <t>Ferris, Timothy.</t>
        </is>
      </c>
      <c r="L561" t="inlineStr">
        <is>
          <t>New York : Simon &amp; Schuster, c1997.</t>
        </is>
      </c>
      <c r="M561" t="inlineStr">
        <is>
          <t>1997</t>
        </is>
      </c>
      <c r="O561" t="inlineStr">
        <is>
          <t>eng</t>
        </is>
      </c>
      <c r="P561" t="inlineStr">
        <is>
          <t>nyu</t>
        </is>
      </c>
      <c r="R561" t="inlineStr">
        <is>
          <t xml:space="preserve">QB </t>
        </is>
      </c>
      <c r="S561" t="n">
        <v>13</v>
      </c>
      <c r="T561" t="n">
        <v>13</v>
      </c>
      <c r="U561" t="inlineStr">
        <is>
          <t>2005-03-23</t>
        </is>
      </c>
      <c r="V561" t="inlineStr">
        <is>
          <t>2005-03-23</t>
        </is>
      </c>
      <c r="W561" t="inlineStr">
        <is>
          <t>1997-05-12</t>
        </is>
      </c>
      <c r="X561" t="inlineStr">
        <is>
          <t>1997-05-12</t>
        </is>
      </c>
      <c r="Y561" t="n">
        <v>1667</v>
      </c>
      <c r="Z561" t="n">
        <v>1569</v>
      </c>
      <c r="AA561" t="n">
        <v>1701</v>
      </c>
      <c r="AB561" t="n">
        <v>12</v>
      </c>
      <c r="AC561" t="n">
        <v>14</v>
      </c>
      <c r="AD561" t="n">
        <v>40</v>
      </c>
      <c r="AE561" t="n">
        <v>44</v>
      </c>
      <c r="AF561" t="n">
        <v>15</v>
      </c>
      <c r="AG561" t="n">
        <v>17</v>
      </c>
      <c r="AH561" t="n">
        <v>10</v>
      </c>
      <c r="AI561" t="n">
        <v>10</v>
      </c>
      <c r="AJ561" t="n">
        <v>19</v>
      </c>
      <c r="AK561" t="n">
        <v>21</v>
      </c>
      <c r="AL561" t="n">
        <v>5</v>
      </c>
      <c r="AM561" t="n">
        <v>6</v>
      </c>
      <c r="AN561" t="n">
        <v>0</v>
      </c>
      <c r="AO561" t="n">
        <v>0</v>
      </c>
      <c r="AP561" t="inlineStr">
        <is>
          <t>No</t>
        </is>
      </c>
      <c r="AQ561" t="inlineStr">
        <is>
          <t>Yes</t>
        </is>
      </c>
      <c r="AR561">
        <f>HYPERLINK("http://catalog.hathitrust.org/Record/003148710","HathiTrust Record")</f>
        <v/>
      </c>
      <c r="AS561">
        <f>HYPERLINK("https://creighton-primo.hosted.exlibrisgroup.com/primo-explore/search?tab=default_tab&amp;search_scope=EVERYTHING&amp;vid=01CRU&amp;lang=en_US&amp;offset=0&amp;query=any,contains,991002740739702656","Catalog Record")</f>
        <v/>
      </c>
      <c r="AT561">
        <f>HYPERLINK("http://www.worldcat.org/oclc/35990287","WorldCat Record")</f>
        <v/>
      </c>
      <c r="AU561" t="inlineStr">
        <is>
          <t>796320177:eng</t>
        </is>
      </c>
      <c r="AV561" t="inlineStr">
        <is>
          <t>35990287</t>
        </is>
      </c>
      <c r="AW561" t="inlineStr">
        <is>
          <t>991002740739702656</t>
        </is>
      </c>
      <c r="AX561" t="inlineStr">
        <is>
          <t>991002740739702656</t>
        </is>
      </c>
      <c r="AY561" t="inlineStr">
        <is>
          <t>2264399830002656</t>
        </is>
      </c>
      <c r="AZ561" t="inlineStr">
        <is>
          <t>BOOK</t>
        </is>
      </c>
      <c r="BB561" t="inlineStr">
        <is>
          <t>9780684810201</t>
        </is>
      </c>
      <c r="BC561" t="inlineStr">
        <is>
          <t>32285002607066</t>
        </is>
      </c>
      <c r="BD561" t="inlineStr">
        <is>
          <t>893603955</t>
        </is>
      </c>
    </row>
    <row r="562">
      <c r="A562" t="inlineStr">
        <is>
          <t>No</t>
        </is>
      </c>
      <c r="B562" t="inlineStr">
        <is>
          <t>QB981 .F7413 1984</t>
        </is>
      </c>
      <c r="C562" t="inlineStr">
        <is>
          <t>0                      QB 0981000F  7413        1984</t>
        </is>
      </c>
      <c r="D562" t="inlineStr">
        <is>
          <t>The creation of matter : the universe from beginning to end / Harald Fritzsch ; translated by Jean Steinberg.</t>
        </is>
      </c>
      <c r="F562" t="inlineStr">
        <is>
          <t>No</t>
        </is>
      </c>
      <c r="G562" t="inlineStr">
        <is>
          <t>1</t>
        </is>
      </c>
      <c r="H562" t="inlineStr">
        <is>
          <t>No</t>
        </is>
      </c>
      <c r="I562" t="inlineStr">
        <is>
          <t>No</t>
        </is>
      </c>
      <c r="J562" t="inlineStr">
        <is>
          <t>0</t>
        </is>
      </c>
      <c r="K562" t="inlineStr">
        <is>
          <t>Fritzsch, Harald, 1943-</t>
        </is>
      </c>
      <c r="L562" t="inlineStr">
        <is>
          <t>New York : Basic Books, c1984.</t>
        </is>
      </c>
      <c r="M562" t="inlineStr">
        <is>
          <t>1984</t>
        </is>
      </c>
      <c r="O562" t="inlineStr">
        <is>
          <t>eng</t>
        </is>
      </c>
      <c r="P562" t="inlineStr">
        <is>
          <t>nyu</t>
        </is>
      </c>
      <c r="R562" t="inlineStr">
        <is>
          <t xml:space="preserve">QB </t>
        </is>
      </c>
      <c r="S562" t="n">
        <v>2</v>
      </c>
      <c r="T562" t="n">
        <v>2</v>
      </c>
      <c r="U562" t="inlineStr">
        <is>
          <t>1994-04-02</t>
        </is>
      </c>
      <c r="V562" t="inlineStr">
        <is>
          <t>1994-04-02</t>
        </is>
      </c>
      <c r="W562" t="inlineStr">
        <is>
          <t>1992-11-24</t>
        </is>
      </c>
      <c r="X562" t="inlineStr">
        <is>
          <t>1992-11-24</t>
        </is>
      </c>
      <c r="Y562" t="n">
        <v>896</v>
      </c>
      <c r="Z562" t="n">
        <v>823</v>
      </c>
      <c r="AA562" t="n">
        <v>830</v>
      </c>
      <c r="AB562" t="n">
        <v>4</v>
      </c>
      <c r="AC562" t="n">
        <v>4</v>
      </c>
      <c r="AD562" t="n">
        <v>18</v>
      </c>
      <c r="AE562" t="n">
        <v>18</v>
      </c>
      <c r="AF562" t="n">
        <v>9</v>
      </c>
      <c r="AG562" t="n">
        <v>9</v>
      </c>
      <c r="AH562" t="n">
        <v>4</v>
      </c>
      <c r="AI562" t="n">
        <v>4</v>
      </c>
      <c r="AJ562" t="n">
        <v>9</v>
      </c>
      <c r="AK562" t="n">
        <v>9</v>
      </c>
      <c r="AL562" t="n">
        <v>1</v>
      </c>
      <c r="AM562" t="n">
        <v>1</v>
      </c>
      <c r="AN562" t="n">
        <v>0</v>
      </c>
      <c r="AO562" t="n">
        <v>0</v>
      </c>
      <c r="AP562" t="inlineStr">
        <is>
          <t>No</t>
        </is>
      </c>
      <c r="AQ562" t="inlineStr">
        <is>
          <t>Yes</t>
        </is>
      </c>
      <c r="AR562">
        <f>HYPERLINK("http://catalog.hathitrust.org/Record/000291779","HathiTrust Record")</f>
        <v/>
      </c>
      <c r="AS562">
        <f>HYPERLINK("https://creighton-primo.hosted.exlibrisgroup.com/primo-explore/search?tab=default_tab&amp;search_scope=EVERYTHING&amp;vid=01CRU&amp;lang=en_US&amp;offset=0&amp;query=any,contains,991000548849702656","Catalog Record")</f>
        <v/>
      </c>
      <c r="AT562">
        <f>HYPERLINK("http://www.worldcat.org/oclc/11523835","WorldCat Record")</f>
        <v/>
      </c>
      <c r="AU562" t="inlineStr">
        <is>
          <t>3768423650:eng</t>
        </is>
      </c>
      <c r="AV562" t="inlineStr">
        <is>
          <t>11523835</t>
        </is>
      </c>
      <c r="AW562" t="inlineStr">
        <is>
          <t>991000548849702656</t>
        </is>
      </c>
      <c r="AX562" t="inlineStr">
        <is>
          <t>991000548849702656</t>
        </is>
      </c>
      <c r="AY562" t="inlineStr">
        <is>
          <t>2268226220002656</t>
        </is>
      </c>
      <c r="AZ562" t="inlineStr">
        <is>
          <t>BOOK</t>
        </is>
      </c>
      <c r="BB562" t="inlineStr">
        <is>
          <t>9780465014460</t>
        </is>
      </c>
      <c r="BC562" t="inlineStr">
        <is>
          <t>32285001450104</t>
        </is>
      </c>
      <c r="BD562" t="inlineStr">
        <is>
          <t>893871776</t>
        </is>
      </c>
    </row>
    <row r="563">
      <c r="A563" t="inlineStr">
        <is>
          <t>No</t>
        </is>
      </c>
      <c r="B563" t="inlineStr">
        <is>
          <t>QB981 .G3 1961</t>
        </is>
      </c>
      <c r="C563" t="inlineStr">
        <is>
          <t>0                      QB 0981000G  3           1961</t>
        </is>
      </c>
      <c r="D563" t="inlineStr">
        <is>
          <t>The creation of the universe.</t>
        </is>
      </c>
      <c r="F563" t="inlineStr">
        <is>
          <t>No</t>
        </is>
      </c>
      <c r="G563" t="inlineStr">
        <is>
          <t>1</t>
        </is>
      </c>
      <c r="H563" t="inlineStr">
        <is>
          <t>No</t>
        </is>
      </c>
      <c r="I563" t="inlineStr">
        <is>
          <t>No</t>
        </is>
      </c>
      <c r="J563" t="inlineStr">
        <is>
          <t>0</t>
        </is>
      </c>
      <c r="K563" t="inlineStr">
        <is>
          <t>Gamow, George, 1904-1968.</t>
        </is>
      </c>
      <c r="L563" t="inlineStr">
        <is>
          <t>New York : Viking Press, [1961]</t>
        </is>
      </c>
      <c r="M563" t="inlineStr">
        <is>
          <t>1961</t>
        </is>
      </c>
      <c r="N563" t="inlineStr">
        <is>
          <t>Rev. ed.</t>
        </is>
      </c>
      <c r="O563" t="inlineStr">
        <is>
          <t>eng</t>
        </is>
      </c>
      <c r="P563" t="inlineStr">
        <is>
          <t>nyu</t>
        </is>
      </c>
      <c r="R563" t="inlineStr">
        <is>
          <t xml:space="preserve">QB </t>
        </is>
      </c>
      <c r="S563" t="n">
        <v>1</v>
      </c>
      <c r="T563" t="n">
        <v>1</v>
      </c>
      <c r="U563" t="inlineStr">
        <is>
          <t>2007-11-14</t>
        </is>
      </c>
      <c r="V563" t="inlineStr">
        <is>
          <t>2007-11-14</t>
        </is>
      </c>
      <c r="W563" t="inlineStr">
        <is>
          <t>1994-05-06</t>
        </is>
      </c>
      <c r="X563" t="inlineStr">
        <is>
          <t>1994-05-06</t>
        </is>
      </c>
      <c r="Y563" t="n">
        <v>720</v>
      </c>
      <c r="Z563" t="n">
        <v>662</v>
      </c>
      <c r="AA563" t="n">
        <v>1087</v>
      </c>
      <c r="AB563" t="n">
        <v>6</v>
      </c>
      <c r="AC563" t="n">
        <v>12</v>
      </c>
      <c r="AD563" t="n">
        <v>17</v>
      </c>
      <c r="AE563" t="n">
        <v>43</v>
      </c>
      <c r="AF563" t="n">
        <v>8</v>
      </c>
      <c r="AG563" t="n">
        <v>16</v>
      </c>
      <c r="AH563" t="n">
        <v>2</v>
      </c>
      <c r="AI563" t="n">
        <v>9</v>
      </c>
      <c r="AJ563" t="n">
        <v>7</v>
      </c>
      <c r="AK563" t="n">
        <v>19</v>
      </c>
      <c r="AL563" t="n">
        <v>4</v>
      </c>
      <c r="AM563" t="n">
        <v>8</v>
      </c>
      <c r="AN563" t="n">
        <v>0</v>
      </c>
      <c r="AO563" t="n">
        <v>1</v>
      </c>
      <c r="AP563" t="inlineStr">
        <is>
          <t>No</t>
        </is>
      </c>
      <c r="AQ563" t="inlineStr">
        <is>
          <t>No</t>
        </is>
      </c>
      <c r="AR563">
        <f>HYPERLINK("http://catalog.hathitrust.org/Record/001477344","HathiTrust Record")</f>
        <v/>
      </c>
      <c r="AS563">
        <f>HYPERLINK("https://creighton-primo.hosted.exlibrisgroup.com/primo-explore/search?tab=default_tab&amp;search_scope=EVERYTHING&amp;vid=01CRU&amp;lang=en_US&amp;offset=0&amp;query=any,contains,991002929809702656","Catalog Record")</f>
        <v/>
      </c>
      <c r="AT563">
        <f>HYPERLINK("http://www.worldcat.org/oclc/530555","WorldCat Record")</f>
        <v/>
      </c>
      <c r="AU563" t="inlineStr">
        <is>
          <t>3768745571:eng</t>
        </is>
      </c>
      <c r="AV563" t="inlineStr">
        <is>
          <t>530555</t>
        </is>
      </c>
      <c r="AW563" t="inlineStr">
        <is>
          <t>991002929809702656</t>
        </is>
      </c>
      <c r="AX563" t="inlineStr">
        <is>
          <t>991002929809702656</t>
        </is>
      </c>
      <c r="AY563" t="inlineStr">
        <is>
          <t>2266598970002656</t>
        </is>
      </c>
      <c r="AZ563" t="inlineStr">
        <is>
          <t>BOOK</t>
        </is>
      </c>
      <c r="BC563" t="inlineStr">
        <is>
          <t>32285001907681</t>
        </is>
      </c>
      <c r="BD563" t="inlineStr">
        <is>
          <t>893710855</t>
        </is>
      </c>
    </row>
    <row r="564">
      <c r="A564" t="inlineStr">
        <is>
          <t>No</t>
        </is>
      </c>
      <c r="B564" t="inlineStr">
        <is>
          <t>QB981 .G57413 2002</t>
        </is>
      </c>
      <c r="C564" t="inlineStr">
        <is>
          <t>0                      QB 0981000G  57413       2002</t>
        </is>
      </c>
      <c r="D564" t="inlineStr">
        <is>
          <t>The prophet and the astronomer : a scientific journey to the end of time / by Marcelo Gleiser.</t>
        </is>
      </c>
      <c r="F564" t="inlineStr">
        <is>
          <t>No</t>
        </is>
      </c>
      <c r="G564" t="inlineStr">
        <is>
          <t>1</t>
        </is>
      </c>
      <c r="H564" t="inlineStr">
        <is>
          <t>No</t>
        </is>
      </c>
      <c r="I564" t="inlineStr">
        <is>
          <t>No</t>
        </is>
      </c>
      <c r="J564" t="inlineStr">
        <is>
          <t>0</t>
        </is>
      </c>
      <c r="K564" t="inlineStr">
        <is>
          <t>Gleiser, Marcelo.</t>
        </is>
      </c>
      <c r="L564" t="inlineStr">
        <is>
          <t>New York : W.W. Norton, c2002.</t>
        </is>
      </c>
      <c r="M564" t="inlineStr">
        <is>
          <t>2002</t>
        </is>
      </c>
      <c r="O564" t="inlineStr">
        <is>
          <t>eng</t>
        </is>
      </c>
      <c r="P564" t="inlineStr">
        <is>
          <t>nyu</t>
        </is>
      </c>
      <c r="R564" t="inlineStr">
        <is>
          <t xml:space="preserve">QB </t>
        </is>
      </c>
      <c r="S564" t="n">
        <v>1</v>
      </c>
      <c r="T564" t="n">
        <v>1</v>
      </c>
      <c r="U564" t="inlineStr">
        <is>
          <t>2002-07-02</t>
        </is>
      </c>
      <c r="V564" t="inlineStr">
        <is>
          <t>2002-07-02</t>
        </is>
      </c>
      <c r="W564" t="inlineStr">
        <is>
          <t>2002-06-27</t>
        </is>
      </c>
      <c r="X564" t="inlineStr">
        <is>
          <t>2002-06-27</t>
        </is>
      </c>
      <c r="Y564" t="n">
        <v>797</v>
      </c>
      <c r="Z564" t="n">
        <v>747</v>
      </c>
      <c r="AA564" t="n">
        <v>804</v>
      </c>
      <c r="AB564" t="n">
        <v>10</v>
      </c>
      <c r="AC564" t="n">
        <v>10</v>
      </c>
      <c r="AD564" t="n">
        <v>18</v>
      </c>
      <c r="AE564" t="n">
        <v>18</v>
      </c>
      <c r="AF564" t="n">
        <v>7</v>
      </c>
      <c r="AG564" t="n">
        <v>7</v>
      </c>
      <c r="AH564" t="n">
        <v>3</v>
      </c>
      <c r="AI564" t="n">
        <v>3</v>
      </c>
      <c r="AJ564" t="n">
        <v>8</v>
      </c>
      <c r="AK564" t="n">
        <v>8</v>
      </c>
      <c r="AL564" t="n">
        <v>3</v>
      </c>
      <c r="AM564" t="n">
        <v>3</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HYPERLINK("https://creighton-primo.hosted.exlibrisgroup.com/primo-explore/search?tab=default_tab&amp;search_scope=EVERYTHING&amp;vid=01CRU&amp;lang=en_US&amp;offset=0&amp;query=any,contains,991003823939702656","Catalog Record")</f>
        <v/>
      </c>
      <c r="AT564">
        <f>HYPERLINK("http://www.worldcat.org/oclc/48811197","WorldCat Record")</f>
        <v/>
      </c>
      <c r="AU564" t="inlineStr">
        <is>
          <t>844396:eng</t>
        </is>
      </c>
      <c r="AV564" t="inlineStr">
        <is>
          <t>48811197</t>
        </is>
      </c>
      <c r="AW564" t="inlineStr">
        <is>
          <t>991003823939702656</t>
        </is>
      </c>
      <c r="AX564" t="inlineStr">
        <is>
          <t>991003823939702656</t>
        </is>
      </c>
      <c r="AY564" t="inlineStr">
        <is>
          <t>2268290040002656</t>
        </is>
      </c>
      <c r="AZ564" t="inlineStr">
        <is>
          <t>BOOK</t>
        </is>
      </c>
      <c r="BB564" t="inlineStr">
        <is>
          <t>9780393049879</t>
        </is>
      </c>
      <c r="BC564" t="inlineStr">
        <is>
          <t>32285004495999</t>
        </is>
      </c>
      <c r="BD564" t="inlineStr">
        <is>
          <t>893234638</t>
        </is>
      </c>
    </row>
    <row r="565">
      <c r="A565" t="inlineStr">
        <is>
          <t>No</t>
        </is>
      </c>
      <c r="B565" t="inlineStr">
        <is>
          <t>QB981 .G594 1995</t>
        </is>
      </c>
      <c r="C565" t="inlineStr">
        <is>
          <t>0                      QB 0981000G  594         1995</t>
        </is>
      </c>
      <c r="D565" t="inlineStr">
        <is>
          <t>Einstein's greatest blunder? : the cosmological constant and other fudge factors in the physics of the Universe / Donald Goldsmith.</t>
        </is>
      </c>
      <c r="F565" t="inlineStr">
        <is>
          <t>No</t>
        </is>
      </c>
      <c r="G565" t="inlineStr">
        <is>
          <t>1</t>
        </is>
      </c>
      <c r="H565" t="inlineStr">
        <is>
          <t>No</t>
        </is>
      </c>
      <c r="I565" t="inlineStr">
        <is>
          <t>No</t>
        </is>
      </c>
      <c r="J565" t="inlineStr">
        <is>
          <t>0</t>
        </is>
      </c>
      <c r="K565" t="inlineStr">
        <is>
          <t>Goldsmith, Donald.</t>
        </is>
      </c>
      <c r="L565" t="inlineStr">
        <is>
          <t>Cambridge, Mass. : Harvard University Press, 1995.</t>
        </is>
      </c>
      <c r="M565" t="inlineStr">
        <is>
          <t>1995</t>
        </is>
      </c>
      <c r="O565" t="inlineStr">
        <is>
          <t>eng</t>
        </is>
      </c>
      <c r="P565" t="inlineStr">
        <is>
          <t>mau</t>
        </is>
      </c>
      <c r="R565" t="inlineStr">
        <is>
          <t xml:space="preserve">QB </t>
        </is>
      </c>
      <c r="S565" t="n">
        <v>6</v>
      </c>
      <c r="T565" t="n">
        <v>6</v>
      </c>
      <c r="U565" t="inlineStr">
        <is>
          <t>2000-10-26</t>
        </is>
      </c>
      <c r="V565" t="inlineStr">
        <is>
          <t>2000-10-26</t>
        </is>
      </c>
      <c r="W565" t="inlineStr">
        <is>
          <t>1996-04-10</t>
        </is>
      </c>
      <c r="X565" t="inlineStr">
        <is>
          <t>1996-04-10</t>
        </is>
      </c>
      <c r="Y565" t="n">
        <v>802</v>
      </c>
      <c r="Z565" t="n">
        <v>708</v>
      </c>
      <c r="AA565" t="n">
        <v>736</v>
      </c>
      <c r="AB565" t="n">
        <v>4</v>
      </c>
      <c r="AC565" t="n">
        <v>4</v>
      </c>
      <c r="AD565" t="n">
        <v>30</v>
      </c>
      <c r="AE565" t="n">
        <v>31</v>
      </c>
      <c r="AF565" t="n">
        <v>11</v>
      </c>
      <c r="AG565" t="n">
        <v>11</v>
      </c>
      <c r="AH565" t="n">
        <v>6</v>
      </c>
      <c r="AI565" t="n">
        <v>7</v>
      </c>
      <c r="AJ565" t="n">
        <v>15</v>
      </c>
      <c r="AK565" t="n">
        <v>15</v>
      </c>
      <c r="AL565" t="n">
        <v>3</v>
      </c>
      <c r="AM565" t="n">
        <v>3</v>
      </c>
      <c r="AN565" t="n">
        <v>0</v>
      </c>
      <c r="AO565" t="n">
        <v>0</v>
      </c>
      <c r="AP565" t="inlineStr">
        <is>
          <t>No</t>
        </is>
      </c>
      <c r="AQ565" t="inlineStr">
        <is>
          <t>Yes</t>
        </is>
      </c>
      <c r="AR565">
        <f>HYPERLINK("http://catalog.hathitrust.org/Record/003001224","HathiTrust Record")</f>
        <v/>
      </c>
      <c r="AS565">
        <f>HYPERLINK("https://creighton-primo.hosted.exlibrisgroup.com/primo-explore/search?tab=default_tab&amp;search_scope=EVERYTHING&amp;vid=01CRU&amp;lang=en_US&amp;offset=0&amp;query=any,contains,991002484629702656","Catalog Record")</f>
        <v/>
      </c>
      <c r="AT565">
        <f>HYPERLINK("http://www.worldcat.org/oclc/32347251","WorldCat Record")</f>
        <v/>
      </c>
      <c r="AU565" t="inlineStr">
        <is>
          <t>836943205:eng</t>
        </is>
      </c>
      <c r="AV565" t="inlineStr">
        <is>
          <t>32347251</t>
        </is>
      </c>
      <c r="AW565" t="inlineStr">
        <is>
          <t>991002484629702656</t>
        </is>
      </c>
      <c r="AX565" t="inlineStr">
        <is>
          <t>991002484629702656</t>
        </is>
      </c>
      <c r="AY565" t="inlineStr">
        <is>
          <t>2261012370002656</t>
        </is>
      </c>
      <c r="AZ565" t="inlineStr">
        <is>
          <t>BOOK</t>
        </is>
      </c>
      <c r="BB565" t="inlineStr">
        <is>
          <t>9780674242418</t>
        </is>
      </c>
      <c r="BC565" t="inlineStr">
        <is>
          <t>32285002151149</t>
        </is>
      </c>
      <c r="BD565" t="inlineStr">
        <is>
          <t>893616184</t>
        </is>
      </c>
    </row>
    <row r="566">
      <c r="A566" t="inlineStr">
        <is>
          <t>No</t>
        </is>
      </c>
      <c r="B566" t="inlineStr">
        <is>
          <t>QB981 .G597 1999</t>
        </is>
      </c>
      <c r="C566" t="inlineStr">
        <is>
          <t>0                      QB 0981000G  597         1999</t>
        </is>
      </c>
      <c r="D566" t="inlineStr">
        <is>
          <t>The runaway universe : the race to find the future of the cosmos / Donald Goldsmith.</t>
        </is>
      </c>
      <c r="F566" t="inlineStr">
        <is>
          <t>No</t>
        </is>
      </c>
      <c r="G566" t="inlineStr">
        <is>
          <t>1</t>
        </is>
      </c>
      <c r="H566" t="inlineStr">
        <is>
          <t>No</t>
        </is>
      </c>
      <c r="I566" t="inlineStr">
        <is>
          <t>No</t>
        </is>
      </c>
      <c r="J566" t="inlineStr">
        <is>
          <t>0</t>
        </is>
      </c>
      <c r="K566" t="inlineStr">
        <is>
          <t>Goldsmith, Donald.</t>
        </is>
      </c>
      <c r="L566" t="inlineStr">
        <is>
          <t>Cambridge, Mass. : Perseus Books, 1999, c2000.</t>
        </is>
      </c>
      <c r="M566" t="inlineStr">
        <is>
          <t>1999</t>
        </is>
      </c>
      <c r="O566" t="inlineStr">
        <is>
          <t>eng</t>
        </is>
      </c>
      <c r="P566" t="inlineStr">
        <is>
          <t>mau</t>
        </is>
      </c>
      <c r="R566" t="inlineStr">
        <is>
          <t xml:space="preserve">QB </t>
        </is>
      </c>
      <c r="S566" t="n">
        <v>1</v>
      </c>
      <c r="T566" t="n">
        <v>1</v>
      </c>
      <c r="U566" t="inlineStr">
        <is>
          <t>2010-11-29</t>
        </is>
      </c>
      <c r="V566" t="inlineStr">
        <is>
          <t>2010-11-29</t>
        </is>
      </c>
      <c r="W566" t="inlineStr">
        <is>
          <t>2000-02-14</t>
        </is>
      </c>
      <c r="X566" t="inlineStr">
        <is>
          <t>2000-02-14</t>
        </is>
      </c>
      <c r="Y566" t="n">
        <v>678</v>
      </c>
      <c r="Z566" t="n">
        <v>609</v>
      </c>
      <c r="AA566" t="n">
        <v>638</v>
      </c>
      <c r="AB566" t="n">
        <v>5</v>
      </c>
      <c r="AC566" t="n">
        <v>5</v>
      </c>
      <c r="AD566" t="n">
        <v>19</v>
      </c>
      <c r="AE566" t="n">
        <v>19</v>
      </c>
      <c r="AF566" t="n">
        <v>5</v>
      </c>
      <c r="AG566" t="n">
        <v>5</v>
      </c>
      <c r="AH566" t="n">
        <v>5</v>
      </c>
      <c r="AI566" t="n">
        <v>5</v>
      </c>
      <c r="AJ566" t="n">
        <v>9</v>
      </c>
      <c r="AK566" t="n">
        <v>9</v>
      </c>
      <c r="AL566" t="n">
        <v>4</v>
      </c>
      <c r="AM566" t="n">
        <v>4</v>
      </c>
      <c r="AN566" t="n">
        <v>0</v>
      </c>
      <c r="AO566" t="n">
        <v>0</v>
      </c>
      <c r="AP566" t="inlineStr">
        <is>
          <t>No</t>
        </is>
      </c>
      <c r="AQ566" t="inlineStr">
        <is>
          <t>Yes</t>
        </is>
      </c>
      <c r="AR566">
        <f>HYPERLINK("http://catalog.hathitrust.org/Record/004071240","HathiTrust Record")</f>
        <v/>
      </c>
      <c r="AS566">
        <f>HYPERLINK("https://creighton-primo.hosted.exlibrisgroup.com/primo-explore/search?tab=default_tab&amp;search_scope=EVERYTHING&amp;vid=01CRU&amp;lang=en_US&amp;offset=0&amp;query=any,contains,991003052519702656","Catalog Record")</f>
        <v/>
      </c>
      <c r="AT566">
        <f>HYPERLINK("http://www.worldcat.org/oclc/43336503","WorldCat Record")</f>
        <v/>
      </c>
      <c r="AU566" t="inlineStr">
        <is>
          <t>802545999:eng</t>
        </is>
      </c>
      <c r="AV566" t="inlineStr">
        <is>
          <t>43336503</t>
        </is>
      </c>
      <c r="AW566" t="inlineStr">
        <is>
          <t>991003052519702656</t>
        </is>
      </c>
      <c r="AX566" t="inlineStr">
        <is>
          <t>991003052519702656</t>
        </is>
      </c>
      <c r="AY566" t="inlineStr">
        <is>
          <t>2272410680002656</t>
        </is>
      </c>
      <c r="AZ566" t="inlineStr">
        <is>
          <t>BOOK</t>
        </is>
      </c>
      <c r="BB566" t="inlineStr">
        <is>
          <t>9780738200682</t>
        </is>
      </c>
      <c r="BC566" t="inlineStr">
        <is>
          <t>32285003661773</t>
        </is>
      </c>
      <c r="BD566" t="inlineStr">
        <is>
          <t>893434608</t>
        </is>
      </c>
    </row>
    <row r="567">
      <c r="A567" t="inlineStr">
        <is>
          <t>No</t>
        </is>
      </c>
      <c r="B567" t="inlineStr">
        <is>
          <t>QB981 .G664 1994</t>
        </is>
      </c>
      <c r="C567" t="inlineStr">
        <is>
          <t>0                      QB 0981000G  664         1994</t>
        </is>
      </c>
      <c r="D567" t="inlineStr">
        <is>
          <t>Planets, stars, and orbs : the medieval cosmos, 1200-1687 / Edward Grant.</t>
        </is>
      </c>
      <c r="F567" t="inlineStr">
        <is>
          <t>No</t>
        </is>
      </c>
      <c r="G567" t="inlineStr">
        <is>
          <t>1</t>
        </is>
      </c>
      <c r="H567" t="inlineStr">
        <is>
          <t>No</t>
        </is>
      </c>
      <c r="I567" t="inlineStr">
        <is>
          <t>No</t>
        </is>
      </c>
      <c r="J567" t="inlineStr">
        <is>
          <t>0</t>
        </is>
      </c>
      <c r="K567" t="inlineStr">
        <is>
          <t>Grant, Edward, 1926-</t>
        </is>
      </c>
      <c r="L567" t="inlineStr">
        <is>
          <t>Cambridge [England] ; New York : Cambridge University Press, 1994.</t>
        </is>
      </c>
      <c r="M567" t="inlineStr">
        <is>
          <t>1994</t>
        </is>
      </c>
      <c r="O567" t="inlineStr">
        <is>
          <t>eng</t>
        </is>
      </c>
      <c r="P567" t="inlineStr">
        <is>
          <t>enk</t>
        </is>
      </c>
      <c r="R567" t="inlineStr">
        <is>
          <t xml:space="preserve">QB </t>
        </is>
      </c>
      <c r="S567" t="n">
        <v>6</v>
      </c>
      <c r="T567" t="n">
        <v>6</v>
      </c>
      <c r="U567" t="inlineStr">
        <is>
          <t>1999-10-25</t>
        </is>
      </c>
      <c r="V567" t="inlineStr">
        <is>
          <t>1999-10-25</t>
        </is>
      </c>
      <c r="W567" t="inlineStr">
        <is>
          <t>1994-06-28</t>
        </is>
      </c>
      <c r="X567" t="inlineStr">
        <is>
          <t>1994-06-28</t>
        </is>
      </c>
      <c r="Y567" t="n">
        <v>488</v>
      </c>
      <c r="Z567" t="n">
        <v>364</v>
      </c>
      <c r="AA567" t="n">
        <v>423</v>
      </c>
      <c r="AB567" t="n">
        <v>3</v>
      </c>
      <c r="AC567" t="n">
        <v>3</v>
      </c>
      <c r="AD567" t="n">
        <v>23</v>
      </c>
      <c r="AE567" t="n">
        <v>24</v>
      </c>
      <c r="AF567" t="n">
        <v>5</v>
      </c>
      <c r="AG567" t="n">
        <v>5</v>
      </c>
      <c r="AH567" t="n">
        <v>8</v>
      </c>
      <c r="AI567" t="n">
        <v>8</v>
      </c>
      <c r="AJ567" t="n">
        <v>15</v>
      </c>
      <c r="AK567" t="n">
        <v>16</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HYPERLINK("https://creighton-primo.hosted.exlibrisgroup.com/primo-explore/search?tab=default_tab&amp;search_scope=EVERYTHING&amp;vid=01CRU&amp;lang=en_US&amp;offset=0&amp;query=any,contains,991002205649702656","Catalog Record")</f>
        <v/>
      </c>
      <c r="AT567">
        <f>HYPERLINK("http://www.worldcat.org/oclc/28376647","WorldCat Record")</f>
        <v/>
      </c>
      <c r="AU567" t="inlineStr">
        <is>
          <t>807498847:eng</t>
        </is>
      </c>
      <c r="AV567" t="inlineStr">
        <is>
          <t>28376647</t>
        </is>
      </c>
      <c r="AW567" t="inlineStr">
        <is>
          <t>991002205649702656</t>
        </is>
      </c>
      <c r="AX567" t="inlineStr">
        <is>
          <t>991002205649702656</t>
        </is>
      </c>
      <c r="AY567" t="inlineStr">
        <is>
          <t>2256893310002656</t>
        </is>
      </c>
      <c r="AZ567" t="inlineStr">
        <is>
          <t>BOOK</t>
        </is>
      </c>
      <c r="BB567" t="inlineStr">
        <is>
          <t>9780521433440</t>
        </is>
      </c>
      <c r="BC567" t="inlineStr">
        <is>
          <t>32285001924678</t>
        </is>
      </c>
      <c r="BD567" t="inlineStr">
        <is>
          <t>893597141</t>
        </is>
      </c>
    </row>
    <row r="568">
      <c r="A568" t="inlineStr">
        <is>
          <t>No</t>
        </is>
      </c>
      <c r="B568" t="inlineStr">
        <is>
          <t>QB981 .G746 1988</t>
        </is>
      </c>
      <c r="C568" t="inlineStr">
        <is>
          <t>0                      QB 0981000G  746         1988</t>
        </is>
      </c>
      <c r="D568" t="inlineStr">
        <is>
          <t>The symbiotic universe : life and mind in the cosmos / George Greenstein ; illustrations by Dolores R. Santoliquido.</t>
        </is>
      </c>
      <c r="F568" t="inlineStr">
        <is>
          <t>No</t>
        </is>
      </c>
      <c r="G568" t="inlineStr">
        <is>
          <t>1</t>
        </is>
      </c>
      <c r="H568" t="inlineStr">
        <is>
          <t>No</t>
        </is>
      </c>
      <c r="I568" t="inlineStr">
        <is>
          <t>No</t>
        </is>
      </c>
      <c r="J568" t="inlineStr">
        <is>
          <t>0</t>
        </is>
      </c>
      <c r="K568" t="inlineStr">
        <is>
          <t>Greenstein, George, 1940-</t>
        </is>
      </c>
      <c r="L568" t="inlineStr">
        <is>
          <t>New York : Morrow, c1988.</t>
        </is>
      </c>
      <c r="M568" t="inlineStr">
        <is>
          <t>1988</t>
        </is>
      </c>
      <c r="N568" t="inlineStr">
        <is>
          <t>1st ed.</t>
        </is>
      </c>
      <c r="O568" t="inlineStr">
        <is>
          <t>eng</t>
        </is>
      </c>
      <c r="P568" t="inlineStr">
        <is>
          <t>nyu</t>
        </is>
      </c>
      <c r="R568" t="inlineStr">
        <is>
          <t xml:space="preserve">QB </t>
        </is>
      </c>
      <c r="S568" t="n">
        <v>4</v>
      </c>
      <c r="T568" t="n">
        <v>4</v>
      </c>
      <c r="U568" t="inlineStr">
        <is>
          <t>1996-02-25</t>
        </is>
      </c>
      <c r="V568" t="inlineStr">
        <is>
          <t>1996-02-25</t>
        </is>
      </c>
      <c r="W568" t="inlineStr">
        <is>
          <t>1992-05-12</t>
        </is>
      </c>
      <c r="X568" t="inlineStr">
        <is>
          <t>1992-05-12</t>
        </is>
      </c>
      <c r="Y568" t="n">
        <v>785</v>
      </c>
      <c r="Z568" t="n">
        <v>742</v>
      </c>
      <c r="AA568" t="n">
        <v>802</v>
      </c>
      <c r="AB568" t="n">
        <v>3</v>
      </c>
      <c r="AC568" t="n">
        <v>3</v>
      </c>
      <c r="AD568" t="n">
        <v>18</v>
      </c>
      <c r="AE568" t="n">
        <v>20</v>
      </c>
      <c r="AF568" t="n">
        <v>7</v>
      </c>
      <c r="AG568" t="n">
        <v>8</v>
      </c>
      <c r="AH568" t="n">
        <v>3</v>
      </c>
      <c r="AI568" t="n">
        <v>3</v>
      </c>
      <c r="AJ568" t="n">
        <v>10</v>
      </c>
      <c r="AK568" t="n">
        <v>12</v>
      </c>
      <c r="AL568" t="n">
        <v>1</v>
      </c>
      <c r="AM568" t="n">
        <v>1</v>
      </c>
      <c r="AN568" t="n">
        <v>0</v>
      </c>
      <c r="AO568" t="n">
        <v>0</v>
      </c>
      <c r="AP568" t="inlineStr">
        <is>
          <t>No</t>
        </is>
      </c>
      <c r="AQ568" t="inlineStr">
        <is>
          <t>Yes</t>
        </is>
      </c>
      <c r="AR568">
        <f>HYPERLINK("http://catalog.hathitrust.org/Record/000844027","HathiTrust Record")</f>
        <v/>
      </c>
      <c r="AS568">
        <f>HYPERLINK("https://creighton-primo.hosted.exlibrisgroup.com/primo-explore/search?tab=default_tab&amp;search_scope=EVERYTHING&amp;vid=01CRU&amp;lang=en_US&amp;offset=0&amp;query=any,contains,991001091729702656","Catalog Record")</f>
        <v/>
      </c>
      <c r="AT568">
        <f>HYPERLINK("http://www.worldcat.org/oclc/16224995","WorldCat Record")</f>
        <v/>
      </c>
      <c r="AU568" t="inlineStr">
        <is>
          <t>196620885:eng</t>
        </is>
      </c>
      <c r="AV568" t="inlineStr">
        <is>
          <t>16224995</t>
        </is>
      </c>
      <c r="AW568" t="inlineStr">
        <is>
          <t>991001091729702656</t>
        </is>
      </c>
      <c r="AX568" t="inlineStr">
        <is>
          <t>991001091729702656</t>
        </is>
      </c>
      <c r="AY568" t="inlineStr">
        <is>
          <t>2268210050002656</t>
        </is>
      </c>
      <c r="AZ568" t="inlineStr">
        <is>
          <t>BOOK</t>
        </is>
      </c>
      <c r="BB568" t="inlineStr">
        <is>
          <t>9780688076047</t>
        </is>
      </c>
      <c r="BC568" t="inlineStr">
        <is>
          <t>32285001108397</t>
        </is>
      </c>
      <c r="BD568" t="inlineStr">
        <is>
          <t>893528652</t>
        </is>
      </c>
    </row>
    <row r="569">
      <c r="A569" t="inlineStr">
        <is>
          <t>No</t>
        </is>
      </c>
      <c r="B569" t="inlineStr">
        <is>
          <t>QB981 .G755 1991</t>
        </is>
      </c>
      <c r="C569" t="inlineStr">
        <is>
          <t>0                      QB 0981000G  755         1991</t>
        </is>
      </c>
      <c r="D569" t="inlineStr">
        <is>
          <t>Cosmic coincidences : dark matter, mankind and anthropic cosmology / John Gribbin &amp; Martin Rees.</t>
        </is>
      </c>
      <c r="F569" t="inlineStr">
        <is>
          <t>No</t>
        </is>
      </c>
      <c r="G569" t="inlineStr">
        <is>
          <t>1</t>
        </is>
      </c>
      <c r="H569" t="inlineStr">
        <is>
          <t>No</t>
        </is>
      </c>
      <c r="I569" t="inlineStr">
        <is>
          <t>No</t>
        </is>
      </c>
      <c r="J569" t="inlineStr">
        <is>
          <t>0</t>
        </is>
      </c>
      <c r="K569" t="inlineStr">
        <is>
          <t>Gribbin, John, 1946-</t>
        </is>
      </c>
      <c r="L569" t="inlineStr">
        <is>
          <t>London : Black Swan, 1991.</t>
        </is>
      </c>
      <c r="M569" t="inlineStr">
        <is>
          <t>1991</t>
        </is>
      </c>
      <c r="O569" t="inlineStr">
        <is>
          <t>eng</t>
        </is>
      </c>
      <c r="P569" t="inlineStr">
        <is>
          <t>enk</t>
        </is>
      </c>
      <c r="R569" t="inlineStr">
        <is>
          <t xml:space="preserve">QB </t>
        </is>
      </c>
      <c r="S569" t="n">
        <v>3</v>
      </c>
      <c r="T569" t="n">
        <v>3</v>
      </c>
      <c r="U569" t="inlineStr">
        <is>
          <t>2007-11-17</t>
        </is>
      </c>
      <c r="V569" t="inlineStr">
        <is>
          <t>2007-11-17</t>
        </is>
      </c>
      <c r="W569" t="inlineStr">
        <is>
          <t>1993-01-19</t>
        </is>
      </c>
      <c r="X569" t="inlineStr">
        <is>
          <t>1993-01-19</t>
        </is>
      </c>
      <c r="Y569" t="n">
        <v>17</v>
      </c>
      <c r="Z569" t="n">
        <v>1</v>
      </c>
      <c r="AA569" t="n">
        <v>383</v>
      </c>
      <c r="AB569" t="n">
        <v>1</v>
      </c>
      <c r="AC569" t="n">
        <v>2</v>
      </c>
      <c r="AD569" t="n">
        <v>0</v>
      </c>
      <c r="AE569" t="n">
        <v>7</v>
      </c>
      <c r="AF569" t="n">
        <v>0</v>
      </c>
      <c r="AG569" t="n">
        <v>2</v>
      </c>
      <c r="AH569" t="n">
        <v>0</v>
      </c>
      <c r="AI569" t="n">
        <v>3</v>
      </c>
      <c r="AJ569" t="n">
        <v>0</v>
      </c>
      <c r="AK569" t="n">
        <v>3</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HYPERLINK("https://creighton-primo.hosted.exlibrisgroup.com/primo-explore/search?tab=default_tab&amp;search_scope=EVERYTHING&amp;vid=01CRU&amp;lang=en_US&amp;offset=0&amp;query=any,contains,991001955209702656","Catalog Record")</f>
        <v/>
      </c>
      <c r="AT569">
        <f>HYPERLINK("http://www.worldcat.org/oclc/24719926","WorldCat Record")</f>
        <v/>
      </c>
      <c r="AU569" t="inlineStr">
        <is>
          <t>11303706:eng</t>
        </is>
      </c>
      <c r="AV569" t="inlineStr">
        <is>
          <t>24719926</t>
        </is>
      </c>
      <c r="AW569" t="inlineStr">
        <is>
          <t>991001955209702656</t>
        </is>
      </c>
      <c r="AX569" t="inlineStr">
        <is>
          <t>991001955209702656</t>
        </is>
      </c>
      <c r="AY569" t="inlineStr">
        <is>
          <t>2269769250002656</t>
        </is>
      </c>
      <c r="AZ569" t="inlineStr">
        <is>
          <t>BOOK</t>
        </is>
      </c>
      <c r="BB569" t="inlineStr">
        <is>
          <t>9780552994439</t>
        </is>
      </c>
      <c r="BC569" t="inlineStr">
        <is>
          <t>32285001446870</t>
        </is>
      </c>
      <c r="BD569" t="inlineStr">
        <is>
          <t>893352081</t>
        </is>
      </c>
    </row>
    <row r="570">
      <c r="A570" t="inlineStr">
        <is>
          <t>No</t>
        </is>
      </c>
      <c r="B570" t="inlineStr">
        <is>
          <t>QB981 .H27 1997</t>
        </is>
      </c>
      <c r="C570" t="inlineStr">
        <is>
          <t>0                      QB 0981000H  27          1997</t>
        </is>
      </c>
      <c r="D570" t="inlineStr">
        <is>
          <t>The structure of the universe / Paul Halpern ; foreword by Bruce Gregory.</t>
        </is>
      </c>
      <c r="F570" t="inlineStr">
        <is>
          <t>No</t>
        </is>
      </c>
      <c r="G570" t="inlineStr">
        <is>
          <t>1</t>
        </is>
      </c>
      <c r="H570" t="inlineStr">
        <is>
          <t>No</t>
        </is>
      </c>
      <c r="I570" t="inlineStr">
        <is>
          <t>No</t>
        </is>
      </c>
      <c r="J570" t="inlineStr">
        <is>
          <t>0</t>
        </is>
      </c>
      <c r="K570" t="inlineStr">
        <is>
          <t>Halpern, Paul, 1961-</t>
        </is>
      </c>
      <c r="L570" t="inlineStr">
        <is>
          <t>New York : H. Holt and Co., 1997.</t>
        </is>
      </c>
      <c r="M570" t="inlineStr">
        <is>
          <t>1997</t>
        </is>
      </c>
      <c r="N570" t="inlineStr">
        <is>
          <t>1st ed.</t>
        </is>
      </c>
      <c r="O570" t="inlineStr">
        <is>
          <t>eng</t>
        </is>
      </c>
      <c r="P570" t="inlineStr">
        <is>
          <t>nyu</t>
        </is>
      </c>
      <c r="Q570" t="inlineStr">
        <is>
          <t>A scientific American focus book</t>
        </is>
      </c>
      <c r="R570" t="inlineStr">
        <is>
          <t xml:space="preserve">QB </t>
        </is>
      </c>
      <c r="S570" t="n">
        <v>1</v>
      </c>
      <c r="T570" t="n">
        <v>1</v>
      </c>
      <c r="U570" t="inlineStr">
        <is>
          <t>1997-07-07</t>
        </is>
      </c>
      <c r="V570" t="inlineStr">
        <is>
          <t>1997-07-07</t>
        </is>
      </c>
      <c r="W570" t="inlineStr">
        <is>
          <t>1997-06-18</t>
        </is>
      </c>
      <c r="X570" t="inlineStr">
        <is>
          <t>1997-06-18</t>
        </is>
      </c>
      <c r="Y570" t="n">
        <v>187</v>
      </c>
      <c r="Z570" t="n">
        <v>174</v>
      </c>
      <c r="AA570" t="n">
        <v>185</v>
      </c>
      <c r="AB570" t="n">
        <v>3</v>
      </c>
      <c r="AC570" t="n">
        <v>3</v>
      </c>
      <c r="AD570" t="n">
        <v>5</v>
      </c>
      <c r="AE570" t="n">
        <v>5</v>
      </c>
      <c r="AF570" t="n">
        <v>1</v>
      </c>
      <c r="AG570" t="n">
        <v>1</v>
      </c>
      <c r="AH570" t="n">
        <v>2</v>
      </c>
      <c r="AI570" t="n">
        <v>2</v>
      </c>
      <c r="AJ570" t="n">
        <v>3</v>
      </c>
      <c r="AK570" t="n">
        <v>3</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HYPERLINK("https://creighton-primo.hosted.exlibrisgroup.com/primo-explore/search?tab=default_tab&amp;search_scope=EVERYTHING&amp;vid=01CRU&amp;lang=en_US&amp;offset=0&amp;query=any,contains,991002705799702656","Catalog Record")</f>
        <v/>
      </c>
      <c r="AT570">
        <f>HYPERLINK("http://www.worldcat.org/oclc/35318981","WorldCat Record")</f>
        <v/>
      </c>
      <c r="AU570" t="inlineStr">
        <is>
          <t>34954446:eng</t>
        </is>
      </c>
      <c r="AV570" t="inlineStr">
        <is>
          <t>35318981</t>
        </is>
      </c>
      <c r="AW570" t="inlineStr">
        <is>
          <t>991002705799702656</t>
        </is>
      </c>
      <c r="AX570" t="inlineStr">
        <is>
          <t>991002705799702656</t>
        </is>
      </c>
      <c r="AY570" t="inlineStr">
        <is>
          <t>2256708960002656</t>
        </is>
      </c>
      <c r="AZ570" t="inlineStr">
        <is>
          <t>BOOK</t>
        </is>
      </c>
      <c r="BB570" t="inlineStr">
        <is>
          <t>9780805040289</t>
        </is>
      </c>
      <c r="BC570" t="inlineStr">
        <is>
          <t>32285002752367</t>
        </is>
      </c>
      <c r="BD570" t="inlineStr">
        <is>
          <t>893347825</t>
        </is>
      </c>
    </row>
    <row r="571">
      <c r="A571" t="inlineStr">
        <is>
          <t>No</t>
        </is>
      </c>
      <c r="B571" t="inlineStr">
        <is>
          <t>QB981 .H4513 1982</t>
        </is>
      </c>
      <c r="C571" t="inlineStr">
        <is>
          <t>0                      QB 0981000H  4513        1982</t>
        </is>
      </c>
      <c r="D571" t="inlineStr">
        <is>
          <t>Encountering the universe / Michael Heller ; translated by A. Potocki ; edited by George W. Collins.</t>
        </is>
      </c>
      <c r="F571" t="inlineStr">
        <is>
          <t>No</t>
        </is>
      </c>
      <c r="G571" t="inlineStr">
        <is>
          <t>1</t>
        </is>
      </c>
      <c r="H571" t="inlineStr">
        <is>
          <t>No</t>
        </is>
      </c>
      <c r="I571" t="inlineStr">
        <is>
          <t>No</t>
        </is>
      </c>
      <c r="J571" t="inlineStr">
        <is>
          <t>0</t>
        </is>
      </c>
      <c r="K571" t="inlineStr">
        <is>
          <t>Heller, Michał.</t>
        </is>
      </c>
      <c r="L571" t="inlineStr">
        <is>
          <t>Tucson, Ariz. : Pachart Pub. House, c1982.</t>
        </is>
      </c>
      <c r="M571" t="inlineStr">
        <is>
          <t>1982</t>
        </is>
      </c>
      <c r="O571" t="inlineStr">
        <is>
          <t>eng</t>
        </is>
      </c>
      <c r="P571" t="inlineStr">
        <is>
          <t>azu</t>
        </is>
      </c>
      <c r="Q571" t="inlineStr">
        <is>
          <t>The astronomy quarterly library ; 2</t>
        </is>
      </c>
      <c r="R571" t="inlineStr">
        <is>
          <t xml:space="preserve">QB </t>
        </is>
      </c>
      <c r="S571" t="n">
        <v>5</v>
      </c>
      <c r="T571" t="n">
        <v>5</v>
      </c>
      <c r="U571" t="inlineStr">
        <is>
          <t>1999-08-09</t>
        </is>
      </c>
      <c r="V571" t="inlineStr">
        <is>
          <t>1999-08-09</t>
        </is>
      </c>
      <c r="W571" t="inlineStr">
        <is>
          <t>1990-07-25</t>
        </is>
      </c>
      <c r="X571" t="inlineStr">
        <is>
          <t>1990-07-25</t>
        </is>
      </c>
      <c r="Y571" t="n">
        <v>96</v>
      </c>
      <c r="Z571" t="n">
        <v>76</v>
      </c>
      <c r="AA571" t="n">
        <v>78</v>
      </c>
      <c r="AB571" t="n">
        <v>1</v>
      </c>
      <c r="AC571" t="n">
        <v>1</v>
      </c>
      <c r="AD571" t="n">
        <v>3</v>
      </c>
      <c r="AE571" t="n">
        <v>3</v>
      </c>
      <c r="AF571" t="n">
        <v>0</v>
      </c>
      <c r="AG571" t="n">
        <v>0</v>
      </c>
      <c r="AH571" t="n">
        <v>2</v>
      </c>
      <c r="AI571" t="n">
        <v>2</v>
      </c>
      <c r="AJ571" t="n">
        <v>2</v>
      </c>
      <c r="AK571" t="n">
        <v>2</v>
      </c>
      <c r="AL571" t="n">
        <v>0</v>
      </c>
      <c r="AM571" t="n">
        <v>0</v>
      </c>
      <c r="AN571" t="n">
        <v>0</v>
      </c>
      <c r="AO571" t="n">
        <v>0</v>
      </c>
      <c r="AP571" t="inlineStr">
        <is>
          <t>No</t>
        </is>
      </c>
      <c r="AQ571" t="inlineStr">
        <is>
          <t>Yes</t>
        </is>
      </c>
      <c r="AR571">
        <f>HYPERLINK("http://catalog.hathitrust.org/Record/006255925","HathiTrust Record")</f>
        <v/>
      </c>
      <c r="AS571">
        <f>HYPERLINK("https://creighton-primo.hosted.exlibrisgroup.com/primo-explore/search?tab=default_tab&amp;search_scope=EVERYTHING&amp;vid=01CRU&amp;lang=en_US&amp;offset=0&amp;query=any,contains,991000169589702656","Catalog Record")</f>
        <v/>
      </c>
      <c r="AT571">
        <f>HYPERLINK("http://www.worldcat.org/oclc/9323022","WorldCat Record")</f>
        <v/>
      </c>
      <c r="AU571" t="inlineStr">
        <is>
          <t>905751425:eng</t>
        </is>
      </c>
      <c r="AV571" t="inlineStr">
        <is>
          <t>9323022</t>
        </is>
      </c>
      <c r="AW571" t="inlineStr">
        <is>
          <t>991000169589702656</t>
        </is>
      </c>
      <c r="AX571" t="inlineStr">
        <is>
          <t>991000169589702656</t>
        </is>
      </c>
      <c r="AY571" t="inlineStr">
        <is>
          <t>2257855840002656</t>
        </is>
      </c>
      <c r="AZ571" t="inlineStr">
        <is>
          <t>BOOK</t>
        </is>
      </c>
      <c r="BB571" t="inlineStr">
        <is>
          <t>9780912918075</t>
        </is>
      </c>
      <c r="BC571" t="inlineStr">
        <is>
          <t>32285000240225</t>
        </is>
      </c>
      <c r="BD571" t="inlineStr">
        <is>
          <t>893896674</t>
        </is>
      </c>
    </row>
    <row r="572">
      <c r="A572" t="inlineStr">
        <is>
          <t>No</t>
        </is>
      </c>
      <c r="B572" t="inlineStr">
        <is>
          <t>QB981 .H46 1996</t>
        </is>
      </c>
      <c r="C572" t="inlineStr">
        <is>
          <t>0                      QB 0981000H  46          1996</t>
        </is>
      </c>
      <c r="D572" t="inlineStr">
        <is>
          <t>Lemaître, big bang, and the quantum universe : with his original manuscript / Michael Heller.</t>
        </is>
      </c>
      <c r="F572" t="inlineStr">
        <is>
          <t>No</t>
        </is>
      </c>
      <c r="G572" t="inlineStr">
        <is>
          <t>1</t>
        </is>
      </c>
      <c r="H572" t="inlineStr">
        <is>
          <t>No</t>
        </is>
      </c>
      <c r="I572" t="inlineStr">
        <is>
          <t>No</t>
        </is>
      </c>
      <c r="J572" t="inlineStr">
        <is>
          <t>0</t>
        </is>
      </c>
      <c r="K572" t="inlineStr">
        <is>
          <t>Heller, Michał.</t>
        </is>
      </c>
      <c r="L572" t="inlineStr">
        <is>
          <t>Tucson : Pachart Publishing House, c1996.</t>
        </is>
      </c>
      <c r="M572" t="inlineStr">
        <is>
          <t>1996</t>
        </is>
      </c>
      <c r="O572" t="inlineStr">
        <is>
          <t>eng</t>
        </is>
      </c>
      <c r="P572" t="inlineStr">
        <is>
          <t>azu</t>
        </is>
      </c>
      <c r="Q572" t="inlineStr">
        <is>
          <t>Pachart history of astronomy series ; v. 10</t>
        </is>
      </c>
      <c r="R572" t="inlineStr">
        <is>
          <t xml:space="preserve">QB </t>
        </is>
      </c>
      <c r="S572" t="n">
        <v>8</v>
      </c>
      <c r="T572" t="n">
        <v>8</v>
      </c>
      <c r="U572" t="inlineStr">
        <is>
          <t>2000-10-26</t>
        </is>
      </c>
      <c r="V572" t="inlineStr">
        <is>
          <t>2000-10-26</t>
        </is>
      </c>
      <c r="W572" t="inlineStr">
        <is>
          <t>1997-06-10</t>
        </is>
      </c>
      <c r="X572" t="inlineStr">
        <is>
          <t>1997-06-10</t>
        </is>
      </c>
      <c r="Y572" t="n">
        <v>85</v>
      </c>
      <c r="Z572" t="n">
        <v>67</v>
      </c>
      <c r="AA572" t="n">
        <v>68</v>
      </c>
      <c r="AB572" t="n">
        <v>1</v>
      </c>
      <c r="AC572" t="n">
        <v>1</v>
      </c>
      <c r="AD572" t="n">
        <v>4</v>
      </c>
      <c r="AE572" t="n">
        <v>4</v>
      </c>
      <c r="AF572" t="n">
        <v>0</v>
      </c>
      <c r="AG572" t="n">
        <v>0</v>
      </c>
      <c r="AH572" t="n">
        <v>2</v>
      </c>
      <c r="AI572" t="n">
        <v>2</v>
      </c>
      <c r="AJ572" t="n">
        <v>3</v>
      </c>
      <c r="AK572" t="n">
        <v>3</v>
      </c>
      <c r="AL572" t="n">
        <v>0</v>
      </c>
      <c r="AM572" t="n">
        <v>0</v>
      </c>
      <c r="AN572" t="n">
        <v>0</v>
      </c>
      <c r="AO572" t="n">
        <v>0</v>
      </c>
      <c r="AP572" t="inlineStr">
        <is>
          <t>No</t>
        </is>
      </c>
      <c r="AQ572" t="inlineStr">
        <is>
          <t>Yes</t>
        </is>
      </c>
      <c r="AR572">
        <f>HYPERLINK("http://catalog.hathitrust.org/Record/003101073","HathiTrust Record")</f>
        <v/>
      </c>
      <c r="AS572">
        <f>HYPERLINK("https://creighton-primo.hosted.exlibrisgroup.com/primo-explore/search?tab=default_tab&amp;search_scope=EVERYTHING&amp;vid=01CRU&amp;lang=en_US&amp;offset=0&amp;query=any,contains,991002708749702656","Catalog Record")</f>
        <v/>
      </c>
      <c r="AT572">
        <f>HYPERLINK("http://www.worldcat.org/oclc/35446655","WorldCat Record")</f>
        <v/>
      </c>
      <c r="AU572" t="inlineStr">
        <is>
          <t>140899706:eng</t>
        </is>
      </c>
      <c r="AV572" t="inlineStr">
        <is>
          <t>35446655</t>
        </is>
      </c>
      <c r="AW572" t="inlineStr">
        <is>
          <t>991002708749702656</t>
        </is>
      </c>
      <c r="AX572" t="inlineStr">
        <is>
          <t>991002708749702656</t>
        </is>
      </c>
      <c r="AY572" t="inlineStr">
        <is>
          <t>2268412680002656</t>
        </is>
      </c>
      <c r="AZ572" t="inlineStr">
        <is>
          <t>BOOK</t>
        </is>
      </c>
      <c r="BB572" t="inlineStr">
        <is>
          <t>9780881262858</t>
        </is>
      </c>
      <c r="BC572" t="inlineStr">
        <is>
          <t>32285002751369</t>
        </is>
      </c>
      <c r="BD572" t="inlineStr">
        <is>
          <t>893445315</t>
        </is>
      </c>
    </row>
    <row r="573">
      <c r="A573" t="inlineStr">
        <is>
          <t>No</t>
        </is>
      </c>
      <c r="B573" t="inlineStr">
        <is>
          <t>QB981 .H685 1998</t>
        </is>
      </c>
      <c r="C573" t="inlineStr">
        <is>
          <t>0                      QB 0981000H  685         1998</t>
        </is>
      </c>
      <c r="D573" t="inlineStr">
        <is>
          <t>The little book of the big bang : a cosmic primer / Craig J. Hogan ; with a foreword by Martin Rees.</t>
        </is>
      </c>
      <c r="F573" t="inlineStr">
        <is>
          <t>No</t>
        </is>
      </c>
      <c r="G573" t="inlineStr">
        <is>
          <t>1</t>
        </is>
      </c>
      <c r="H573" t="inlineStr">
        <is>
          <t>No</t>
        </is>
      </c>
      <c r="I573" t="inlineStr">
        <is>
          <t>No</t>
        </is>
      </c>
      <c r="J573" t="inlineStr">
        <is>
          <t>0</t>
        </is>
      </c>
      <c r="K573" t="inlineStr">
        <is>
          <t>Hogan, Craig J.</t>
        </is>
      </c>
      <c r="L573" t="inlineStr">
        <is>
          <t>New York, NY : Copernicus, c1998.</t>
        </is>
      </c>
      <c r="M573" t="inlineStr">
        <is>
          <t>1998</t>
        </is>
      </c>
      <c r="O573" t="inlineStr">
        <is>
          <t>eng</t>
        </is>
      </c>
      <c r="P573" t="inlineStr">
        <is>
          <t>nyu</t>
        </is>
      </c>
      <c r="R573" t="inlineStr">
        <is>
          <t xml:space="preserve">QB </t>
        </is>
      </c>
      <c r="S573" t="n">
        <v>2</v>
      </c>
      <c r="T573" t="n">
        <v>2</v>
      </c>
      <c r="U573" t="inlineStr">
        <is>
          <t>1999-02-11</t>
        </is>
      </c>
      <c r="V573" t="inlineStr">
        <is>
          <t>1999-02-11</t>
        </is>
      </c>
      <c r="W573" t="inlineStr">
        <is>
          <t>1998-08-18</t>
        </is>
      </c>
      <c r="X573" t="inlineStr">
        <is>
          <t>1998-08-18</t>
        </is>
      </c>
      <c r="Y573" t="n">
        <v>588</v>
      </c>
      <c r="Z573" t="n">
        <v>496</v>
      </c>
      <c r="AA573" t="n">
        <v>518</v>
      </c>
      <c r="AB573" t="n">
        <v>5</v>
      </c>
      <c r="AC573" t="n">
        <v>5</v>
      </c>
      <c r="AD573" t="n">
        <v>17</v>
      </c>
      <c r="AE573" t="n">
        <v>17</v>
      </c>
      <c r="AF573" t="n">
        <v>4</v>
      </c>
      <c r="AG573" t="n">
        <v>4</v>
      </c>
      <c r="AH573" t="n">
        <v>5</v>
      </c>
      <c r="AI573" t="n">
        <v>5</v>
      </c>
      <c r="AJ573" t="n">
        <v>8</v>
      </c>
      <c r="AK573" t="n">
        <v>8</v>
      </c>
      <c r="AL573" t="n">
        <v>4</v>
      </c>
      <c r="AM573" t="n">
        <v>4</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HYPERLINK("https://creighton-primo.hosted.exlibrisgroup.com/primo-explore/search?tab=default_tab&amp;search_scope=EVERYTHING&amp;vid=01CRU&amp;lang=en_US&amp;offset=0&amp;query=any,contains,991002879539702656","Catalog Record")</f>
        <v/>
      </c>
      <c r="AT573">
        <f>HYPERLINK("http://www.worldcat.org/oclc/37947572","WorldCat Record")</f>
        <v/>
      </c>
      <c r="AU573" t="inlineStr">
        <is>
          <t>52982336:eng</t>
        </is>
      </c>
      <c r="AV573" t="inlineStr">
        <is>
          <t>37947572</t>
        </is>
      </c>
      <c r="AW573" t="inlineStr">
        <is>
          <t>991002879539702656</t>
        </is>
      </c>
      <c r="AX573" t="inlineStr">
        <is>
          <t>991002879539702656</t>
        </is>
      </c>
      <c r="AY573" t="inlineStr">
        <is>
          <t>2268295620002656</t>
        </is>
      </c>
      <c r="AZ573" t="inlineStr">
        <is>
          <t>BOOK</t>
        </is>
      </c>
      <c r="BB573" t="inlineStr">
        <is>
          <t>9780387983851</t>
        </is>
      </c>
      <c r="BC573" t="inlineStr">
        <is>
          <t>32285003454021</t>
        </is>
      </c>
      <c r="BD573" t="inlineStr">
        <is>
          <t>893710786</t>
        </is>
      </c>
    </row>
    <row r="574">
      <c r="A574" t="inlineStr">
        <is>
          <t>No</t>
        </is>
      </c>
      <c r="B574" t="inlineStr">
        <is>
          <t>QB981 .J23 1987</t>
        </is>
      </c>
      <c r="C574" t="inlineStr">
        <is>
          <t>0                      QB 0981000J  23          1987</t>
        </is>
      </c>
      <c r="D574" t="inlineStr">
        <is>
          <t>Life in the universe / Francis Jackson and Patrick Moore.</t>
        </is>
      </c>
      <c r="F574" t="inlineStr">
        <is>
          <t>No</t>
        </is>
      </c>
      <c r="G574" t="inlineStr">
        <is>
          <t>1</t>
        </is>
      </c>
      <c r="H574" t="inlineStr">
        <is>
          <t>No</t>
        </is>
      </c>
      <c r="I574" t="inlineStr">
        <is>
          <t>No</t>
        </is>
      </c>
      <c r="J574" t="inlineStr">
        <is>
          <t>0</t>
        </is>
      </c>
      <c r="K574" t="inlineStr">
        <is>
          <t>Jackson, Francis, 1922-</t>
        </is>
      </c>
      <c r="L574" t="inlineStr">
        <is>
          <t>London : Routledge &amp; Kegan Paul, 1987.</t>
        </is>
      </c>
      <c r="M574" t="inlineStr">
        <is>
          <t>1987</t>
        </is>
      </c>
      <c r="O574" t="inlineStr">
        <is>
          <t>eng</t>
        </is>
      </c>
      <c r="P574" t="inlineStr">
        <is>
          <t>enk</t>
        </is>
      </c>
      <c r="R574" t="inlineStr">
        <is>
          <t xml:space="preserve">QB </t>
        </is>
      </c>
      <c r="S574" t="n">
        <v>2</v>
      </c>
      <c r="T574" t="n">
        <v>2</v>
      </c>
      <c r="U574" t="inlineStr">
        <is>
          <t>1996-10-03</t>
        </is>
      </c>
      <c r="V574" t="inlineStr">
        <is>
          <t>1996-10-03</t>
        </is>
      </c>
      <c r="W574" t="inlineStr">
        <is>
          <t>1992-11-24</t>
        </is>
      </c>
      <c r="X574" t="inlineStr">
        <is>
          <t>1992-11-24</t>
        </is>
      </c>
      <c r="Y574" t="n">
        <v>27</v>
      </c>
      <c r="Z574" t="n">
        <v>14</v>
      </c>
      <c r="AA574" t="n">
        <v>497</v>
      </c>
      <c r="AB574" t="n">
        <v>1</v>
      </c>
      <c r="AC574" t="n">
        <v>4</v>
      </c>
      <c r="AD574" t="n">
        <v>0</v>
      </c>
      <c r="AE574" t="n">
        <v>9</v>
      </c>
      <c r="AF574" t="n">
        <v>0</v>
      </c>
      <c r="AG574" t="n">
        <v>3</v>
      </c>
      <c r="AH574" t="n">
        <v>0</v>
      </c>
      <c r="AI574" t="n">
        <v>1</v>
      </c>
      <c r="AJ574" t="n">
        <v>0</v>
      </c>
      <c r="AK574" t="n">
        <v>7</v>
      </c>
      <c r="AL574" t="n">
        <v>0</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HYPERLINK("https://creighton-primo.hosted.exlibrisgroup.com/primo-explore/search?tab=default_tab&amp;search_scope=EVERYTHING&amp;vid=01CRU&amp;lang=en_US&amp;offset=0&amp;query=any,contains,991001082239702656","Catalog Record")</f>
        <v/>
      </c>
      <c r="AT574">
        <f>HYPERLINK("http://www.worldcat.org/oclc/16089887","WorldCat Record")</f>
        <v/>
      </c>
      <c r="AU574" t="inlineStr">
        <is>
          <t>2144471:eng</t>
        </is>
      </c>
      <c r="AV574" t="inlineStr">
        <is>
          <t>16089887</t>
        </is>
      </c>
      <c r="AW574" t="inlineStr">
        <is>
          <t>991001082239702656</t>
        </is>
      </c>
      <c r="AX574" t="inlineStr">
        <is>
          <t>991001082239702656</t>
        </is>
      </c>
      <c r="AY574" t="inlineStr">
        <is>
          <t>2255456640002656</t>
        </is>
      </c>
      <c r="AZ574" t="inlineStr">
        <is>
          <t>BOOK</t>
        </is>
      </c>
      <c r="BB574" t="inlineStr">
        <is>
          <t>9780710209481</t>
        </is>
      </c>
      <c r="BC574" t="inlineStr">
        <is>
          <t>32285001450153</t>
        </is>
      </c>
      <c r="BD574" t="inlineStr">
        <is>
          <t>893865946</t>
        </is>
      </c>
    </row>
    <row r="575">
      <c r="A575" t="inlineStr">
        <is>
          <t>No</t>
        </is>
      </c>
      <c r="B575" t="inlineStr">
        <is>
          <t>QB981 .K3</t>
        </is>
      </c>
      <c r="C575" t="inlineStr">
        <is>
          <t>0                      QB 0981000K  3</t>
        </is>
      </c>
      <c r="D575" t="inlineStr">
        <is>
          <t>Relativity and cosmology [by] William J. Kaufmann, III.</t>
        </is>
      </c>
      <c r="F575" t="inlineStr">
        <is>
          <t>No</t>
        </is>
      </c>
      <c r="G575" t="inlineStr">
        <is>
          <t>1</t>
        </is>
      </c>
      <c r="H575" t="inlineStr">
        <is>
          <t>No</t>
        </is>
      </c>
      <c r="I575" t="inlineStr">
        <is>
          <t>No</t>
        </is>
      </c>
      <c r="J575" t="inlineStr">
        <is>
          <t>0</t>
        </is>
      </c>
      <c r="K575" t="inlineStr">
        <is>
          <t>Kaufmann, William J.</t>
        </is>
      </c>
      <c r="L575" t="inlineStr">
        <is>
          <t>New York, Harper &amp; Row [1973]</t>
        </is>
      </c>
      <c r="M575" t="inlineStr">
        <is>
          <t>1973</t>
        </is>
      </c>
      <c r="O575" t="inlineStr">
        <is>
          <t>eng</t>
        </is>
      </c>
      <c r="P575" t="inlineStr">
        <is>
          <t>nyu</t>
        </is>
      </c>
      <c r="R575" t="inlineStr">
        <is>
          <t xml:space="preserve">QB </t>
        </is>
      </c>
      <c r="S575" t="n">
        <v>2</v>
      </c>
      <c r="T575" t="n">
        <v>2</v>
      </c>
      <c r="U575" t="inlineStr">
        <is>
          <t>1998-10-26</t>
        </is>
      </c>
      <c r="V575" t="inlineStr">
        <is>
          <t>1998-10-26</t>
        </is>
      </c>
      <c r="W575" t="inlineStr">
        <is>
          <t>1997-05-05</t>
        </is>
      </c>
      <c r="X575" t="inlineStr">
        <is>
          <t>1997-05-05</t>
        </is>
      </c>
      <c r="Y575" t="n">
        <v>534</v>
      </c>
      <c r="Z575" t="n">
        <v>433</v>
      </c>
      <c r="AA575" t="n">
        <v>628</v>
      </c>
      <c r="AB575" t="n">
        <v>3</v>
      </c>
      <c r="AC575" t="n">
        <v>3</v>
      </c>
      <c r="AD575" t="n">
        <v>14</v>
      </c>
      <c r="AE575" t="n">
        <v>20</v>
      </c>
      <c r="AF575" t="n">
        <v>5</v>
      </c>
      <c r="AG575" t="n">
        <v>8</v>
      </c>
      <c r="AH575" t="n">
        <v>0</v>
      </c>
      <c r="AI575" t="n">
        <v>2</v>
      </c>
      <c r="AJ575" t="n">
        <v>10</v>
      </c>
      <c r="AK575" t="n">
        <v>12</v>
      </c>
      <c r="AL575" t="n">
        <v>2</v>
      </c>
      <c r="AM575" t="n">
        <v>2</v>
      </c>
      <c r="AN575" t="n">
        <v>0</v>
      </c>
      <c r="AO575" t="n">
        <v>0</v>
      </c>
      <c r="AP575" t="inlineStr">
        <is>
          <t>No</t>
        </is>
      </c>
      <c r="AQ575" t="inlineStr">
        <is>
          <t>Yes</t>
        </is>
      </c>
      <c r="AR575">
        <f>HYPERLINK("http://catalog.hathitrust.org/Record/001477360","HathiTrust Record")</f>
        <v/>
      </c>
      <c r="AS575">
        <f>HYPERLINK("https://creighton-primo.hosted.exlibrisgroup.com/primo-explore/search?tab=default_tab&amp;search_scope=EVERYTHING&amp;vid=01CRU&amp;lang=en_US&amp;offset=0&amp;query=any,contains,991003112969702656","Catalog Record")</f>
        <v/>
      </c>
      <c r="AT575">
        <f>HYPERLINK("http://www.worldcat.org/oclc/658036","WorldCat Record")</f>
        <v/>
      </c>
      <c r="AU575" t="inlineStr">
        <is>
          <t>403594:eng</t>
        </is>
      </c>
      <c r="AV575" t="inlineStr">
        <is>
          <t>658036</t>
        </is>
      </c>
      <c r="AW575" t="inlineStr">
        <is>
          <t>991003112969702656</t>
        </is>
      </c>
      <c r="AX575" t="inlineStr">
        <is>
          <t>991003112969702656</t>
        </is>
      </c>
      <c r="AY575" t="inlineStr">
        <is>
          <t>2260084050002656</t>
        </is>
      </c>
      <c r="AZ575" t="inlineStr">
        <is>
          <t>BOOK</t>
        </is>
      </c>
      <c r="BB575" t="inlineStr">
        <is>
          <t>9780060435684</t>
        </is>
      </c>
      <c r="BC575" t="inlineStr">
        <is>
          <t>32285002643160</t>
        </is>
      </c>
      <c r="BD575" t="inlineStr">
        <is>
          <t>893874443</t>
        </is>
      </c>
    </row>
    <row r="576">
      <c r="A576" t="inlineStr">
        <is>
          <t>No</t>
        </is>
      </c>
      <c r="B576" t="inlineStr">
        <is>
          <t>QB981 .K47 1989</t>
        </is>
      </c>
      <c r="C576" t="inlineStr">
        <is>
          <t>0                      QB 0981000K  47          1989</t>
        </is>
      </c>
      <c r="D576" t="inlineStr">
        <is>
          <t>The invented universe : the Einstein-De Sitter controversy (1916-17) and the rise of relativistic cosmology / Pierre Kerszberg.</t>
        </is>
      </c>
      <c r="F576" t="inlineStr">
        <is>
          <t>No</t>
        </is>
      </c>
      <c r="G576" t="inlineStr">
        <is>
          <t>1</t>
        </is>
      </c>
      <c r="H576" t="inlineStr">
        <is>
          <t>No</t>
        </is>
      </c>
      <c r="I576" t="inlineStr">
        <is>
          <t>No</t>
        </is>
      </c>
      <c r="J576" t="inlineStr">
        <is>
          <t>0</t>
        </is>
      </c>
      <c r="K576" t="inlineStr">
        <is>
          <t>Kerszberg, Pierre.</t>
        </is>
      </c>
      <c r="L576" t="inlineStr">
        <is>
          <t>Oxford [England] : Clarendon Press ; New York : Oxford University Press, 1989.</t>
        </is>
      </c>
      <c r="M576" t="inlineStr">
        <is>
          <t>1989</t>
        </is>
      </c>
      <c r="O576" t="inlineStr">
        <is>
          <t>eng</t>
        </is>
      </c>
      <c r="P576" t="inlineStr">
        <is>
          <t>enk</t>
        </is>
      </c>
      <c r="Q576" t="inlineStr">
        <is>
          <t>Oxford science publications</t>
        </is>
      </c>
      <c r="R576" t="inlineStr">
        <is>
          <t xml:space="preserve">QB </t>
        </is>
      </c>
      <c r="S576" t="n">
        <v>9</v>
      </c>
      <c r="T576" t="n">
        <v>9</v>
      </c>
      <c r="U576" t="inlineStr">
        <is>
          <t>1998-04-02</t>
        </is>
      </c>
      <c r="V576" t="inlineStr">
        <is>
          <t>1998-04-02</t>
        </is>
      </c>
      <c r="W576" t="inlineStr">
        <is>
          <t>1990-12-05</t>
        </is>
      </c>
      <c r="X576" t="inlineStr">
        <is>
          <t>1990-12-05</t>
        </is>
      </c>
      <c r="Y576" t="n">
        <v>360</v>
      </c>
      <c r="Z576" t="n">
        <v>252</v>
      </c>
      <c r="AA576" t="n">
        <v>258</v>
      </c>
      <c r="AB576" t="n">
        <v>3</v>
      </c>
      <c r="AC576" t="n">
        <v>3</v>
      </c>
      <c r="AD576" t="n">
        <v>15</v>
      </c>
      <c r="AE576" t="n">
        <v>15</v>
      </c>
      <c r="AF576" t="n">
        <v>3</v>
      </c>
      <c r="AG576" t="n">
        <v>3</v>
      </c>
      <c r="AH576" t="n">
        <v>4</v>
      </c>
      <c r="AI576" t="n">
        <v>4</v>
      </c>
      <c r="AJ576" t="n">
        <v>10</v>
      </c>
      <c r="AK576" t="n">
        <v>10</v>
      </c>
      <c r="AL576" t="n">
        <v>2</v>
      </c>
      <c r="AM576" t="n">
        <v>2</v>
      </c>
      <c r="AN576" t="n">
        <v>0</v>
      </c>
      <c r="AO576" t="n">
        <v>0</v>
      </c>
      <c r="AP576" t="inlineStr">
        <is>
          <t>No</t>
        </is>
      </c>
      <c r="AQ576" t="inlineStr">
        <is>
          <t>Yes</t>
        </is>
      </c>
      <c r="AR576">
        <f>HYPERLINK("http://catalog.hathitrust.org/Record/001826731","HathiTrust Record")</f>
        <v/>
      </c>
      <c r="AS576">
        <f>HYPERLINK("https://creighton-primo.hosted.exlibrisgroup.com/primo-explore/search?tab=default_tab&amp;search_scope=EVERYTHING&amp;vid=01CRU&amp;lang=en_US&amp;offset=0&amp;query=any,contains,991001409779702656","Catalog Record")</f>
        <v/>
      </c>
      <c r="AT576">
        <f>HYPERLINK("http://www.worldcat.org/oclc/18879120","WorldCat Record")</f>
        <v/>
      </c>
      <c r="AU576" t="inlineStr">
        <is>
          <t>806855159:eng</t>
        </is>
      </c>
      <c r="AV576" t="inlineStr">
        <is>
          <t>18879120</t>
        </is>
      </c>
      <c r="AW576" t="inlineStr">
        <is>
          <t>991001409779702656</t>
        </is>
      </c>
      <c r="AX576" t="inlineStr">
        <is>
          <t>991001409779702656</t>
        </is>
      </c>
      <c r="AY576" t="inlineStr">
        <is>
          <t>2268953390002656</t>
        </is>
      </c>
      <c r="AZ576" t="inlineStr">
        <is>
          <t>BOOK</t>
        </is>
      </c>
      <c r="BB576" t="inlineStr">
        <is>
          <t>9780198518761</t>
        </is>
      </c>
      <c r="BC576" t="inlineStr">
        <is>
          <t>32285000358571</t>
        </is>
      </c>
      <c r="BD576" t="inlineStr">
        <is>
          <t>893334330</t>
        </is>
      </c>
    </row>
    <row r="577">
      <c r="A577" t="inlineStr">
        <is>
          <t>No</t>
        </is>
      </c>
      <c r="B577" t="inlineStr">
        <is>
          <t>QB981 .K69513 1987</t>
        </is>
      </c>
      <c r="C577" t="inlineStr">
        <is>
          <t>0                      QB 0981000K  69513       1987</t>
        </is>
      </c>
      <c r="D577" t="inlineStr">
        <is>
          <t>Cosmology : the structure and evolution of the universe / G. Contopoulos, D. Kotsakis ; translated by M. Petrou and P.L. Palmer.</t>
        </is>
      </c>
      <c r="F577" t="inlineStr">
        <is>
          <t>No</t>
        </is>
      </c>
      <c r="G577" t="inlineStr">
        <is>
          <t>1</t>
        </is>
      </c>
      <c r="H577" t="inlineStr">
        <is>
          <t>No</t>
        </is>
      </c>
      <c r="I577" t="inlineStr">
        <is>
          <t>No</t>
        </is>
      </c>
      <c r="J577" t="inlineStr">
        <is>
          <t>0</t>
        </is>
      </c>
      <c r="K577" t="inlineStr">
        <is>
          <t>Contopoulos, George, 1928-</t>
        </is>
      </c>
      <c r="L577" t="inlineStr">
        <is>
          <t>Berlin ; New York : Springer-Verlag, c1987.</t>
        </is>
      </c>
      <c r="M577" t="inlineStr">
        <is>
          <t>1987</t>
        </is>
      </c>
      <c r="N577" t="inlineStr">
        <is>
          <t>[2nd updated and expanded ed.]</t>
        </is>
      </c>
      <c r="O577" t="inlineStr">
        <is>
          <t>eng</t>
        </is>
      </c>
      <c r="P577" t="inlineStr">
        <is>
          <t xml:space="preserve">gw </t>
        </is>
      </c>
      <c r="R577" t="inlineStr">
        <is>
          <t xml:space="preserve">QB </t>
        </is>
      </c>
      <c r="S577" t="n">
        <v>4</v>
      </c>
      <c r="T577" t="n">
        <v>4</v>
      </c>
      <c r="U577" t="inlineStr">
        <is>
          <t>2007-08-13</t>
        </is>
      </c>
      <c r="V577" t="inlineStr">
        <is>
          <t>2007-08-13</t>
        </is>
      </c>
      <c r="W577" t="inlineStr">
        <is>
          <t>1992-11-24</t>
        </is>
      </c>
      <c r="X577" t="inlineStr">
        <is>
          <t>1992-11-24</t>
        </is>
      </c>
      <c r="Y577" t="n">
        <v>290</v>
      </c>
      <c r="Z577" t="n">
        <v>218</v>
      </c>
      <c r="AA577" t="n">
        <v>234</v>
      </c>
      <c r="AB577" t="n">
        <v>2</v>
      </c>
      <c r="AC577" t="n">
        <v>2</v>
      </c>
      <c r="AD577" t="n">
        <v>6</v>
      </c>
      <c r="AE577" t="n">
        <v>7</v>
      </c>
      <c r="AF577" t="n">
        <v>2</v>
      </c>
      <c r="AG577" t="n">
        <v>2</v>
      </c>
      <c r="AH577" t="n">
        <v>1</v>
      </c>
      <c r="AI577" t="n">
        <v>2</v>
      </c>
      <c r="AJ577" t="n">
        <v>2</v>
      </c>
      <c r="AK577" t="n">
        <v>3</v>
      </c>
      <c r="AL577" t="n">
        <v>1</v>
      </c>
      <c r="AM577" t="n">
        <v>1</v>
      </c>
      <c r="AN577" t="n">
        <v>0</v>
      </c>
      <c r="AO577" t="n">
        <v>0</v>
      </c>
      <c r="AP577" t="inlineStr">
        <is>
          <t>No</t>
        </is>
      </c>
      <c r="AQ577" t="inlineStr">
        <is>
          <t>Yes</t>
        </is>
      </c>
      <c r="AR577">
        <f>HYPERLINK("http://catalog.hathitrust.org/Record/000821095","HathiTrust Record")</f>
        <v/>
      </c>
      <c r="AS577">
        <f>HYPERLINK("https://creighton-primo.hosted.exlibrisgroup.com/primo-explore/search?tab=default_tab&amp;search_scope=EVERYTHING&amp;vid=01CRU&amp;lang=en_US&amp;offset=0&amp;query=any,contains,991000914649702656","Catalog Record")</f>
        <v/>
      </c>
      <c r="AT577">
        <f>HYPERLINK("http://www.worldcat.org/oclc/14166672","WorldCat Record")</f>
        <v/>
      </c>
      <c r="AU577" t="inlineStr">
        <is>
          <t>7200976:eng</t>
        </is>
      </c>
      <c r="AV577" t="inlineStr">
        <is>
          <t>14166672</t>
        </is>
      </c>
      <c r="AW577" t="inlineStr">
        <is>
          <t>991000914649702656</t>
        </is>
      </c>
      <c r="AX577" t="inlineStr">
        <is>
          <t>991000914649702656</t>
        </is>
      </c>
      <c r="AY577" t="inlineStr">
        <is>
          <t>2267423140002656</t>
        </is>
      </c>
      <c r="AZ577" t="inlineStr">
        <is>
          <t>BOOK</t>
        </is>
      </c>
      <c r="BB577" t="inlineStr">
        <is>
          <t>9780387169224</t>
        </is>
      </c>
      <c r="BC577" t="inlineStr">
        <is>
          <t>32285001450195</t>
        </is>
      </c>
      <c r="BD577" t="inlineStr">
        <is>
          <t>893413793</t>
        </is>
      </c>
    </row>
    <row r="578">
      <c r="A578" t="inlineStr">
        <is>
          <t>No</t>
        </is>
      </c>
      <c r="B578" t="inlineStr">
        <is>
          <t>QB981 .K73 1996</t>
        </is>
      </c>
      <c r="C578" t="inlineStr">
        <is>
          <t>0                      QB 0981000K  73          1996</t>
        </is>
      </c>
      <c r="D578" t="inlineStr">
        <is>
          <t>Cosmology and controversy : the historical development of two theories of the universe / Helge Kragh.</t>
        </is>
      </c>
      <c r="F578" t="inlineStr">
        <is>
          <t>No</t>
        </is>
      </c>
      <c r="G578" t="inlineStr">
        <is>
          <t>1</t>
        </is>
      </c>
      <c r="H578" t="inlineStr">
        <is>
          <t>No</t>
        </is>
      </c>
      <c r="I578" t="inlineStr">
        <is>
          <t>No</t>
        </is>
      </c>
      <c r="J578" t="inlineStr">
        <is>
          <t>0</t>
        </is>
      </c>
      <c r="K578" t="inlineStr">
        <is>
          <t>Kragh, Helge, 1944-</t>
        </is>
      </c>
      <c r="L578" t="inlineStr">
        <is>
          <t>Princeton, NJ : Princeton University Press, c1996.</t>
        </is>
      </c>
      <c r="M578" t="inlineStr">
        <is>
          <t>1996</t>
        </is>
      </c>
      <c r="O578" t="inlineStr">
        <is>
          <t>eng</t>
        </is>
      </c>
      <c r="P578" t="inlineStr">
        <is>
          <t>nju</t>
        </is>
      </c>
      <c r="R578" t="inlineStr">
        <is>
          <t xml:space="preserve">QB </t>
        </is>
      </c>
      <c r="S578" t="n">
        <v>7</v>
      </c>
      <c r="T578" t="n">
        <v>7</v>
      </c>
      <c r="U578" t="inlineStr">
        <is>
          <t>2004-10-13</t>
        </is>
      </c>
      <c r="V578" t="inlineStr">
        <is>
          <t>2004-10-13</t>
        </is>
      </c>
      <c r="W578" t="inlineStr">
        <is>
          <t>1997-07-16</t>
        </is>
      </c>
      <c r="X578" t="inlineStr">
        <is>
          <t>1997-07-16</t>
        </is>
      </c>
      <c r="Y578" t="n">
        <v>749</v>
      </c>
      <c r="Z578" t="n">
        <v>652</v>
      </c>
      <c r="AA578" t="n">
        <v>697</v>
      </c>
      <c r="AB578" t="n">
        <v>4</v>
      </c>
      <c r="AC578" t="n">
        <v>4</v>
      </c>
      <c r="AD578" t="n">
        <v>27</v>
      </c>
      <c r="AE578" t="n">
        <v>27</v>
      </c>
      <c r="AF578" t="n">
        <v>9</v>
      </c>
      <c r="AG578" t="n">
        <v>9</v>
      </c>
      <c r="AH578" t="n">
        <v>5</v>
      </c>
      <c r="AI578" t="n">
        <v>5</v>
      </c>
      <c r="AJ578" t="n">
        <v>14</v>
      </c>
      <c r="AK578" t="n">
        <v>14</v>
      </c>
      <c r="AL578" t="n">
        <v>3</v>
      </c>
      <c r="AM578" t="n">
        <v>3</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HYPERLINK("https://creighton-primo.hosted.exlibrisgroup.com/primo-explore/search?tab=default_tab&amp;search_scope=EVERYTHING&amp;vid=01CRU&amp;lang=en_US&amp;offset=0&amp;query=any,contains,991002628919702656","Catalog Record")</f>
        <v/>
      </c>
      <c r="AT578">
        <f>HYPERLINK("http://www.worldcat.org/oclc/34473321","WorldCat Record")</f>
        <v/>
      </c>
      <c r="AU578" t="inlineStr">
        <is>
          <t>890988:eng</t>
        </is>
      </c>
      <c r="AV578" t="inlineStr">
        <is>
          <t>34473321</t>
        </is>
      </c>
      <c r="AW578" t="inlineStr">
        <is>
          <t>991002628919702656</t>
        </is>
      </c>
      <c r="AX578" t="inlineStr">
        <is>
          <t>991002628919702656</t>
        </is>
      </c>
      <c r="AY578" t="inlineStr">
        <is>
          <t>2262890770002656</t>
        </is>
      </c>
      <c r="AZ578" t="inlineStr">
        <is>
          <t>BOOK</t>
        </is>
      </c>
      <c r="BB578" t="inlineStr">
        <is>
          <t>9780691026237</t>
        </is>
      </c>
      <c r="BC578" t="inlineStr">
        <is>
          <t>32285002882610</t>
        </is>
      </c>
      <c r="BD578" t="inlineStr">
        <is>
          <t>893698034</t>
        </is>
      </c>
    </row>
    <row r="579">
      <c r="A579" t="inlineStr">
        <is>
          <t>No</t>
        </is>
      </c>
      <c r="B579" t="inlineStr">
        <is>
          <t>QB981 .K77 2001</t>
        </is>
      </c>
      <c r="C579" t="inlineStr">
        <is>
          <t>0                      QB 0981000K  77          2001</t>
        </is>
      </c>
      <c r="D579" t="inlineStr">
        <is>
          <t>Atom : an odyssey from the big bang to life on earth-- and beyond / Lawrence M. Krauss.</t>
        </is>
      </c>
      <c r="F579" t="inlineStr">
        <is>
          <t>No</t>
        </is>
      </c>
      <c r="G579" t="inlineStr">
        <is>
          <t>1</t>
        </is>
      </c>
      <c r="H579" t="inlineStr">
        <is>
          <t>No</t>
        </is>
      </c>
      <c r="I579" t="inlineStr">
        <is>
          <t>No</t>
        </is>
      </c>
      <c r="J579" t="inlineStr">
        <is>
          <t>0</t>
        </is>
      </c>
      <c r="K579" t="inlineStr">
        <is>
          <t>Krauss, Lawrence M., 1954-</t>
        </is>
      </c>
      <c r="L579" t="inlineStr">
        <is>
          <t>Boston : Little Brown &amp; Company, c2001.</t>
        </is>
      </c>
      <c r="M579" t="inlineStr">
        <is>
          <t>2001</t>
        </is>
      </c>
      <c r="N579" t="inlineStr">
        <is>
          <t>1st ed.</t>
        </is>
      </c>
      <c r="O579" t="inlineStr">
        <is>
          <t>eng</t>
        </is>
      </c>
      <c r="P579" t="inlineStr">
        <is>
          <t>mau</t>
        </is>
      </c>
      <c r="R579" t="inlineStr">
        <is>
          <t xml:space="preserve">QB </t>
        </is>
      </c>
      <c r="S579" t="n">
        <v>2</v>
      </c>
      <c r="T579" t="n">
        <v>2</v>
      </c>
      <c r="U579" t="inlineStr">
        <is>
          <t>2001-09-15</t>
        </is>
      </c>
      <c r="V579" t="inlineStr">
        <is>
          <t>2001-09-15</t>
        </is>
      </c>
      <c r="W579" t="inlineStr">
        <is>
          <t>2001-09-05</t>
        </is>
      </c>
      <c r="X579" t="inlineStr">
        <is>
          <t>2001-09-05</t>
        </is>
      </c>
      <c r="Y579" t="n">
        <v>1102</v>
      </c>
      <c r="Z579" t="n">
        <v>1027</v>
      </c>
      <c r="AA579" t="n">
        <v>1069</v>
      </c>
      <c r="AB579" t="n">
        <v>7</v>
      </c>
      <c r="AC579" t="n">
        <v>7</v>
      </c>
      <c r="AD579" t="n">
        <v>19</v>
      </c>
      <c r="AE579" t="n">
        <v>19</v>
      </c>
      <c r="AF579" t="n">
        <v>8</v>
      </c>
      <c r="AG579" t="n">
        <v>8</v>
      </c>
      <c r="AH579" t="n">
        <v>3</v>
      </c>
      <c r="AI579" t="n">
        <v>3</v>
      </c>
      <c r="AJ579" t="n">
        <v>8</v>
      </c>
      <c r="AK579" t="n">
        <v>8</v>
      </c>
      <c r="AL579" t="n">
        <v>4</v>
      </c>
      <c r="AM579" t="n">
        <v>4</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HYPERLINK("https://creighton-primo.hosted.exlibrisgroup.com/primo-explore/search?tab=default_tab&amp;search_scope=EVERYTHING&amp;vid=01CRU&amp;lang=en_US&amp;offset=0&amp;query=any,contains,991003597269702656","Catalog Record")</f>
        <v/>
      </c>
      <c r="AT579">
        <f>HYPERLINK("http://www.worldcat.org/oclc/44467528","WorldCat Record")</f>
        <v/>
      </c>
      <c r="AU579" t="inlineStr">
        <is>
          <t>19551548:eng</t>
        </is>
      </c>
      <c r="AV579" t="inlineStr">
        <is>
          <t>44467528</t>
        </is>
      </c>
      <c r="AW579" t="inlineStr">
        <is>
          <t>991003597269702656</t>
        </is>
      </c>
      <c r="AX579" t="inlineStr">
        <is>
          <t>991003597269702656</t>
        </is>
      </c>
      <c r="AY579" t="inlineStr">
        <is>
          <t>2271061240002656</t>
        </is>
      </c>
      <c r="AZ579" t="inlineStr">
        <is>
          <t>BOOK</t>
        </is>
      </c>
      <c r="BB579" t="inlineStr">
        <is>
          <t>9780316499460</t>
        </is>
      </c>
      <c r="BC579" t="inlineStr">
        <is>
          <t>32285004384631</t>
        </is>
      </c>
      <c r="BD579" t="inlineStr">
        <is>
          <t>893336686</t>
        </is>
      </c>
    </row>
    <row r="580">
      <c r="A580" t="inlineStr">
        <is>
          <t>No</t>
        </is>
      </c>
      <c r="B580" t="inlineStr">
        <is>
          <t>QB981 .K93 1987</t>
        </is>
      </c>
      <c r="C580" t="inlineStr">
        <is>
          <t>0                      QB 0981000K  93          1987</t>
        </is>
      </c>
      <c r="D580" t="inlineStr">
        <is>
          <t>The universe and life : origins and evolution / G. Siegfried Kutter.</t>
        </is>
      </c>
      <c r="F580" t="inlineStr">
        <is>
          <t>No</t>
        </is>
      </c>
      <c r="G580" t="inlineStr">
        <is>
          <t>1</t>
        </is>
      </c>
      <c r="H580" t="inlineStr">
        <is>
          <t>No</t>
        </is>
      </c>
      <c r="I580" t="inlineStr">
        <is>
          <t>No</t>
        </is>
      </c>
      <c r="J580" t="inlineStr">
        <is>
          <t>0</t>
        </is>
      </c>
      <c r="K580" t="inlineStr">
        <is>
          <t>Kutter, G. Siegfried.</t>
        </is>
      </c>
      <c r="L580" t="inlineStr">
        <is>
          <t>Boston : Jones and Bartlett, c1987.</t>
        </is>
      </c>
      <c r="M580" t="inlineStr">
        <is>
          <t>1987</t>
        </is>
      </c>
      <c r="O580" t="inlineStr">
        <is>
          <t>eng</t>
        </is>
      </c>
      <c r="P580" t="inlineStr">
        <is>
          <t>mau</t>
        </is>
      </c>
      <c r="R580" t="inlineStr">
        <is>
          <t xml:space="preserve">QB </t>
        </is>
      </c>
      <c r="S580" t="n">
        <v>10</v>
      </c>
      <c r="T580" t="n">
        <v>10</v>
      </c>
      <c r="U580" t="inlineStr">
        <is>
          <t>1996-10-03</t>
        </is>
      </c>
      <c r="V580" t="inlineStr">
        <is>
          <t>1996-10-03</t>
        </is>
      </c>
      <c r="W580" t="inlineStr">
        <is>
          <t>1990-03-28</t>
        </is>
      </c>
      <c r="X580" t="inlineStr">
        <is>
          <t>1990-03-28</t>
        </is>
      </c>
      <c r="Y580" t="n">
        <v>305</v>
      </c>
      <c r="Z580" t="n">
        <v>252</v>
      </c>
      <c r="AA580" t="n">
        <v>254</v>
      </c>
      <c r="AB580" t="n">
        <v>3</v>
      </c>
      <c r="AC580" t="n">
        <v>3</v>
      </c>
      <c r="AD580" t="n">
        <v>15</v>
      </c>
      <c r="AE580" t="n">
        <v>15</v>
      </c>
      <c r="AF580" t="n">
        <v>4</v>
      </c>
      <c r="AG580" t="n">
        <v>4</v>
      </c>
      <c r="AH580" t="n">
        <v>5</v>
      </c>
      <c r="AI580" t="n">
        <v>5</v>
      </c>
      <c r="AJ580" t="n">
        <v>8</v>
      </c>
      <c r="AK580" t="n">
        <v>8</v>
      </c>
      <c r="AL580" t="n">
        <v>2</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HYPERLINK("https://creighton-primo.hosted.exlibrisgroup.com/primo-explore/search?tab=default_tab&amp;search_scope=EVERYTHING&amp;vid=01CRU&amp;lang=en_US&amp;offset=0&amp;query=any,contains,991000724429702656","Catalog Record")</f>
        <v/>
      </c>
      <c r="AT580">
        <f>HYPERLINK("http://www.worldcat.org/oclc/12692612","WorldCat Record")</f>
        <v/>
      </c>
      <c r="AU580" t="inlineStr">
        <is>
          <t>5715998:eng</t>
        </is>
      </c>
      <c r="AV580" t="inlineStr">
        <is>
          <t>12692612</t>
        </is>
      </c>
      <c r="AW580" t="inlineStr">
        <is>
          <t>991000724429702656</t>
        </is>
      </c>
      <c r="AX580" t="inlineStr">
        <is>
          <t>991000724429702656</t>
        </is>
      </c>
      <c r="AY580" t="inlineStr">
        <is>
          <t>2259209820002656</t>
        </is>
      </c>
      <c r="AZ580" t="inlineStr">
        <is>
          <t>BOOK</t>
        </is>
      </c>
      <c r="BB580" t="inlineStr">
        <is>
          <t>9780867200331</t>
        </is>
      </c>
      <c r="BC580" t="inlineStr">
        <is>
          <t>32285000090794</t>
        </is>
      </c>
      <c r="BD580" t="inlineStr">
        <is>
          <t>893425978</t>
        </is>
      </c>
    </row>
    <row r="581">
      <c r="A581" t="inlineStr">
        <is>
          <t>No</t>
        </is>
      </c>
      <c r="B581" t="inlineStr">
        <is>
          <t>QB981 .L287</t>
        </is>
      </c>
      <c r="C581" t="inlineStr">
        <is>
          <t>0                      QB 0981000L  287</t>
        </is>
      </c>
      <c r="D581" t="inlineStr">
        <is>
          <t>Mathematical cosmology : an introduction / Peter T. Landsberg and David A. Evans. --</t>
        </is>
      </c>
      <c r="F581" t="inlineStr">
        <is>
          <t>No</t>
        </is>
      </c>
      <c r="G581" t="inlineStr">
        <is>
          <t>1</t>
        </is>
      </c>
      <c r="H581" t="inlineStr">
        <is>
          <t>No</t>
        </is>
      </c>
      <c r="I581" t="inlineStr">
        <is>
          <t>No</t>
        </is>
      </c>
      <c r="J581" t="inlineStr">
        <is>
          <t>0</t>
        </is>
      </c>
      <c r="K581" t="inlineStr">
        <is>
          <t>Landsberg, Peter T. (Peter Theodore)</t>
        </is>
      </c>
      <c r="L581" t="inlineStr">
        <is>
          <t>Oxford [Eng.] : Clarendon Press, 1977.</t>
        </is>
      </c>
      <c r="M581" t="inlineStr">
        <is>
          <t>1977</t>
        </is>
      </c>
      <c r="O581" t="inlineStr">
        <is>
          <t>eng</t>
        </is>
      </c>
      <c r="P581" t="inlineStr">
        <is>
          <t>enk</t>
        </is>
      </c>
      <c r="R581" t="inlineStr">
        <is>
          <t xml:space="preserve">QB </t>
        </is>
      </c>
      <c r="S581" t="n">
        <v>1</v>
      </c>
      <c r="T581" t="n">
        <v>1</v>
      </c>
      <c r="U581" t="inlineStr">
        <is>
          <t>1995-04-25</t>
        </is>
      </c>
      <c r="V581" t="inlineStr">
        <is>
          <t>1995-04-25</t>
        </is>
      </c>
      <c r="W581" t="inlineStr">
        <is>
          <t>1992-11-24</t>
        </is>
      </c>
      <c r="X581" t="inlineStr">
        <is>
          <t>1992-11-24</t>
        </is>
      </c>
      <c r="Y581" t="n">
        <v>468</v>
      </c>
      <c r="Z581" t="n">
        <v>336</v>
      </c>
      <c r="AA581" t="n">
        <v>453</v>
      </c>
      <c r="AB581" t="n">
        <v>2</v>
      </c>
      <c r="AC581" t="n">
        <v>3</v>
      </c>
      <c r="AD581" t="n">
        <v>12</v>
      </c>
      <c r="AE581" t="n">
        <v>18</v>
      </c>
      <c r="AF581" t="n">
        <v>2</v>
      </c>
      <c r="AG581" t="n">
        <v>3</v>
      </c>
      <c r="AH581" t="n">
        <v>6</v>
      </c>
      <c r="AI581" t="n">
        <v>7</v>
      </c>
      <c r="AJ581" t="n">
        <v>6</v>
      </c>
      <c r="AK581" t="n">
        <v>9</v>
      </c>
      <c r="AL581" t="n">
        <v>1</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HYPERLINK("https://creighton-primo.hosted.exlibrisgroup.com/primo-explore/search?tab=default_tab&amp;search_scope=EVERYTHING&amp;vid=01CRU&amp;lang=en_US&amp;offset=0&amp;query=any,contains,991004592159702656","Catalog Record")</f>
        <v/>
      </c>
      <c r="AT581">
        <f>HYPERLINK("http://www.worldcat.org/oclc/4134944","WorldCat Record")</f>
        <v/>
      </c>
      <c r="AU581" t="inlineStr">
        <is>
          <t>11258300:eng</t>
        </is>
      </c>
      <c r="AV581" t="inlineStr">
        <is>
          <t>4134944</t>
        </is>
      </c>
      <c r="AW581" t="inlineStr">
        <is>
          <t>991004592159702656</t>
        </is>
      </c>
      <c r="AX581" t="inlineStr">
        <is>
          <t>991004592159702656</t>
        </is>
      </c>
      <c r="AY581" t="inlineStr">
        <is>
          <t>2256453660002656</t>
        </is>
      </c>
      <c r="AZ581" t="inlineStr">
        <is>
          <t>BOOK</t>
        </is>
      </c>
      <c r="BB581" t="inlineStr">
        <is>
          <t>9780198511366</t>
        </is>
      </c>
      <c r="BC581" t="inlineStr">
        <is>
          <t>32285001450203</t>
        </is>
      </c>
      <c r="BD581" t="inlineStr">
        <is>
          <t>893795024</t>
        </is>
      </c>
    </row>
    <row r="582">
      <c r="A582" t="inlineStr">
        <is>
          <t>No</t>
        </is>
      </c>
      <c r="B582" t="inlineStr">
        <is>
          <t>QB981 .L33 1984</t>
        </is>
      </c>
      <c r="C582" t="inlineStr">
        <is>
          <t>0                      QB 0981000L  33          1984</t>
        </is>
      </c>
      <c r="D582" t="inlineStr">
        <is>
          <t>Constructing the universe / David Layzer.</t>
        </is>
      </c>
      <c r="F582" t="inlineStr">
        <is>
          <t>No</t>
        </is>
      </c>
      <c r="G582" t="inlineStr">
        <is>
          <t>1</t>
        </is>
      </c>
      <c r="H582" t="inlineStr">
        <is>
          <t>No</t>
        </is>
      </c>
      <c r="I582" t="inlineStr">
        <is>
          <t>No</t>
        </is>
      </c>
      <c r="J582" t="inlineStr">
        <is>
          <t>0</t>
        </is>
      </c>
      <c r="K582" t="inlineStr">
        <is>
          <t>Layzer, David.</t>
        </is>
      </c>
      <c r="L582" t="inlineStr">
        <is>
          <t>New York : Scientific American Library : Distributed by W.H. Freeman, [1984]</t>
        </is>
      </c>
      <c r="M582" t="inlineStr">
        <is>
          <t>1984</t>
        </is>
      </c>
      <c r="O582" t="inlineStr">
        <is>
          <t>eng</t>
        </is>
      </c>
      <c r="P582" t="inlineStr">
        <is>
          <t>nyu</t>
        </is>
      </c>
      <c r="R582" t="inlineStr">
        <is>
          <t xml:space="preserve">QB </t>
        </is>
      </c>
      <c r="S582" t="n">
        <v>7</v>
      </c>
      <c r="T582" t="n">
        <v>7</v>
      </c>
      <c r="U582" t="inlineStr">
        <is>
          <t>2003-06-01</t>
        </is>
      </c>
      <c r="V582" t="inlineStr">
        <is>
          <t>2003-06-01</t>
        </is>
      </c>
      <c r="W582" t="inlineStr">
        <is>
          <t>1991-06-27</t>
        </is>
      </c>
      <c r="X582" t="inlineStr">
        <is>
          <t>1991-06-27</t>
        </is>
      </c>
      <c r="Y582" t="n">
        <v>847</v>
      </c>
      <c r="Z582" t="n">
        <v>741</v>
      </c>
      <c r="AA582" t="n">
        <v>747</v>
      </c>
      <c r="AB582" t="n">
        <v>5</v>
      </c>
      <c r="AC582" t="n">
        <v>5</v>
      </c>
      <c r="AD582" t="n">
        <v>23</v>
      </c>
      <c r="AE582" t="n">
        <v>23</v>
      </c>
      <c r="AF582" t="n">
        <v>7</v>
      </c>
      <c r="AG582" t="n">
        <v>7</v>
      </c>
      <c r="AH582" t="n">
        <v>5</v>
      </c>
      <c r="AI582" t="n">
        <v>5</v>
      </c>
      <c r="AJ582" t="n">
        <v>13</v>
      </c>
      <c r="AK582" t="n">
        <v>13</v>
      </c>
      <c r="AL582" t="n">
        <v>4</v>
      </c>
      <c r="AM582" t="n">
        <v>4</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HYPERLINK("https://creighton-primo.hosted.exlibrisgroup.com/primo-explore/search?tab=default_tab&amp;search_scope=EVERYTHING&amp;vid=01CRU&amp;lang=en_US&amp;offset=0&amp;query=any,contains,991000399519702656","Catalog Record")</f>
        <v/>
      </c>
      <c r="AT582">
        <f>HYPERLINK("http://www.worldcat.org/oclc/10605693","WorldCat Record")</f>
        <v/>
      </c>
      <c r="AU582" t="inlineStr">
        <is>
          <t>2874286:eng</t>
        </is>
      </c>
      <c r="AV582" t="inlineStr">
        <is>
          <t>10605693</t>
        </is>
      </c>
      <c r="AW582" t="inlineStr">
        <is>
          <t>991000399519702656</t>
        </is>
      </c>
      <c r="AX582" t="inlineStr">
        <is>
          <t>991000399519702656</t>
        </is>
      </c>
      <c r="AY582" t="inlineStr">
        <is>
          <t>2258764690002656</t>
        </is>
      </c>
      <c r="AZ582" t="inlineStr">
        <is>
          <t>BOOK</t>
        </is>
      </c>
      <c r="BB582" t="inlineStr">
        <is>
          <t>9780716750031</t>
        </is>
      </c>
      <c r="BC582" t="inlineStr">
        <is>
          <t>32285000634765</t>
        </is>
      </c>
      <c r="BD582" t="inlineStr">
        <is>
          <t>893714547</t>
        </is>
      </c>
    </row>
    <row r="583">
      <c r="A583" t="inlineStr">
        <is>
          <t>No</t>
        </is>
      </c>
      <c r="B583" t="inlineStr">
        <is>
          <t>QB981 .L36 1993</t>
        </is>
      </c>
      <c r="C583" t="inlineStr">
        <is>
          <t>0                      QB 0981000L  36          1993</t>
        </is>
      </c>
      <c r="D583" t="inlineStr">
        <is>
          <t>The light at the edge of the universe : leading cosmologists on the brink of a scientific revolution / Michael D. Lemonick.</t>
        </is>
      </c>
      <c r="F583" t="inlineStr">
        <is>
          <t>No</t>
        </is>
      </c>
      <c r="G583" t="inlineStr">
        <is>
          <t>1</t>
        </is>
      </c>
      <c r="H583" t="inlineStr">
        <is>
          <t>No</t>
        </is>
      </c>
      <c r="I583" t="inlineStr">
        <is>
          <t>No</t>
        </is>
      </c>
      <c r="J583" t="inlineStr">
        <is>
          <t>0</t>
        </is>
      </c>
      <c r="K583" t="inlineStr">
        <is>
          <t>Lemonick, Michael D., 1953-</t>
        </is>
      </c>
      <c r="L583" t="inlineStr">
        <is>
          <t>New York : Villard Books, 1993.</t>
        </is>
      </c>
      <c r="M583" t="inlineStr">
        <is>
          <t>1993</t>
        </is>
      </c>
      <c r="N583" t="inlineStr">
        <is>
          <t>1st ed.</t>
        </is>
      </c>
      <c r="O583" t="inlineStr">
        <is>
          <t>eng</t>
        </is>
      </c>
      <c r="P583" t="inlineStr">
        <is>
          <t>nyu</t>
        </is>
      </c>
      <c r="R583" t="inlineStr">
        <is>
          <t xml:space="preserve">QB </t>
        </is>
      </c>
      <c r="S583" t="n">
        <v>3</v>
      </c>
      <c r="T583" t="n">
        <v>3</v>
      </c>
      <c r="U583" t="inlineStr">
        <is>
          <t>1994-09-30</t>
        </is>
      </c>
      <c r="V583" t="inlineStr">
        <is>
          <t>1994-09-30</t>
        </is>
      </c>
      <c r="W583" t="inlineStr">
        <is>
          <t>1993-12-22</t>
        </is>
      </c>
      <c r="X583" t="inlineStr">
        <is>
          <t>1993-12-22</t>
        </is>
      </c>
      <c r="Y583" t="n">
        <v>570</v>
      </c>
      <c r="Z583" t="n">
        <v>527</v>
      </c>
      <c r="AA583" t="n">
        <v>554</v>
      </c>
      <c r="AB583" t="n">
        <v>3</v>
      </c>
      <c r="AC583" t="n">
        <v>3</v>
      </c>
      <c r="AD583" t="n">
        <v>17</v>
      </c>
      <c r="AE583" t="n">
        <v>17</v>
      </c>
      <c r="AF583" t="n">
        <v>6</v>
      </c>
      <c r="AG583" t="n">
        <v>6</v>
      </c>
      <c r="AH583" t="n">
        <v>5</v>
      </c>
      <c r="AI583" t="n">
        <v>5</v>
      </c>
      <c r="AJ583" t="n">
        <v>8</v>
      </c>
      <c r="AK583" t="n">
        <v>8</v>
      </c>
      <c r="AL583" t="n">
        <v>2</v>
      </c>
      <c r="AM583" t="n">
        <v>2</v>
      </c>
      <c r="AN583" t="n">
        <v>0</v>
      </c>
      <c r="AO583" t="n">
        <v>0</v>
      </c>
      <c r="AP583" t="inlineStr">
        <is>
          <t>No</t>
        </is>
      </c>
      <c r="AQ583" t="inlineStr">
        <is>
          <t>Yes</t>
        </is>
      </c>
      <c r="AR583">
        <f>HYPERLINK("http://catalog.hathitrust.org/Record/002640735","HathiTrust Record")</f>
        <v/>
      </c>
      <c r="AS583">
        <f>HYPERLINK("https://creighton-primo.hosted.exlibrisgroup.com/primo-explore/search?tab=default_tab&amp;search_scope=EVERYTHING&amp;vid=01CRU&amp;lang=en_US&amp;offset=0&amp;query=any,contains,991002089969702656","Catalog Record")</f>
        <v/>
      </c>
      <c r="AT583">
        <f>HYPERLINK("http://www.worldcat.org/oclc/26809627","WorldCat Record")</f>
        <v/>
      </c>
      <c r="AU583" t="inlineStr">
        <is>
          <t>3943715978:eng</t>
        </is>
      </c>
      <c r="AV583" t="inlineStr">
        <is>
          <t>26809627</t>
        </is>
      </c>
      <c r="AW583" t="inlineStr">
        <is>
          <t>991002089969702656</t>
        </is>
      </c>
      <c r="AX583" t="inlineStr">
        <is>
          <t>991002089969702656</t>
        </is>
      </c>
      <c r="AY583" t="inlineStr">
        <is>
          <t>2257117110002656</t>
        </is>
      </c>
      <c r="AZ583" t="inlineStr">
        <is>
          <t>BOOK</t>
        </is>
      </c>
      <c r="BB583" t="inlineStr">
        <is>
          <t>9780679413042</t>
        </is>
      </c>
      <c r="BC583" t="inlineStr">
        <is>
          <t>32285001817062</t>
        </is>
      </c>
      <c r="BD583" t="inlineStr">
        <is>
          <t>893510278</t>
        </is>
      </c>
    </row>
    <row r="584">
      <c r="A584" t="inlineStr">
        <is>
          <t>No</t>
        </is>
      </c>
      <c r="B584" t="inlineStr">
        <is>
          <t>QB981 .L534 1999</t>
        </is>
      </c>
      <c r="C584" t="inlineStr">
        <is>
          <t>0                      QB 0981000L  534         1999</t>
        </is>
      </c>
      <c r="D584" t="inlineStr">
        <is>
          <t>An introduction to modern cosmology / Andrew Liddle.</t>
        </is>
      </c>
      <c r="F584" t="inlineStr">
        <is>
          <t>No</t>
        </is>
      </c>
      <c r="G584" t="inlineStr">
        <is>
          <t>1</t>
        </is>
      </c>
      <c r="H584" t="inlineStr">
        <is>
          <t>No</t>
        </is>
      </c>
      <c r="I584" t="inlineStr">
        <is>
          <t>No</t>
        </is>
      </c>
      <c r="J584" t="inlineStr">
        <is>
          <t>0</t>
        </is>
      </c>
      <c r="K584" t="inlineStr">
        <is>
          <t>Liddle, Andrew R.</t>
        </is>
      </c>
      <c r="L584" t="inlineStr">
        <is>
          <t>Chichester ; New York : Wiley, c1999.</t>
        </is>
      </c>
      <c r="M584" t="inlineStr">
        <is>
          <t>1999</t>
        </is>
      </c>
      <c r="O584" t="inlineStr">
        <is>
          <t>eng</t>
        </is>
      </c>
      <c r="P584" t="inlineStr">
        <is>
          <t>enk</t>
        </is>
      </c>
      <c r="R584" t="inlineStr">
        <is>
          <t xml:space="preserve">QB </t>
        </is>
      </c>
      <c r="S584" t="n">
        <v>1</v>
      </c>
      <c r="T584" t="n">
        <v>1</v>
      </c>
      <c r="U584" t="inlineStr">
        <is>
          <t>2007-11-14</t>
        </is>
      </c>
      <c r="V584" t="inlineStr">
        <is>
          <t>2007-11-14</t>
        </is>
      </c>
      <c r="W584" t="inlineStr">
        <is>
          <t>2000-03-06</t>
        </is>
      </c>
      <c r="X584" t="inlineStr">
        <is>
          <t>2000-03-06</t>
        </is>
      </c>
      <c r="Y584" t="n">
        <v>347</v>
      </c>
      <c r="Z584" t="n">
        <v>242</v>
      </c>
      <c r="AA584" t="n">
        <v>1003</v>
      </c>
      <c r="AB584" t="n">
        <v>3</v>
      </c>
      <c r="AC584" t="n">
        <v>30</v>
      </c>
      <c r="AD584" t="n">
        <v>12</v>
      </c>
      <c r="AE584" t="n">
        <v>48</v>
      </c>
      <c r="AF584" t="n">
        <v>3</v>
      </c>
      <c r="AG584" t="n">
        <v>15</v>
      </c>
      <c r="AH584" t="n">
        <v>0</v>
      </c>
      <c r="AI584" t="n">
        <v>7</v>
      </c>
      <c r="AJ584" t="n">
        <v>10</v>
      </c>
      <c r="AK584" t="n">
        <v>17</v>
      </c>
      <c r="AL584" t="n">
        <v>2</v>
      </c>
      <c r="AM584" t="n">
        <v>15</v>
      </c>
      <c r="AN584" t="n">
        <v>0</v>
      </c>
      <c r="AO584" t="n">
        <v>1</v>
      </c>
      <c r="AP584" t="inlineStr">
        <is>
          <t>No</t>
        </is>
      </c>
      <c r="AQ584" t="inlineStr">
        <is>
          <t>Yes</t>
        </is>
      </c>
      <c r="AR584">
        <f>HYPERLINK("http://catalog.hathitrust.org/Record/009389627","HathiTrust Record")</f>
        <v/>
      </c>
      <c r="AS584">
        <f>HYPERLINK("https://creighton-primo.hosted.exlibrisgroup.com/primo-explore/search?tab=default_tab&amp;search_scope=EVERYTHING&amp;vid=01CRU&amp;lang=en_US&amp;offset=0&amp;query=any,contains,991002984829702656","Catalog Record")</f>
        <v/>
      </c>
      <c r="AT584">
        <f>HYPERLINK("http://www.worldcat.org/oclc/40199963","WorldCat Record")</f>
        <v/>
      </c>
      <c r="AU584" t="inlineStr">
        <is>
          <t>702647:eng</t>
        </is>
      </c>
      <c r="AV584" t="inlineStr">
        <is>
          <t>40199963</t>
        </is>
      </c>
      <c r="AW584" t="inlineStr">
        <is>
          <t>991002984829702656</t>
        </is>
      </c>
      <c r="AX584" t="inlineStr">
        <is>
          <t>991002984829702656</t>
        </is>
      </c>
      <c r="AY584" t="inlineStr">
        <is>
          <t>2266299690002656</t>
        </is>
      </c>
      <c r="AZ584" t="inlineStr">
        <is>
          <t>BOOK</t>
        </is>
      </c>
      <c r="BB584" t="inlineStr">
        <is>
          <t>9780471987574</t>
        </is>
      </c>
      <c r="BC584" t="inlineStr">
        <is>
          <t>32285003666996</t>
        </is>
      </c>
      <c r="BD584" t="inlineStr">
        <is>
          <t>893616857</t>
        </is>
      </c>
    </row>
    <row r="585">
      <c r="A585" t="inlineStr">
        <is>
          <t>No</t>
        </is>
      </c>
      <c r="B585" t="inlineStr">
        <is>
          <t>QB981 .L538 1991</t>
        </is>
      </c>
      <c r="C585" t="inlineStr">
        <is>
          <t>0                      QB 0981000L  538         1991</t>
        </is>
      </c>
      <c r="D585" t="inlineStr">
        <is>
          <t>Ancient light : our changing view of the universe / Alan Lightman.</t>
        </is>
      </c>
      <c r="F585" t="inlineStr">
        <is>
          <t>No</t>
        </is>
      </c>
      <c r="G585" t="inlineStr">
        <is>
          <t>1</t>
        </is>
      </c>
      <c r="H585" t="inlineStr">
        <is>
          <t>No</t>
        </is>
      </c>
      <c r="I585" t="inlineStr">
        <is>
          <t>No</t>
        </is>
      </c>
      <c r="J585" t="inlineStr">
        <is>
          <t>0</t>
        </is>
      </c>
      <c r="K585" t="inlineStr">
        <is>
          <t>Lightman, Alan P., 1948-</t>
        </is>
      </c>
      <c r="L585" t="inlineStr">
        <is>
          <t>Cambridge, Mass. : Harvard University Press, 1991.</t>
        </is>
      </c>
      <c r="M585" t="inlineStr">
        <is>
          <t>1991</t>
        </is>
      </c>
      <c r="O585" t="inlineStr">
        <is>
          <t>eng</t>
        </is>
      </c>
      <c r="P585" t="inlineStr">
        <is>
          <t>mau</t>
        </is>
      </c>
      <c r="R585" t="inlineStr">
        <is>
          <t xml:space="preserve">QB </t>
        </is>
      </c>
      <c r="S585" t="n">
        <v>6</v>
      </c>
      <c r="T585" t="n">
        <v>6</v>
      </c>
      <c r="U585" t="inlineStr">
        <is>
          <t>1998-09-10</t>
        </is>
      </c>
      <c r="V585" t="inlineStr">
        <is>
          <t>1998-09-10</t>
        </is>
      </c>
      <c r="W585" t="inlineStr">
        <is>
          <t>1992-04-23</t>
        </is>
      </c>
      <c r="X585" t="inlineStr">
        <is>
          <t>1992-04-23</t>
        </is>
      </c>
      <c r="Y585" t="n">
        <v>860</v>
      </c>
      <c r="Z585" t="n">
        <v>776</v>
      </c>
      <c r="AA585" t="n">
        <v>818</v>
      </c>
      <c r="AB585" t="n">
        <v>8</v>
      </c>
      <c r="AC585" t="n">
        <v>8</v>
      </c>
      <c r="AD585" t="n">
        <v>27</v>
      </c>
      <c r="AE585" t="n">
        <v>28</v>
      </c>
      <c r="AF585" t="n">
        <v>11</v>
      </c>
      <c r="AG585" t="n">
        <v>12</v>
      </c>
      <c r="AH585" t="n">
        <v>6</v>
      </c>
      <c r="AI585" t="n">
        <v>7</v>
      </c>
      <c r="AJ585" t="n">
        <v>12</v>
      </c>
      <c r="AK585" t="n">
        <v>12</v>
      </c>
      <c r="AL585" t="n">
        <v>6</v>
      </c>
      <c r="AM585" t="n">
        <v>6</v>
      </c>
      <c r="AN585" t="n">
        <v>0</v>
      </c>
      <c r="AO585" t="n">
        <v>0</v>
      </c>
      <c r="AP585" t="inlineStr">
        <is>
          <t>No</t>
        </is>
      </c>
      <c r="AQ585" t="inlineStr">
        <is>
          <t>Yes</t>
        </is>
      </c>
      <c r="AR585">
        <f>HYPERLINK("http://catalog.hathitrust.org/Record/002478695","HathiTrust Record")</f>
        <v/>
      </c>
      <c r="AS585">
        <f>HYPERLINK("https://creighton-primo.hosted.exlibrisgroup.com/primo-explore/search?tab=default_tab&amp;search_scope=EVERYTHING&amp;vid=01CRU&amp;lang=en_US&amp;offset=0&amp;query=any,contains,991001858989702656","Catalog Record")</f>
        <v/>
      </c>
      <c r="AT585">
        <f>HYPERLINK("http://www.worldcat.org/oclc/23356490","WorldCat Record")</f>
        <v/>
      </c>
      <c r="AU585" t="inlineStr">
        <is>
          <t>836739649:eng</t>
        </is>
      </c>
      <c r="AV585" t="inlineStr">
        <is>
          <t>23356490</t>
        </is>
      </c>
      <c r="AW585" t="inlineStr">
        <is>
          <t>991001858989702656</t>
        </is>
      </c>
      <c r="AX585" t="inlineStr">
        <is>
          <t>991001858989702656</t>
        </is>
      </c>
      <c r="AY585" t="inlineStr">
        <is>
          <t>2256921540002656</t>
        </is>
      </c>
      <c r="AZ585" t="inlineStr">
        <is>
          <t>BOOK</t>
        </is>
      </c>
      <c r="BB585" t="inlineStr">
        <is>
          <t>9780674033627</t>
        </is>
      </c>
      <c r="BC585" t="inlineStr">
        <is>
          <t>32285001037141</t>
        </is>
      </c>
      <c r="BD585" t="inlineStr">
        <is>
          <t>893516629</t>
        </is>
      </c>
    </row>
    <row r="586">
      <c r="A586" t="inlineStr">
        <is>
          <t>No</t>
        </is>
      </c>
      <c r="B586" t="inlineStr">
        <is>
          <t>QB981 .M774 1990</t>
        </is>
      </c>
      <c r="C586" t="inlineStr">
        <is>
          <t>0                      QB 0981000M  774         1990</t>
        </is>
      </c>
      <c r="D586" t="inlineStr">
        <is>
          <t>Modern cosmology in retrospect / edited by B. Bertotti ... [et al.].</t>
        </is>
      </c>
      <c r="F586" t="inlineStr">
        <is>
          <t>No</t>
        </is>
      </c>
      <c r="G586" t="inlineStr">
        <is>
          <t>1</t>
        </is>
      </c>
      <c r="H586" t="inlineStr">
        <is>
          <t>No</t>
        </is>
      </c>
      <c r="I586" t="inlineStr">
        <is>
          <t>No</t>
        </is>
      </c>
      <c r="J586" t="inlineStr">
        <is>
          <t>0</t>
        </is>
      </c>
      <c r="L586" t="inlineStr">
        <is>
          <t>Cambridge [England] ; New York : Cambridge University Press, 1990.</t>
        </is>
      </c>
      <c r="M586" t="inlineStr">
        <is>
          <t>1990</t>
        </is>
      </c>
      <c r="O586" t="inlineStr">
        <is>
          <t>eng</t>
        </is>
      </c>
      <c r="P586" t="inlineStr">
        <is>
          <t>enk</t>
        </is>
      </c>
      <c r="R586" t="inlineStr">
        <is>
          <t xml:space="preserve">QB </t>
        </is>
      </c>
      <c r="S586" t="n">
        <v>7</v>
      </c>
      <c r="T586" t="n">
        <v>7</v>
      </c>
      <c r="U586" t="inlineStr">
        <is>
          <t>1999-10-25</t>
        </is>
      </c>
      <c r="V586" t="inlineStr">
        <is>
          <t>1999-10-25</t>
        </is>
      </c>
      <c r="W586" t="inlineStr">
        <is>
          <t>1992-07-15</t>
        </is>
      </c>
      <c r="X586" t="inlineStr">
        <is>
          <t>1992-07-15</t>
        </is>
      </c>
      <c r="Y586" t="n">
        <v>267</v>
      </c>
      <c r="Z586" t="n">
        <v>196</v>
      </c>
      <c r="AA586" t="n">
        <v>198</v>
      </c>
      <c r="AB586" t="n">
        <v>4</v>
      </c>
      <c r="AC586" t="n">
        <v>4</v>
      </c>
      <c r="AD586" t="n">
        <v>9</v>
      </c>
      <c r="AE586" t="n">
        <v>9</v>
      </c>
      <c r="AF586" t="n">
        <v>3</v>
      </c>
      <c r="AG586" t="n">
        <v>3</v>
      </c>
      <c r="AH586" t="n">
        <v>0</v>
      </c>
      <c r="AI586" t="n">
        <v>0</v>
      </c>
      <c r="AJ586" t="n">
        <v>5</v>
      </c>
      <c r="AK586" t="n">
        <v>5</v>
      </c>
      <c r="AL586" t="n">
        <v>3</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HYPERLINK("https://creighton-primo.hosted.exlibrisgroup.com/primo-explore/search?tab=default_tab&amp;search_scope=EVERYTHING&amp;vid=01CRU&amp;lang=en_US&amp;offset=0&amp;query=any,contains,991001738529702656","Catalog Record")</f>
        <v/>
      </c>
      <c r="AT586">
        <f>HYPERLINK("http://www.worldcat.org/oclc/21975927","WorldCat Record")</f>
        <v/>
      </c>
      <c r="AU586" t="inlineStr">
        <is>
          <t>23326652:eng</t>
        </is>
      </c>
      <c r="AV586" t="inlineStr">
        <is>
          <t>21975927</t>
        </is>
      </c>
      <c r="AW586" t="inlineStr">
        <is>
          <t>991001738529702656</t>
        </is>
      </c>
      <c r="AX586" t="inlineStr">
        <is>
          <t>991001738529702656</t>
        </is>
      </c>
      <c r="AY586" t="inlineStr">
        <is>
          <t>2267135920002656</t>
        </is>
      </c>
      <c r="AZ586" t="inlineStr">
        <is>
          <t>BOOK</t>
        </is>
      </c>
      <c r="BB586" t="inlineStr">
        <is>
          <t>9780521372138</t>
        </is>
      </c>
      <c r="BC586" t="inlineStr">
        <is>
          <t>32285001158533</t>
        </is>
      </c>
      <c r="BD586" t="inlineStr">
        <is>
          <t>893522789</t>
        </is>
      </c>
    </row>
    <row r="587">
      <c r="A587" t="inlineStr">
        <is>
          <t>No</t>
        </is>
      </c>
      <c r="B587" t="inlineStr">
        <is>
          <t>QB981 .M863 1982</t>
        </is>
      </c>
      <c r="C587" t="inlineStr">
        <is>
          <t>0                      QB 0981000M  863         1982</t>
        </is>
      </c>
      <c r="D587" t="inlineStr">
        <is>
          <t>The fate of the universe / Richard Morris.</t>
        </is>
      </c>
      <c r="F587" t="inlineStr">
        <is>
          <t>No</t>
        </is>
      </c>
      <c r="G587" t="inlineStr">
        <is>
          <t>1</t>
        </is>
      </c>
      <c r="H587" t="inlineStr">
        <is>
          <t>No</t>
        </is>
      </c>
      <c r="I587" t="inlineStr">
        <is>
          <t>No</t>
        </is>
      </c>
      <c r="J587" t="inlineStr">
        <is>
          <t>0</t>
        </is>
      </c>
      <c r="K587" t="inlineStr">
        <is>
          <t>Morris, Richard, 1939-2003.</t>
        </is>
      </c>
      <c r="L587" t="inlineStr">
        <is>
          <t>New York : Playboy Press, c1982.</t>
        </is>
      </c>
      <c r="M587" t="inlineStr">
        <is>
          <t>1982</t>
        </is>
      </c>
      <c r="N587" t="inlineStr">
        <is>
          <t>1st ed.</t>
        </is>
      </c>
      <c r="O587" t="inlineStr">
        <is>
          <t>eng</t>
        </is>
      </c>
      <c r="P587" t="inlineStr">
        <is>
          <t>nyu</t>
        </is>
      </c>
      <c r="R587" t="inlineStr">
        <is>
          <t xml:space="preserve">QB </t>
        </is>
      </c>
      <c r="S587" t="n">
        <v>4</v>
      </c>
      <c r="T587" t="n">
        <v>4</v>
      </c>
      <c r="U587" t="inlineStr">
        <is>
          <t>1993-10-25</t>
        </is>
      </c>
      <c r="V587" t="inlineStr">
        <is>
          <t>1993-10-25</t>
        </is>
      </c>
      <c r="W587" t="inlineStr">
        <is>
          <t>1992-11-24</t>
        </is>
      </c>
      <c r="X587" t="inlineStr">
        <is>
          <t>1992-11-24</t>
        </is>
      </c>
      <c r="Y587" t="n">
        <v>534</v>
      </c>
      <c r="Z587" t="n">
        <v>512</v>
      </c>
      <c r="AA587" t="n">
        <v>527</v>
      </c>
      <c r="AB587" t="n">
        <v>5</v>
      </c>
      <c r="AC587" t="n">
        <v>5</v>
      </c>
      <c r="AD587" t="n">
        <v>15</v>
      </c>
      <c r="AE587" t="n">
        <v>15</v>
      </c>
      <c r="AF587" t="n">
        <v>9</v>
      </c>
      <c r="AG587" t="n">
        <v>9</v>
      </c>
      <c r="AH587" t="n">
        <v>2</v>
      </c>
      <c r="AI587" t="n">
        <v>2</v>
      </c>
      <c r="AJ587" t="n">
        <v>4</v>
      </c>
      <c r="AK587" t="n">
        <v>4</v>
      </c>
      <c r="AL587" t="n">
        <v>3</v>
      </c>
      <c r="AM587" t="n">
        <v>3</v>
      </c>
      <c r="AN587" t="n">
        <v>0</v>
      </c>
      <c r="AO587" t="n">
        <v>0</v>
      </c>
      <c r="AP587" t="inlineStr">
        <is>
          <t>No</t>
        </is>
      </c>
      <c r="AQ587" t="inlineStr">
        <is>
          <t>Yes</t>
        </is>
      </c>
      <c r="AR587">
        <f>HYPERLINK("http://catalog.hathitrust.org/Record/000192474","HathiTrust Record")</f>
        <v/>
      </c>
      <c r="AS587">
        <f>HYPERLINK("https://creighton-primo.hosted.exlibrisgroup.com/primo-explore/search?tab=default_tab&amp;search_scope=EVERYTHING&amp;vid=01CRU&amp;lang=en_US&amp;offset=0&amp;query=any,contains,991005176869702656","Catalog Record")</f>
        <v/>
      </c>
      <c r="AT587">
        <f>HYPERLINK("http://www.worldcat.org/oclc/7924027","WorldCat Record")</f>
        <v/>
      </c>
      <c r="AU587" t="inlineStr">
        <is>
          <t>30278459:eng</t>
        </is>
      </c>
      <c r="AV587" t="inlineStr">
        <is>
          <t>7924027</t>
        </is>
      </c>
      <c r="AW587" t="inlineStr">
        <is>
          <t>991005176869702656</t>
        </is>
      </c>
      <c r="AX587" t="inlineStr">
        <is>
          <t>991005176869702656</t>
        </is>
      </c>
      <c r="AY587" t="inlineStr">
        <is>
          <t>2269279270002656</t>
        </is>
      </c>
      <c r="AZ587" t="inlineStr">
        <is>
          <t>BOOK</t>
        </is>
      </c>
      <c r="BB587" t="inlineStr">
        <is>
          <t>9780872237483</t>
        </is>
      </c>
      <c r="BC587" t="inlineStr">
        <is>
          <t>32285001450260</t>
        </is>
      </c>
      <c r="BD587" t="inlineStr">
        <is>
          <t>893338657</t>
        </is>
      </c>
    </row>
    <row r="588">
      <c r="A588" t="inlineStr">
        <is>
          <t>No</t>
        </is>
      </c>
      <c r="B588" t="inlineStr">
        <is>
          <t>QB981 .N7913 1983</t>
        </is>
      </c>
      <c r="C588" t="inlineStr">
        <is>
          <t>0                      QB 0981000N  7913        1983</t>
        </is>
      </c>
      <c r="D588" t="inlineStr">
        <is>
          <t>Evolution of the universe / I.D. Novikov ; translated by M.M. Basko.</t>
        </is>
      </c>
      <c r="F588" t="inlineStr">
        <is>
          <t>No</t>
        </is>
      </c>
      <c r="G588" t="inlineStr">
        <is>
          <t>1</t>
        </is>
      </c>
      <c r="H588" t="inlineStr">
        <is>
          <t>No</t>
        </is>
      </c>
      <c r="I588" t="inlineStr">
        <is>
          <t>No</t>
        </is>
      </c>
      <c r="J588" t="inlineStr">
        <is>
          <t>0</t>
        </is>
      </c>
      <c r="K588" t="inlineStr">
        <is>
          <t>Novikov, I. D. (Igorʹ Dmitrievich)</t>
        </is>
      </c>
      <c r="L588" t="inlineStr">
        <is>
          <t>Cambridge ; New York : Cambridge University Press, 1983.</t>
        </is>
      </c>
      <c r="M588" t="inlineStr">
        <is>
          <t>1983</t>
        </is>
      </c>
      <c r="O588" t="inlineStr">
        <is>
          <t>eng</t>
        </is>
      </c>
      <c r="P588" t="inlineStr">
        <is>
          <t>enk</t>
        </is>
      </c>
      <c r="R588" t="inlineStr">
        <is>
          <t xml:space="preserve">QB </t>
        </is>
      </c>
      <c r="S588" t="n">
        <v>6</v>
      </c>
      <c r="T588" t="n">
        <v>6</v>
      </c>
      <c r="U588" t="inlineStr">
        <is>
          <t>1999-08-09</t>
        </is>
      </c>
      <c r="V588" t="inlineStr">
        <is>
          <t>1999-08-09</t>
        </is>
      </c>
      <c r="W588" t="inlineStr">
        <is>
          <t>1992-12-02</t>
        </is>
      </c>
      <c r="X588" t="inlineStr">
        <is>
          <t>1992-12-02</t>
        </is>
      </c>
      <c r="Y588" t="n">
        <v>455</v>
      </c>
      <c r="Z588" t="n">
        <v>331</v>
      </c>
      <c r="AA588" t="n">
        <v>336</v>
      </c>
      <c r="AB588" t="n">
        <v>3</v>
      </c>
      <c r="AC588" t="n">
        <v>3</v>
      </c>
      <c r="AD588" t="n">
        <v>14</v>
      </c>
      <c r="AE588" t="n">
        <v>14</v>
      </c>
      <c r="AF588" t="n">
        <v>4</v>
      </c>
      <c r="AG588" t="n">
        <v>4</v>
      </c>
      <c r="AH588" t="n">
        <v>4</v>
      </c>
      <c r="AI588" t="n">
        <v>4</v>
      </c>
      <c r="AJ588" t="n">
        <v>6</v>
      </c>
      <c r="AK588" t="n">
        <v>6</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HYPERLINK("https://creighton-primo.hosted.exlibrisgroup.com/primo-explore/search?tab=default_tab&amp;search_scope=EVERYTHING&amp;vid=01CRU&amp;lang=en_US&amp;offset=0&amp;query=any,contains,991005249389702656","Catalog Record")</f>
        <v/>
      </c>
      <c r="AT588">
        <f>HYPERLINK("http://www.worldcat.org/oclc/8476389","WorldCat Record")</f>
        <v/>
      </c>
      <c r="AU588" t="inlineStr">
        <is>
          <t>352287651:eng</t>
        </is>
      </c>
      <c r="AV588" t="inlineStr">
        <is>
          <t>8476389</t>
        </is>
      </c>
      <c r="AW588" t="inlineStr">
        <is>
          <t>991005249389702656</t>
        </is>
      </c>
      <c r="AX588" t="inlineStr">
        <is>
          <t>991005249389702656</t>
        </is>
      </c>
      <c r="AY588" t="inlineStr">
        <is>
          <t>2257645490002656</t>
        </is>
      </c>
      <c r="AZ588" t="inlineStr">
        <is>
          <t>BOOK</t>
        </is>
      </c>
      <c r="BB588" t="inlineStr">
        <is>
          <t>9780521241298</t>
        </is>
      </c>
      <c r="BC588" t="inlineStr">
        <is>
          <t>32285001450278</t>
        </is>
      </c>
      <c r="BD588" t="inlineStr">
        <is>
          <t>893514331</t>
        </is>
      </c>
    </row>
    <row r="589">
      <c r="A589" t="inlineStr">
        <is>
          <t>No</t>
        </is>
      </c>
      <c r="B589" t="inlineStr">
        <is>
          <t>QB981 .O96 1991</t>
        </is>
      </c>
      <c r="C589" t="inlineStr">
        <is>
          <t>0                      QB 0981000O  96          1991</t>
        </is>
      </c>
      <c r="D589" t="inlineStr">
        <is>
          <t>Lonely hearts of the cosmos : the scientific quest for the secret of the universe / Dennis Overbye.</t>
        </is>
      </c>
      <c r="F589" t="inlineStr">
        <is>
          <t>No</t>
        </is>
      </c>
      <c r="G589" t="inlineStr">
        <is>
          <t>1</t>
        </is>
      </c>
      <c r="H589" t="inlineStr">
        <is>
          <t>No</t>
        </is>
      </c>
      <c r="I589" t="inlineStr">
        <is>
          <t>No</t>
        </is>
      </c>
      <c r="J589" t="inlineStr">
        <is>
          <t>0</t>
        </is>
      </c>
      <c r="K589" t="inlineStr">
        <is>
          <t>Overbye, Dennis, 1944-</t>
        </is>
      </c>
      <c r="L589" t="inlineStr">
        <is>
          <t>New York, NY : HarperCollins, c1991.</t>
        </is>
      </c>
      <c r="M589" t="inlineStr">
        <is>
          <t>1991</t>
        </is>
      </c>
      <c r="N589" t="inlineStr">
        <is>
          <t>1st ed.</t>
        </is>
      </c>
      <c r="O589" t="inlineStr">
        <is>
          <t>eng</t>
        </is>
      </c>
      <c r="P589" t="inlineStr">
        <is>
          <t>nyu</t>
        </is>
      </c>
      <c r="R589" t="inlineStr">
        <is>
          <t xml:space="preserve">QB </t>
        </is>
      </c>
      <c r="S589" t="n">
        <v>3</v>
      </c>
      <c r="T589" t="n">
        <v>3</v>
      </c>
      <c r="U589" t="inlineStr">
        <is>
          <t>1997-04-25</t>
        </is>
      </c>
      <c r="V589" t="inlineStr">
        <is>
          <t>1997-04-25</t>
        </is>
      </c>
      <c r="W589" t="inlineStr">
        <is>
          <t>1992-06-23</t>
        </is>
      </c>
      <c r="X589" t="inlineStr">
        <is>
          <t>1992-06-23</t>
        </is>
      </c>
      <c r="Y589" t="n">
        <v>894</v>
      </c>
      <c r="Z589" t="n">
        <v>833</v>
      </c>
      <c r="AA589" t="n">
        <v>952</v>
      </c>
      <c r="AB589" t="n">
        <v>4</v>
      </c>
      <c r="AC589" t="n">
        <v>5</v>
      </c>
      <c r="AD589" t="n">
        <v>27</v>
      </c>
      <c r="AE589" t="n">
        <v>32</v>
      </c>
      <c r="AF589" t="n">
        <v>8</v>
      </c>
      <c r="AG589" t="n">
        <v>12</v>
      </c>
      <c r="AH589" t="n">
        <v>6</v>
      </c>
      <c r="AI589" t="n">
        <v>6</v>
      </c>
      <c r="AJ589" t="n">
        <v>17</v>
      </c>
      <c r="AK589" t="n">
        <v>19</v>
      </c>
      <c r="AL589" t="n">
        <v>3</v>
      </c>
      <c r="AM589" t="n">
        <v>4</v>
      </c>
      <c r="AN589" t="n">
        <v>0</v>
      </c>
      <c r="AO589" t="n">
        <v>0</v>
      </c>
      <c r="AP589" t="inlineStr">
        <is>
          <t>No</t>
        </is>
      </c>
      <c r="AQ589" t="inlineStr">
        <is>
          <t>Yes</t>
        </is>
      </c>
      <c r="AR589">
        <f>HYPERLINK("http://catalog.hathitrust.org/Record/002424212","HathiTrust Record")</f>
        <v/>
      </c>
      <c r="AS589">
        <f>HYPERLINK("https://creighton-primo.hosted.exlibrisgroup.com/primo-explore/search?tab=default_tab&amp;search_scope=EVERYTHING&amp;vid=01CRU&amp;lang=en_US&amp;offset=0&amp;query=any,contains,991001705789702656","Catalog Record")</f>
        <v/>
      </c>
      <c r="AT589">
        <f>HYPERLINK("http://www.worldcat.org/oclc/21561901","WorldCat Record")</f>
        <v/>
      </c>
      <c r="AU589" t="inlineStr">
        <is>
          <t>23018650:eng</t>
        </is>
      </c>
      <c r="AV589" t="inlineStr">
        <is>
          <t>21561901</t>
        </is>
      </c>
      <c r="AW589" t="inlineStr">
        <is>
          <t>991001705789702656</t>
        </is>
      </c>
      <c r="AX589" t="inlineStr">
        <is>
          <t>991001705789702656</t>
        </is>
      </c>
      <c r="AY589" t="inlineStr">
        <is>
          <t>2264952960002656</t>
        </is>
      </c>
      <c r="AZ589" t="inlineStr">
        <is>
          <t>BOOK</t>
        </is>
      </c>
      <c r="BB589" t="inlineStr">
        <is>
          <t>9780060159641</t>
        </is>
      </c>
      <c r="BC589" t="inlineStr">
        <is>
          <t>32285001155422</t>
        </is>
      </c>
      <c r="BD589" t="inlineStr">
        <is>
          <t>893328313</t>
        </is>
      </c>
    </row>
    <row r="590">
      <c r="A590" t="inlineStr">
        <is>
          <t>No</t>
        </is>
      </c>
      <c r="B590" t="inlineStr">
        <is>
          <t>QB981 .P244 1996</t>
        </is>
      </c>
      <c r="C590" t="inlineStr">
        <is>
          <t>0                      QB 0981000P  244         1996</t>
        </is>
      </c>
      <c r="D590" t="inlineStr">
        <is>
          <t>Cosmology and astrophysics through problems / T. Padmanabhan.</t>
        </is>
      </c>
      <c r="F590" t="inlineStr">
        <is>
          <t>No</t>
        </is>
      </c>
      <c r="G590" t="inlineStr">
        <is>
          <t>1</t>
        </is>
      </c>
      <c r="H590" t="inlineStr">
        <is>
          <t>No</t>
        </is>
      </c>
      <c r="I590" t="inlineStr">
        <is>
          <t>No</t>
        </is>
      </c>
      <c r="J590" t="inlineStr">
        <is>
          <t>0</t>
        </is>
      </c>
      <c r="K590" t="inlineStr">
        <is>
          <t>Padmanabhan, T. (Thanu), 1957-</t>
        </is>
      </c>
      <c r="L590" t="inlineStr">
        <is>
          <t>Cambridge ; New York : Cambridge University Press, 1996.</t>
        </is>
      </c>
      <c r="M590" t="inlineStr">
        <is>
          <t>1996</t>
        </is>
      </c>
      <c r="O590" t="inlineStr">
        <is>
          <t>eng</t>
        </is>
      </c>
      <c r="P590" t="inlineStr">
        <is>
          <t>enk</t>
        </is>
      </c>
      <c r="R590" t="inlineStr">
        <is>
          <t xml:space="preserve">QB </t>
        </is>
      </c>
      <c r="S590" t="n">
        <v>1</v>
      </c>
      <c r="T590" t="n">
        <v>1</v>
      </c>
      <c r="U590" t="inlineStr">
        <is>
          <t>2004-03-02</t>
        </is>
      </c>
      <c r="V590" t="inlineStr">
        <is>
          <t>2004-03-02</t>
        </is>
      </c>
      <c r="W590" t="inlineStr">
        <is>
          <t>2004-03-02</t>
        </is>
      </c>
      <c r="X590" t="inlineStr">
        <is>
          <t>2004-03-02</t>
        </is>
      </c>
      <c r="Y590" t="n">
        <v>257</v>
      </c>
      <c r="Z590" t="n">
        <v>169</v>
      </c>
      <c r="AA590" t="n">
        <v>169</v>
      </c>
      <c r="AB590" t="n">
        <v>2</v>
      </c>
      <c r="AC590" t="n">
        <v>2</v>
      </c>
      <c r="AD590" t="n">
        <v>6</v>
      </c>
      <c r="AE590" t="n">
        <v>6</v>
      </c>
      <c r="AF590" t="n">
        <v>1</v>
      </c>
      <c r="AG590" t="n">
        <v>1</v>
      </c>
      <c r="AH590" t="n">
        <v>1</v>
      </c>
      <c r="AI590" t="n">
        <v>1</v>
      </c>
      <c r="AJ590" t="n">
        <v>4</v>
      </c>
      <c r="AK590" t="n">
        <v>4</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HYPERLINK("https://creighton-primo.hosted.exlibrisgroup.com/primo-explore/search?tab=default_tab&amp;search_scope=EVERYTHING&amp;vid=01CRU&amp;lang=en_US&amp;offset=0&amp;query=any,contains,991004239339702656","Catalog Record")</f>
        <v/>
      </c>
      <c r="AT590">
        <f>HYPERLINK("http://www.worldcat.org/oclc/33947766","WorldCat Record")</f>
        <v/>
      </c>
      <c r="AU590" t="inlineStr">
        <is>
          <t>8908892124:eng</t>
        </is>
      </c>
      <c r="AV590" t="inlineStr">
        <is>
          <t>33947766</t>
        </is>
      </c>
      <c r="AW590" t="inlineStr">
        <is>
          <t>991004239339702656</t>
        </is>
      </c>
      <c r="AX590" t="inlineStr">
        <is>
          <t>991004239339702656</t>
        </is>
      </c>
      <c r="AY590" t="inlineStr">
        <is>
          <t>2262050980002656</t>
        </is>
      </c>
      <c r="AZ590" t="inlineStr">
        <is>
          <t>BOOK</t>
        </is>
      </c>
      <c r="BB590" t="inlineStr">
        <is>
          <t>9780521462303</t>
        </is>
      </c>
      <c r="BC590" t="inlineStr">
        <is>
          <t>32285004891155</t>
        </is>
      </c>
      <c r="BD590" t="inlineStr">
        <is>
          <t>893869468</t>
        </is>
      </c>
    </row>
    <row r="591">
      <c r="A591" t="inlineStr">
        <is>
          <t>No</t>
        </is>
      </c>
      <c r="B591" t="inlineStr">
        <is>
          <t>QB981 .P29 1988</t>
        </is>
      </c>
      <c r="C591" t="inlineStr">
        <is>
          <t>0                      QB 0981000P  29          1988</t>
        </is>
      </c>
      <c r="D591" t="inlineStr">
        <is>
          <t>Creation : the story of the origin and evolution of the universe / Barry Parker ; drawings by Lori Scoffield.</t>
        </is>
      </c>
      <c r="F591" t="inlineStr">
        <is>
          <t>No</t>
        </is>
      </c>
      <c r="G591" t="inlineStr">
        <is>
          <t>1</t>
        </is>
      </c>
      <c r="H591" t="inlineStr">
        <is>
          <t>No</t>
        </is>
      </c>
      <c r="I591" t="inlineStr">
        <is>
          <t>No</t>
        </is>
      </c>
      <c r="J591" t="inlineStr">
        <is>
          <t>0</t>
        </is>
      </c>
      <c r="K591" t="inlineStr">
        <is>
          <t>Parker, Barry R.</t>
        </is>
      </c>
      <c r="L591" t="inlineStr">
        <is>
          <t>New York : Plenum Press, c1988.</t>
        </is>
      </c>
      <c r="M591" t="inlineStr">
        <is>
          <t>1988</t>
        </is>
      </c>
      <c r="O591" t="inlineStr">
        <is>
          <t>eng</t>
        </is>
      </c>
      <c r="P591" t="inlineStr">
        <is>
          <t>nyu</t>
        </is>
      </c>
      <c r="R591" t="inlineStr">
        <is>
          <t xml:space="preserve">QB </t>
        </is>
      </c>
      <c r="S591" t="n">
        <v>10</v>
      </c>
      <c r="T591" t="n">
        <v>10</v>
      </c>
      <c r="U591" t="inlineStr">
        <is>
          <t>1996-04-15</t>
        </is>
      </c>
      <c r="V591" t="inlineStr">
        <is>
          <t>1996-04-15</t>
        </is>
      </c>
      <c r="W591" t="inlineStr">
        <is>
          <t>1992-01-28</t>
        </is>
      </c>
      <c r="X591" t="inlineStr">
        <is>
          <t>1992-01-28</t>
        </is>
      </c>
      <c r="Y591" t="n">
        <v>764</v>
      </c>
      <c r="Z591" t="n">
        <v>663</v>
      </c>
      <c r="AA591" t="n">
        <v>701</v>
      </c>
      <c r="AB591" t="n">
        <v>5</v>
      </c>
      <c r="AC591" t="n">
        <v>5</v>
      </c>
      <c r="AD591" t="n">
        <v>21</v>
      </c>
      <c r="AE591" t="n">
        <v>22</v>
      </c>
      <c r="AF591" t="n">
        <v>8</v>
      </c>
      <c r="AG591" t="n">
        <v>9</v>
      </c>
      <c r="AH591" t="n">
        <v>3</v>
      </c>
      <c r="AI591" t="n">
        <v>3</v>
      </c>
      <c r="AJ591" t="n">
        <v>11</v>
      </c>
      <c r="AK591" t="n">
        <v>11</v>
      </c>
      <c r="AL591" t="n">
        <v>3</v>
      </c>
      <c r="AM591" t="n">
        <v>3</v>
      </c>
      <c r="AN591" t="n">
        <v>0</v>
      </c>
      <c r="AO591" t="n">
        <v>0</v>
      </c>
      <c r="AP591" t="inlineStr">
        <is>
          <t>No</t>
        </is>
      </c>
      <c r="AQ591" t="inlineStr">
        <is>
          <t>Yes</t>
        </is>
      </c>
      <c r="AR591">
        <f>HYPERLINK("http://catalog.hathitrust.org/Record/000929033","HathiTrust Record")</f>
        <v/>
      </c>
      <c r="AS591">
        <f>HYPERLINK("https://creighton-primo.hosted.exlibrisgroup.com/primo-explore/search?tab=default_tab&amp;search_scope=EVERYTHING&amp;vid=01CRU&amp;lang=en_US&amp;offset=0&amp;query=any,contains,991001297979702656","Catalog Record")</f>
        <v/>
      </c>
      <c r="AT591">
        <f>HYPERLINK("http://www.worldcat.org/oclc/18050962","WorldCat Record")</f>
        <v/>
      </c>
      <c r="AU591" t="inlineStr">
        <is>
          <t>196507653:eng</t>
        </is>
      </c>
      <c r="AV591" t="inlineStr">
        <is>
          <t>18050962</t>
        </is>
      </c>
      <c r="AW591" t="inlineStr">
        <is>
          <t>991001297979702656</t>
        </is>
      </c>
      <c r="AX591" t="inlineStr">
        <is>
          <t>991001297979702656</t>
        </is>
      </c>
      <c r="AY591" t="inlineStr">
        <is>
          <t>2268418590002656</t>
        </is>
      </c>
      <c r="AZ591" t="inlineStr">
        <is>
          <t>BOOK</t>
        </is>
      </c>
      <c r="BB591" t="inlineStr">
        <is>
          <t>9780306429521</t>
        </is>
      </c>
      <c r="BC591" t="inlineStr">
        <is>
          <t>32285000899657</t>
        </is>
      </c>
      <c r="BD591" t="inlineStr">
        <is>
          <t>893872450</t>
        </is>
      </c>
    </row>
    <row r="592">
      <c r="A592" t="inlineStr">
        <is>
          <t>No</t>
        </is>
      </c>
      <c r="B592" t="inlineStr">
        <is>
          <t>QB981 .P294 1993</t>
        </is>
      </c>
      <c r="C592" t="inlineStr">
        <is>
          <t>0                      QB 0981000P  294         1993</t>
        </is>
      </c>
      <c r="D592" t="inlineStr">
        <is>
          <t>The vindication of the big bang : breakthroughs and barriers / Barry Parker.</t>
        </is>
      </c>
      <c r="F592" t="inlineStr">
        <is>
          <t>No</t>
        </is>
      </c>
      <c r="G592" t="inlineStr">
        <is>
          <t>1</t>
        </is>
      </c>
      <c r="H592" t="inlineStr">
        <is>
          <t>No</t>
        </is>
      </c>
      <c r="I592" t="inlineStr">
        <is>
          <t>No</t>
        </is>
      </c>
      <c r="J592" t="inlineStr">
        <is>
          <t>0</t>
        </is>
      </c>
      <c r="K592" t="inlineStr">
        <is>
          <t>Parker, Barry R.</t>
        </is>
      </c>
      <c r="L592" t="inlineStr">
        <is>
          <t>New York : Plenum Press, c1993.</t>
        </is>
      </c>
      <c r="M592" t="inlineStr">
        <is>
          <t>1993</t>
        </is>
      </c>
      <c r="O592" t="inlineStr">
        <is>
          <t>eng</t>
        </is>
      </c>
      <c r="P592" t="inlineStr">
        <is>
          <t>nyu</t>
        </is>
      </c>
      <c r="R592" t="inlineStr">
        <is>
          <t xml:space="preserve">QB </t>
        </is>
      </c>
      <c r="S592" t="n">
        <v>7</v>
      </c>
      <c r="T592" t="n">
        <v>7</v>
      </c>
      <c r="U592" t="inlineStr">
        <is>
          <t>2000-10-26</t>
        </is>
      </c>
      <c r="V592" t="inlineStr">
        <is>
          <t>2000-10-26</t>
        </is>
      </c>
      <c r="W592" t="inlineStr">
        <is>
          <t>1993-12-22</t>
        </is>
      </c>
      <c r="X592" t="inlineStr">
        <is>
          <t>1993-12-22</t>
        </is>
      </c>
      <c r="Y592" t="n">
        <v>722</v>
      </c>
      <c r="Z592" t="n">
        <v>649</v>
      </c>
      <c r="AA592" t="n">
        <v>660</v>
      </c>
      <c r="AB592" t="n">
        <v>6</v>
      </c>
      <c r="AC592" t="n">
        <v>6</v>
      </c>
      <c r="AD592" t="n">
        <v>26</v>
      </c>
      <c r="AE592" t="n">
        <v>26</v>
      </c>
      <c r="AF592" t="n">
        <v>8</v>
      </c>
      <c r="AG592" t="n">
        <v>8</v>
      </c>
      <c r="AH592" t="n">
        <v>5</v>
      </c>
      <c r="AI592" t="n">
        <v>5</v>
      </c>
      <c r="AJ592" t="n">
        <v>16</v>
      </c>
      <c r="AK592" t="n">
        <v>16</v>
      </c>
      <c r="AL592" t="n">
        <v>5</v>
      </c>
      <c r="AM592" t="n">
        <v>5</v>
      </c>
      <c r="AN592" t="n">
        <v>0</v>
      </c>
      <c r="AO592" t="n">
        <v>0</v>
      </c>
      <c r="AP592" t="inlineStr">
        <is>
          <t>No</t>
        </is>
      </c>
      <c r="AQ592" t="inlineStr">
        <is>
          <t>Yes</t>
        </is>
      </c>
      <c r="AR592">
        <f>HYPERLINK("http://catalog.hathitrust.org/Record/002635921","HathiTrust Record")</f>
        <v/>
      </c>
      <c r="AS592">
        <f>HYPERLINK("https://creighton-primo.hosted.exlibrisgroup.com/primo-explore/search?tab=default_tab&amp;search_scope=EVERYTHING&amp;vid=01CRU&amp;lang=en_US&amp;offset=0&amp;query=any,contains,991002112919702656","Catalog Record")</f>
        <v/>
      </c>
      <c r="AT592">
        <f>HYPERLINK("http://www.worldcat.org/oclc/27069165","WorldCat Record")</f>
        <v/>
      </c>
      <c r="AU592" t="inlineStr">
        <is>
          <t>365892951:eng</t>
        </is>
      </c>
      <c r="AV592" t="inlineStr">
        <is>
          <t>27069165</t>
        </is>
      </c>
      <c r="AW592" t="inlineStr">
        <is>
          <t>991002112919702656</t>
        </is>
      </c>
      <c r="AX592" t="inlineStr">
        <is>
          <t>991002112919702656</t>
        </is>
      </c>
      <c r="AY592" t="inlineStr">
        <is>
          <t>2254742680002656</t>
        </is>
      </c>
      <c r="AZ592" t="inlineStr">
        <is>
          <t>BOOK</t>
        </is>
      </c>
      <c r="BB592" t="inlineStr">
        <is>
          <t>9780306444692</t>
        </is>
      </c>
      <c r="BC592" t="inlineStr">
        <is>
          <t>32285001816874</t>
        </is>
      </c>
      <c r="BD592" t="inlineStr">
        <is>
          <t>893603211</t>
        </is>
      </c>
    </row>
    <row r="593">
      <c r="A593" t="inlineStr">
        <is>
          <t>No</t>
        </is>
      </c>
      <c r="B593" t="inlineStr">
        <is>
          <t>QB981 .P44 1983</t>
        </is>
      </c>
      <c r="C593" t="inlineStr">
        <is>
          <t>0                      QB 0981000P  44          1983</t>
        </is>
      </c>
      <c r="D593" t="inlineStr">
        <is>
          <t>Darwin's universe : origins and crises in the history of life / Charles R. Pellegrino, Jesse A. Stoff.</t>
        </is>
      </c>
      <c r="F593" t="inlineStr">
        <is>
          <t>No</t>
        </is>
      </c>
      <c r="G593" t="inlineStr">
        <is>
          <t>1</t>
        </is>
      </c>
      <c r="H593" t="inlineStr">
        <is>
          <t>No</t>
        </is>
      </c>
      <c r="I593" t="inlineStr">
        <is>
          <t>No</t>
        </is>
      </c>
      <c r="J593" t="inlineStr">
        <is>
          <t>0</t>
        </is>
      </c>
      <c r="K593" t="inlineStr">
        <is>
          <t>Pellegrino, Charles R.</t>
        </is>
      </c>
      <c r="L593" t="inlineStr">
        <is>
          <t>New York : Van Nostrand Reinhold, c1983.</t>
        </is>
      </c>
      <c r="M593" t="inlineStr">
        <is>
          <t>1983</t>
        </is>
      </c>
      <c r="O593" t="inlineStr">
        <is>
          <t>eng</t>
        </is>
      </c>
      <c r="P593" t="inlineStr">
        <is>
          <t>nyu</t>
        </is>
      </c>
      <c r="R593" t="inlineStr">
        <is>
          <t xml:space="preserve">QB </t>
        </is>
      </c>
      <c r="S593" t="n">
        <v>8</v>
      </c>
      <c r="T593" t="n">
        <v>8</v>
      </c>
      <c r="U593" t="inlineStr">
        <is>
          <t>1996-10-02</t>
        </is>
      </c>
      <c r="V593" t="inlineStr">
        <is>
          <t>1996-10-02</t>
        </is>
      </c>
      <c r="W593" t="inlineStr">
        <is>
          <t>1992-05-06</t>
        </is>
      </c>
      <c r="X593" t="inlineStr">
        <is>
          <t>1992-05-06</t>
        </is>
      </c>
      <c r="Y593" t="n">
        <v>644</v>
      </c>
      <c r="Z593" t="n">
        <v>578</v>
      </c>
      <c r="AA593" t="n">
        <v>677</v>
      </c>
      <c r="AB593" t="n">
        <v>5</v>
      </c>
      <c r="AC593" t="n">
        <v>5</v>
      </c>
      <c r="AD593" t="n">
        <v>17</v>
      </c>
      <c r="AE593" t="n">
        <v>18</v>
      </c>
      <c r="AF593" t="n">
        <v>6</v>
      </c>
      <c r="AG593" t="n">
        <v>7</v>
      </c>
      <c r="AH593" t="n">
        <v>2</v>
      </c>
      <c r="AI593" t="n">
        <v>2</v>
      </c>
      <c r="AJ593" t="n">
        <v>6</v>
      </c>
      <c r="AK593" t="n">
        <v>7</v>
      </c>
      <c r="AL593" t="n">
        <v>4</v>
      </c>
      <c r="AM593" t="n">
        <v>4</v>
      </c>
      <c r="AN593" t="n">
        <v>0</v>
      </c>
      <c r="AO593" t="n">
        <v>0</v>
      </c>
      <c r="AP593" t="inlineStr">
        <is>
          <t>No</t>
        </is>
      </c>
      <c r="AQ593" t="inlineStr">
        <is>
          <t>Yes</t>
        </is>
      </c>
      <c r="AR593">
        <f>HYPERLINK("http://catalog.hathitrust.org/Record/000308503","HathiTrust Record")</f>
        <v/>
      </c>
      <c r="AS593">
        <f>HYPERLINK("https://creighton-primo.hosted.exlibrisgroup.com/primo-explore/search?tab=default_tab&amp;search_scope=EVERYTHING&amp;vid=01CRU&amp;lang=en_US&amp;offset=0&amp;query=any,contains,991005245589702656","Catalog Record")</f>
        <v/>
      </c>
      <c r="AT593">
        <f>HYPERLINK("http://www.worldcat.org/oclc/8452154","WorldCat Record")</f>
        <v/>
      </c>
      <c r="AU593" t="inlineStr">
        <is>
          <t>7010366:eng</t>
        </is>
      </c>
      <c r="AV593" t="inlineStr">
        <is>
          <t>8452154</t>
        </is>
      </c>
      <c r="AW593" t="inlineStr">
        <is>
          <t>991005245589702656</t>
        </is>
      </c>
      <c r="AX593" t="inlineStr">
        <is>
          <t>991005245589702656</t>
        </is>
      </c>
      <c r="AY593" t="inlineStr">
        <is>
          <t>2263013320002656</t>
        </is>
      </c>
      <c r="AZ593" t="inlineStr">
        <is>
          <t>BOOK</t>
        </is>
      </c>
      <c r="BB593" t="inlineStr">
        <is>
          <t>9780442275266</t>
        </is>
      </c>
      <c r="BC593" t="inlineStr">
        <is>
          <t>32285001121036</t>
        </is>
      </c>
      <c r="BD593" t="inlineStr">
        <is>
          <t>893248602</t>
        </is>
      </c>
    </row>
    <row r="594">
      <c r="A594" t="inlineStr">
        <is>
          <t>No</t>
        </is>
      </c>
      <c r="B594" t="inlineStr">
        <is>
          <t>QB981 .P562 1991</t>
        </is>
      </c>
      <c r="C594" t="inlineStr">
        <is>
          <t>0                      QB 0981000P  562         1991</t>
        </is>
      </c>
      <c r="D594" t="inlineStr">
        <is>
          <t>Philosophy and the origin and evolution of the universe / edited by Evandro Agazzi and Alberto Cordero.</t>
        </is>
      </c>
      <c r="F594" t="inlineStr">
        <is>
          <t>No</t>
        </is>
      </c>
      <c r="G594" t="inlineStr">
        <is>
          <t>1</t>
        </is>
      </c>
      <c r="H594" t="inlineStr">
        <is>
          <t>No</t>
        </is>
      </c>
      <c r="I594" t="inlineStr">
        <is>
          <t>No</t>
        </is>
      </c>
      <c r="J594" t="inlineStr">
        <is>
          <t>0</t>
        </is>
      </c>
      <c r="L594" t="inlineStr">
        <is>
          <t>Dordrecht ; Boston : Kluwer Academic Publishers, 1991.</t>
        </is>
      </c>
      <c r="M594" t="inlineStr">
        <is>
          <t>1991</t>
        </is>
      </c>
      <c r="O594" t="inlineStr">
        <is>
          <t>eng</t>
        </is>
      </c>
      <c r="P594" t="inlineStr">
        <is>
          <t xml:space="preserve">ne </t>
        </is>
      </c>
      <c r="Q594" t="inlineStr">
        <is>
          <t>Synthese library ; v. 217</t>
        </is>
      </c>
      <c r="R594" t="inlineStr">
        <is>
          <t xml:space="preserve">QB </t>
        </is>
      </c>
      <c r="S594" t="n">
        <v>1</v>
      </c>
      <c r="T594" t="n">
        <v>1</v>
      </c>
      <c r="U594" t="inlineStr">
        <is>
          <t>1997-11-25</t>
        </is>
      </c>
      <c r="V594" t="inlineStr">
        <is>
          <t>1997-11-25</t>
        </is>
      </c>
      <c r="W594" t="inlineStr">
        <is>
          <t>1992-03-17</t>
        </is>
      </c>
      <c r="X594" t="inlineStr">
        <is>
          <t>1992-03-17</t>
        </is>
      </c>
      <c r="Y594" t="n">
        <v>147</v>
      </c>
      <c r="Z594" t="n">
        <v>91</v>
      </c>
      <c r="AA594" t="n">
        <v>100</v>
      </c>
      <c r="AB594" t="n">
        <v>1</v>
      </c>
      <c r="AC594" t="n">
        <v>1</v>
      </c>
      <c r="AD594" t="n">
        <v>6</v>
      </c>
      <c r="AE594" t="n">
        <v>7</v>
      </c>
      <c r="AF594" t="n">
        <v>2</v>
      </c>
      <c r="AG594" t="n">
        <v>3</v>
      </c>
      <c r="AH594" t="n">
        <v>3</v>
      </c>
      <c r="AI594" t="n">
        <v>3</v>
      </c>
      <c r="AJ594" t="n">
        <v>4</v>
      </c>
      <c r="AK594" t="n">
        <v>5</v>
      </c>
      <c r="AL594" t="n">
        <v>0</v>
      </c>
      <c r="AM594" t="n">
        <v>0</v>
      </c>
      <c r="AN594" t="n">
        <v>0</v>
      </c>
      <c r="AO594" t="n">
        <v>0</v>
      </c>
      <c r="AP594" t="inlineStr">
        <is>
          <t>No</t>
        </is>
      </c>
      <c r="AQ594" t="inlineStr">
        <is>
          <t>Yes</t>
        </is>
      </c>
      <c r="AR594">
        <f>HYPERLINK("http://catalog.hathitrust.org/Record/002493188","HathiTrust Record")</f>
        <v/>
      </c>
      <c r="AS594">
        <f>HYPERLINK("https://creighton-primo.hosted.exlibrisgroup.com/primo-explore/search?tab=default_tab&amp;search_scope=EVERYTHING&amp;vid=01CRU&amp;lang=en_US&amp;offset=0&amp;query=any,contains,991001892199702656","Catalog Record")</f>
        <v/>
      </c>
      <c r="AT594">
        <f>HYPERLINK("http://www.worldcat.org/oclc/23900636","WorldCat Record")</f>
        <v/>
      </c>
      <c r="AU594" t="inlineStr">
        <is>
          <t>356201531:eng</t>
        </is>
      </c>
      <c r="AV594" t="inlineStr">
        <is>
          <t>23900636</t>
        </is>
      </c>
      <c r="AW594" t="inlineStr">
        <is>
          <t>991001892199702656</t>
        </is>
      </c>
      <c r="AX594" t="inlineStr">
        <is>
          <t>991001892199702656</t>
        </is>
      </c>
      <c r="AY594" t="inlineStr">
        <is>
          <t>2254928670002656</t>
        </is>
      </c>
      <c r="AZ594" t="inlineStr">
        <is>
          <t>BOOK</t>
        </is>
      </c>
      <c r="BB594" t="inlineStr">
        <is>
          <t>9780792313229</t>
        </is>
      </c>
      <c r="BC594" t="inlineStr">
        <is>
          <t>32285000939743</t>
        </is>
      </c>
      <c r="BD594" t="inlineStr">
        <is>
          <t>893898139</t>
        </is>
      </c>
    </row>
    <row r="595">
      <c r="A595" t="inlineStr">
        <is>
          <t>No</t>
        </is>
      </c>
      <c r="B595" t="inlineStr">
        <is>
          <t>QB981 .P875 1985</t>
        </is>
      </c>
      <c r="C595" t="inlineStr">
        <is>
          <t>0                      QB 0981000P  875         1985</t>
        </is>
      </c>
      <c r="D595" t="inlineStr">
        <is>
          <t>Light in Einstein's universe : the role of energy in cosmology and relativity / by S.J. Prokhovnik.</t>
        </is>
      </c>
      <c r="F595" t="inlineStr">
        <is>
          <t>No</t>
        </is>
      </c>
      <c r="G595" t="inlineStr">
        <is>
          <t>1</t>
        </is>
      </c>
      <c r="H595" t="inlineStr">
        <is>
          <t>No</t>
        </is>
      </c>
      <c r="I595" t="inlineStr">
        <is>
          <t>No</t>
        </is>
      </c>
      <c r="J595" t="inlineStr">
        <is>
          <t>0</t>
        </is>
      </c>
      <c r="K595" t="inlineStr">
        <is>
          <t>Prokhovnik, S. J.</t>
        </is>
      </c>
      <c r="L595" t="inlineStr">
        <is>
          <t>Dordrecht ; Boston : D. Reidel Pub. Co. ; Hingham, MA, U.S.A. : Sold and distributed in the U.S.A. and Canada by Kluwer Academic Publishers, c1985.</t>
        </is>
      </c>
      <c r="M595" t="inlineStr">
        <is>
          <t>1985</t>
        </is>
      </c>
      <c r="O595" t="inlineStr">
        <is>
          <t>eng</t>
        </is>
      </c>
      <c r="P595" t="inlineStr">
        <is>
          <t xml:space="preserve">ne </t>
        </is>
      </c>
      <c r="Q595" t="inlineStr">
        <is>
          <t>Fundamental theories of physics</t>
        </is>
      </c>
      <c r="R595" t="inlineStr">
        <is>
          <t xml:space="preserve">QB </t>
        </is>
      </c>
      <c r="S595" t="n">
        <v>14</v>
      </c>
      <c r="T595" t="n">
        <v>14</v>
      </c>
      <c r="U595" t="inlineStr">
        <is>
          <t>1999-04-16</t>
        </is>
      </c>
      <c r="V595" t="inlineStr">
        <is>
          <t>1999-04-16</t>
        </is>
      </c>
      <c r="W595" t="inlineStr">
        <is>
          <t>1992-12-02</t>
        </is>
      </c>
      <c r="X595" t="inlineStr">
        <is>
          <t>1992-12-02</t>
        </is>
      </c>
      <c r="Y595" t="n">
        <v>261</v>
      </c>
      <c r="Z595" t="n">
        <v>167</v>
      </c>
      <c r="AA595" t="n">
        <v>180</v>
      </c>
      <c r="AB595" t="n">
        <v>3</v>
      </c>
      <c r="AC595" t="n">
        <v>3</v>
      </c>
      <c r="AD595" t="n">
        <v>7</v>
      </c>
      <c r="AE595" t="n">
        <v>7</v>
      </c>
      <c r="AF595" t="n">
        <v>1</v>
      </c>
      <c r="AG595" t="n">
        <v>1</v>
      </c>
      <c r="AH595" t="n">
        <v>2</v>
      </c>
      <c r="AI595" t="n">
        <v>2</v>
      </c>
      <c r="AJ595" t="n">
        <v>3</v>
      </c>
      <c r="AK595" t="n">
        <v>3</v>
      </c>
      <c r="AL595" t="n">
        <v>2</v>
      </c>
      <c r="AM595" t="n">
        <v>2</v>
      </c>
      <c r="AN595" t="n">
        <v>0</v>
      </c>
      <c r="AO595" t="n">
        <v>0</v>
      </c>
      <c r="AP595" t="inlineStr">
        <is>
          <t>No</t>
        </is>
      </c>
      <c r="AQ595" t="inlineStr">
        <is>
          <t>Yes</t>
        </is>
      </c>
      <c r="AR595">
        <f>HYPERLINK("http://catalog.hathitrust.org/Record/000352256","HathiTrust Record")</f>
        <v/>
      </c>
      <c r="AS595">
        <f>HYPERLINK("https://creighton-primo.hosted.exlibrisgroup.com/primo-explore/search?tab=default_tab&amp;search_scope=EVERYTHING&amp;vid=01CRU&amp;lang=en_US&amp;offset=0&amp;query=any,contains,991000653179702656","Catalog Record")</f>
        <v/>
      </c>
      <c r="AT595">
        <f>HYPERLINK("http://www.worldcat.org/oclc/12189077","WorldCat Record")</f>
        <v/>
      </c>
      <c r="AU595" t="inlineStr">
        <is>
          <t>836717826:eng</t>
        </is>
      </c>
      <c r="AV595" t="inlineStr">
        <is>
          <t>12189077</t>
        </is>
      </c>
      <c r="AW595" t="inlineStr">
        <is>
          <t>991000653179702656</t>
        </is>
      </c>
      <c r="AX595" t="inlineStr">
        <is>
          <t>991000653179702656</t>
        </is>
      </c>
      <c r="AY595" t="inlineStr">
        <is>
          <t>2255383160002656</t>
        </is>
      </c>
      <c r="AZ595" t="inlineStr">
        <is>
          <t>BOOK</t>
        </is>
      </c>
      <c r="BB595" t="inlineStr">
        <is>
          <t>9789027720931</t>
        </is>
      </c>
      <c r="BC595" t="inlineStr">
        <is>
          <t>32285001450294</t>
        </is>
      </c>
      <c r="BD595" t="inlineStr">
        <is>
          <t>893601940</t>
        </is>
      </c>
    </row>
    <row r="596">
      <c r="A596" t="inlineStr">
        <is>
          <t>No</t>
        </is>
      </c>
      <c r="B596" t="inlineStr">
        <is>
          <t>QB981 .R34 1997</t>
        </is>
      </c>
      <c r="C596" t="inlineStr">
        <is>
          <t>0                      QB 0981000R  34          1997</t>
        </is>
      </c>
      <c r="D596" t="inlineStr">
        <is>
          <t>Before the beginning : our universe and others / Martin Rees ; foreword by Stephen Hawking.</t>
        </is>
      </c>
      <c r="F596" t="inlineStr">
        <is>
          <t>No</t>
        </is>
      </c>
      <c r="G596" t="inlineStr">
        <is>
          <t>1</t>
        </is>
      </c>
      <c r="H596" t="inlineStr">
        <is>
          <t>No</t>
        </is>
      </c>
      <c r="I596" t="inlineStr">
        <is>
          <t>No</t>
        </is>
      </c>
      <c r="J596" t="inlineStr">
        <is>
          <t>0</t>
        </is>
      </c>
      <c r="K596" t="inlineStr">
        <is>
          <t>Rees, Martin J., 1942-</t>
        </is>
      </c>
      <c r="L596" t="inlineStr">
        <is>
          <t>Reading, Mass. : Addison-Wesley, 1997.</t>
        </is>
      </c>
      <c r="M596" t="inlineStr">
        <is>
          <t>1997</t>
        </is>
      </c>
      <c r="O596" t="inlineStr">
        <is>
          <t>eng</t>
        </is>
      </c>
      <c r="P596" t="inlineStr">
        <is>
          <t>mau</t>
        </is>
      </c>
      <c r="Q596" t="inlineStr">
        <is>
          <t>Helix books</t>
        </is>
      </c>
      <c r="R596" t="inlineStr">
        <is>
          <t xml:space="preserve">QB </t>
        </is>
      </c>
      <c r="S596" t="n">
        <v>5</v>
      </c>
      <c r="T596" t="n">
        <v>5</v>
      </c>
      <c r="U596" t="inlineStr">
        <is>
          <t>2004-08-24</t>
        </is>
      </c>
      <c r="V596" t="inlineStr">
        <is>
          <t>2004-08-24</t>
        </is>
      </c>
      <c r="W596" t="inlineStr">
        <is>
          <t>1998-04-06</t>
        </is>
      </c>
      <c r="X596" t="inlineStr">
        <is>
          <t>1998-04-06</t>
        </is>
      </c>
      <c r="Y596" t="n">
        <v>847</v>
      </c>
      <c r="Z596" t="n">
        <v>797</v>
      </c>
      <c r="AA596" t="n">
        <v>987</v>
      </c>
      <c r="AB596" t="n">
        <v>4</v>
      </c>
      <c r="AC596" t="n">
        <v>6</v>
      </c>
      <c r="AD596" t="n">
        <v>23</v>
      </c>
      <c r="AE596" t="n">
        <v>30</v>
      </c>
      <c r="AF596" t="n">
        <v>8</v>
      </c>
      <c r="AG596" t="n">
        <v>10</v>
      </c>
      <c r="AH596" t="n">
        <v>8</v>
      </c>
      <c r="AI596" t="n">
        <v>9</v>
      </c>
      <c r="AJ596" t="n">
        <v>12</v>
      </c>
      <c r="AK596" t="n">
        <v>17</v>
      </c>
      <c r="AL596" t="n">
        <v>2</v>
      </c>
      <c r="AM596" t="n">
        <v>3</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HYPERLINK("https://creighton-primo.hosted.exlibrisgroup.com/primo-explore/search?tab=default_tab&amp;search_scope=EVERYTHING&amp;vid=01CRU&amp;lang=en_US&amp;offset=0&amp;query=any,contains,991002806859702656","Catalog Record")</f>
        <v/>
      </c>
      <c r="AT596">
        <f>HYPERLINK("http://www.worldcat.org/oclc/36877342","WorldCat Record")</f>
        <v/>
      </c>
      <c r="AU596" t="inlineStr">
        <is>
          <t>600055:eng</t>
        </is>
      </c>
      <c r="AV596" t="inlineStr">
        <is>
          <t>36877342</t>
        </is>
      </c>
      <c r="AW596" t="inlineStr">
        <is>
          <t>991002806859702656</t>
        </is>
      </c>
      <c r="AX596" t="inlineStr">
        <is>
          <t>991002806859702656</t>
        </is>
      </c>
      <c r="AY596" t="inlineStr">
        <is>
          <t>2256928360002656</t>
        </is>
      </c>
      <c r="AZ596" t="inlineStr">
        <is>
          <t>BOOK</t>
        </is>
      </c>
      <c r="BB596" t="inlineStr">
        <is>
          <t>9780201151428</t>
        </is>
      </c>
      <c r="BC596" t="inlineStr">
        <is>
          <t>32285003383188</t>
        </is>
      </c>
      <c r="BD596" t="inlineStr">
        <is>
          <t>893880444</t>
        </is>
      </c>
    </row>
    <row r="597">
      <c r="A597" t="inlineStr">
        <is>
          <t>No</t>
        </is>
      </c>
      <c r="B597" t="inlineStr">
        <is>
          <t>QB981 .R3813 1991</t>
        </is>
      </c>
      <c r="C597" t="inlineStr">
        <is>
          <t>0                      QB 0981000R  3813        1991</t>
        </is>
      </c>
      <c r="D597" t="inlineStr">
        <is>
          <t>The hour of our delight : cosmic evolution, order, and complexity / Hubert Reeves.</t>
        </is>
      </c>
      <c r="F597" t="inlineStr">
        <is>
          <t>No</t>
        </is>
      </c>
      <c r="G597" t="inlineStr">
        <is>
          <t>1</t>
        </is>
      </c>
      <c r="H597" t="inlineStr">
        <is>
          <t>No</t>
        </is>
      </c>
      <c r="I597" t="inlineStr">
        <is>
          <t>No</t>
        </is>
      </c>
      <c r="J597" t="inlineStr">
        <is>
          <t>0</t>
        </is>
      </c>
      <c r="K597" t="inlineStr">
        <is>
          <t>Reeves, Hubert.</t>
        </is>
      </c>
      <c r="L597" t="inlineStr">
        <is>
          <t>New York : W.H. Freeman, c1991.</t>
        </is>
      </c>
      <c r="M597" t="inlineStr">
        <is>
          <t>1991</t>
        </is>
      </c>
      <c r="O597" t="inlineStr">
        <is>
          <t>eng</t>
        </is>
      </c>
      <c r="P597" t="inlineStr">
        <is>
          <t>nyu</t>
        </is>
      </c>
      <c r="R597" t="inlineStr">
        <is>
          <t xml:space="preserve">QB </t>
        </is>
      </c>
      <c r="S597" t="n">
        <v>1</v>
      </c>
      <c r="T597" t="n">
        <v>1</v>
      </c>
      <c r="U597" t="inlineStr">
        <is>
          <t>1992-07-23</t>
        </is>
      </c>
      <c r="V597" t="inlineStr">
        <is>
          <t>1992-07-23</t>
        </is>
      </c>
      <c r="W597" t="inlineStr">
        <is>
          <t>1992-06-23</t>
        </is>
      </c>
      <c r="X597" t="inlineStr">
        <is>
          <t>1992-06-23</t>
        </is>
      </c>
      <c r="Y597" t="n">
        <v>491</v>
      </c>
      <c r="Z597" t="n">
        <v>423</v>
      </c>
      <c r="AA597" t="n">
        <v>424</v>
      </c>
      <c r="AB597" t="n">
        <v>3</v>
      </c>
      <c r="AC597" t="n">
        <v>3</v>
      </c>
      <c r="AD597" t="n">
        <v>20</v>
      </c>
      <c r="AE597" t="n">
        <v>20</v>
      </c>
      <c r="AF597" t="n">
        <v>6</v>
      </c>
      <c r="AG597" t="n">
        <v>6</v>
      </c>
      <c r="AH597" t="n">
        <v>6</v>
      </c>
      <c r="AI597" t="n">
        <v>6</v>
      </c>
      <c r="AJ597" t="n">
        <v>14</v>
      </c>
      <c r="AK597" t="n">
        <v>14</v>
      </c>
      <c r="AL597" t="n">
        <v>2</v>
      </c>
      <c r="AM597" t="n">
        <v>2</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HYPERLINK("https://creighton-primo.hosted.exlibrisgroup.com/primo-explore/search?tab=default_tab&amp;search_scope=EVERYTHING&amp;vid=01CRU&amp;lang=en_US&amp;offset=0&amp;query=any,contains,991001815249702656","Catalog Record")</f>
        <v/>
      </c>
      <c r="AT597">
        <f>HYPERLINK("http://www.worldcat.org/oclc/22809958","WorldCat Record")</f>
        <v/>
      </c>
      <c r="AU597" t="inlineStr">
        <is>
          <t>3001519109:eng</t>
        </is>
      </c>
      <c r="AV597" t="inlineStr">
        <is>
          <t>22809958</t>
        </is>
      </c>
      <c r="AW597" t="inlineStr">
        <is>
          <t>991001815249702656</t>
        </is>
      </c>
      <c r="AX597" t="inlineStr">
        <is>
          <t>991001815249702656</t>
        </is>
      </c>
      <c r="AY597" t="inlineStr">
        <is>
          <t>2259319060002656</t>
        </is>
      </c>
      <c r="AZ597" t="inlineStr">
        <is>
          <t>BOOK</t>
        </is>
      </c>
      <c r="BB597" t="inlineStr">
        <is>
          <t>9780716722205</t>
        </is>
      </c>
      <c r="BC597" t="inlineStr">
        <is>
          <t>32285001155471</t>
        </is>
      </c>
      <c r="BD597" t="inlineStr">
        <is>
          <t>893352026</t>
        </is>
      </c>
    </row>
    <row r="598">
      <c r="A598" t="inlineStr">
        <is>
          <t>No</t>
        </is>
      </c>
      <c r="B598" t="inlineStr">
        <is>
          <t>QB981 .R653 2003</t>
        </is>
      </c>
      <c r="C598" t="inlineStr">
        <is>
          <t>0                      QB 0981000R  653         2003</t>
        </is>
      </c>
      <c r="D598" t="inlineStr">
        <is>
          <t>Introduction to cosmology / Matts Roos.</t>
        </is>
      </c>
      <c r="F598" t="inlineStr">
        <is>
          <t>No</t>
        </is>
      </c>
      <c r="G598" t="inlineStr">
        <is>
          <t>1</t>
        </is>
      </c>
      <c r="H598" t="inlineStr">
        <is>
          <t>No</t>
        </is>
      </c>
      <c r="I598" t="inlineStr">
        <is>
          <t>No</t>
        </is>
      </c>
      <c r="J598" t="inlineStr">
        <is>
          <t>0</t>
        </is>
      </c>
      <c r="K598" t="inlineStr">
        <is>
          <t>Roos, Matts.</t>
        </is>
      </c>
      <c r="L598" t="inlineStr">
        <is>
          <t>Chichester, West Sussex, England ; Hoboken, NJ : Wiley, c2003.</t>
        </is>
      </c>
      <c r="M598" t="inlineStr">
        <is>
          <t>2003</t>
        </is>
      </c>
      <c r="N598" t="inlineStr">
        <is>
          <t>3rd ed.</t>
        </is>
      </c>
      <c r="O598" t="inlineStr">
        <is>
          <t>eng</t>
        </is>
      </c>
      <c r="P598" t="inlineStr">
        <is>
          <t>enk</t>
        </is>
      </c>
      <c r="R598" t="inlineStr">
        <is>
          <t xml:space="preserve">QB </t>
        </is>
      </c>
      <c r="S598" t="n">
        <v>6</v>
      </c>
      <c r="T598" t="n">
        <v>6</v>
      </c>
      <c r="U598" t="inlineStr">
        <is>
          <t>2009-04-08</t>
        </is>
      </c>
      <c r="V598" t="inlineStr">
        <is>
          <t>2009-04-08</t>
        </is>
      </c>
      <c r="W598" t="inlineStr">
        <is>
          <t>2005-04-07</t>
        </is>
      </c>
      <c r="X598" t="inlineStr">
        <is>
          <t>2005-04-07</t>
        </is>
      </c>
      <c r="Y598" t="n">
        <v>181</v>
      </c>
      <c r="Z598" t="n">
        <v>102</v>
      </c>
      <c r="AA598" t="n">
        <v>970</v>
      </c>
      <c r="AB598" t="n">
        <v>1</v>
      </c>
      <c r="AC598" t="n">
        <v>27</v>
      </c>
      <c r="AD598" t="n">
        <v>2</v>
      </c>
      <c r="AE598" t="n">
        <v>39</v>
      </c>
      <c r="AF598" t="n">
        <v>1</v>
      </c>
      <c r="AG598" t="n">
        <v>14</v>
      </c>
      <c r="AH598" t="n">
        <v>0</v>
      </c>
      <c r="AI598" t="n">
        <v>7</v>
      </c>
      <c r="AJ598" t="n">
        <v>1</v>
      </c>
      <c r="AK598" t="n">
        <v>11</v>
      </c>
      <c r="AL598" t="n">
        <v>0</v>
      </c>
      <c r="AM598" t="n">
        <v>12</v>
      </c>
      <c r="AN598" t="n">
        <v>0</v>
      </c>
      <c r="AO598" t="n">
        <v>1</v>
      </c>
      <c r="AP598" t="inlineStr">
        <is>
          <t>No</t>
        </is>
      </c>
      <c r="AQ598" t="inlineStr">
        <is>
          <t>No</t>
        </is>
      </c>
      <c r="AS598">
        <f>HYPERLINK("https://creighton-primo.hosted.exlibrisgroup.com/primo-explore/search?tab=default_tab&amp;search_scope=EVERYTHING&amp;vid=01CRU&amp;lang=en_US&amp;offset=0&amp;query=any,contains,991004495489702656","Catalog Record")</f>
        <v/>
      </c>
      <c r="AT598">
        <f>HYPERLINK("http://www.worldcat.org/oclc/53096953","WorldCat Record")</f>
        <v/>
      </c>
      <c r="AU598" t="inlineStr">
        <is>
          <t>551047:eng</t>
        </is>
      </c>
      <c r="AV598" t="inlineStr">
        <is>
          <t>53096953</t>
        </is>
      </c>
      <c r="AW598" t="inlineStr">
        <is>
          <t>991004495489702656</t>
        </is>
      </c>
      <c r="AX598" t="inlineStr">
        <is>
          <t>991004495489702656</t>
        </is>
      </c>
      <c r="AY598" t="inlineStr">
        <is>
          <t>2264077200002656</t>
        </is>
      </c>
      <c r="AZ598" t="inlineStr">
        <is>
          <t>BOOK</t>
        </is>
      </c>
      <c r="BB598" t="inlineStr">
        <is>
          <t>9780470849095</t>
        </is>
      </c>
      <c r="BC598" t="inlineStr">
        <is>
          <t>32285005048615</t>
        </is>
      </c>
      <c r="BD598" t="inlineStr">
        <is>
          <t>893869777</t>
        </is>
      </c>
    </row>
    <row r="599">
      <c r="A599" t="inlineStr">
        <is>
          <t>No</t>
        </is>
      </c>
      <c r="B599" t="inlineStr">
        <is>
          <t>QB981 .R69 1981</t>
        </is>
      </c>
      <c r="C599" t="inlineStr">
        <is>
          <t>0                      QB 0981000R  69          1981</t>
        </is>
      </c>
      <c r="D599" t="inlineStr">
        <is>
          <t>Cosmology / Michael Rowan-Robinson.</t>
        </is>
      </c>
      <c r="F599" t="inlineStr">
        <is>
          <t>No</t>
        </is>
      </c>
      <c r="G599" t="inlineStr">
        <is>
          <t>1</t>
        </is>
      </c>
      <c r="H599" t="inlineStr">
        <is>
          <t>No</t>
        </is>
      </c>
      <c r="I599" t="inlineStr">
        <is>
          <t>No</t>
        </is>
      </c>
      <c r="J599" t="inlineStr">
        <is>
          <t>0</t>
        </is>
      </c>
      <c r="K599" t="inlineStr">
        <is>
          <t>Rowan-Robinson, Michael.</t>
        </is>
      </c>
      <c r="L599" t="inlineStr">
        <is>
          <t>Oxford : Clarendon Press, 1981.</t>
        </is>
      </c>
      <c r="M599" t="inlineStr">
        <is>
          <t>1981</t>
        </is>
      </c>
      <c r="N599" t="inlineStr">
        <is>
          <t>2nd ed.</t>
        </is>
      </c>
      <c r="O599" t="inlineStr">
        <is>
          <t>eng</t>
        </is>
      </c>
      <c r="P599" t="inlineStr">
        <is>
          <t>enk</t>
        </is>
      </c>
      <c r="Q599" t="inlineStr">
        <is>
          <t>Oxford physics series ; 15</t>
        </is>
      </c>
      <c r="R599" t="inlineStr">
        <is>
          <t xml:space="preserve">QB </t>
        </is>
      </c>
      <c r="S599" t="n">
        <v>1</v>
      </c>
      <c r="T599" t="n">
        <v>1</v>
      </c>
      <c r="U599" t="inlineStr">
        <is>
          <t>1999-09-29</t>
        </is>
      </c>
      <c r="V599" t="inlineStr">
        <is>
          <t>1999-09-29</t>
        </is>
      </c>
      <c r="W599" t="inlineStr">
        <is>
          <t>1992-12-02</t>
        </is>
      </c>
      <c r="X599" t="inlineStr">
        <is>
          <t>1992-12-02</t>
        </is>
      </c>
      <c r="Y599" t="n">
        <v>272</v>
      </c>
      <c r="Z599" t="n">
        <v>175</v>
      </c>
      <c r="AA599" t="n">
        <v>550</v>
      </c>
      <c r="AB599" t="n">
        <v>2</v>
      </c>
      <c r="AC599" t="n">
        <v>3</v>
      </c>
      <c r="AD599" t="n">
        <v>6</v>
      </c>
      <c r="AE599" t="n">
        <v>24</v>
      </c>
      <c r="AF599" t="n">
        <v>1</v>
      </c>
      <c r="AG599" t="n">
        <v>8</v>
      </c>
      <c r="AH599" t="n">
        <v>3</v>
      </c>
      <c r="AI599" t="n">
        <v>6</v>
      </c>
      <c r="AJ599" t="n">
        <v>2</v>
      </c>
      <c r="AK599" t="n">
        <v>13</v>
      </c>
      <c r="AL599" t="n">
        <v>1</v>
      </c>
      <c r="AM599" t="n">
        <v>2</v>
      </c>
      <c r="AN599" t="n">
        <v>0</v>
      </c>
      <c r="AO599" t="n">
        <v>0</v>
      </c>
      <c r="AP599" t="inlineStr">
        <is>
          <t>No</t>
        </is>
      </c>
      <c r="AQ599" t="inlineStr">
        <is>
          <t>Yes</t>
        </is>
      </c>
      <c r="AR599">
        <f>HYPERLINK("http://catalog.hathitrust.org/Record/000143935","HathiTrust Record")</f>
        <v/>
      </c>
      <c r="AS599">
        <f>HYPERLINK("https://creighton-primo.hosted.exlibrisgroup.com/primo-explore/search?tab=default_tab&amp;search_scope=EVERYTHING&amp;vid=01CRU&amp;lang=en_US&amp;offset=0&amp;query=any,contains,991005149159702656","Catalog Record")</f>
        <v/>
      </c>
      <c r="AT599">
        <f>HYPERLINK("http://www.worldcat.org/oclc/7701584","WorldCat Record")</f>
        <v/>
      </c>
      <c r="AU599" t="inlineStr">
        <is>
          <t>416285:eng</t>
        </is>
      </c>
      <c r="AV599" t="inlineStr">
        <is>
          <t>7701584</t>
        </is>
      </c>
      <c r="AW599" t="inlineStr">
        <is>
          <t>991005149159702656</t>
        </is>
      </c>
      <c r="AX599" t="inlineStr">
        <is>
          <t>991005149159702656</t>
        </is>
      </c>
      <c r="AY599" t="inlineStr">
        <is>
          <t>2259864560002656</t>
        </is>
      </c>
      <c r="AZ599" t="inlineStr">
        <is>
          <t>BOOK</t>
        </is>
      </c>
      <c r="BB599" t="inlineStr">
        <is>
          <t>9780198518570</t>
        </is>
      </c>
      <c r="BC599" t="inlineStr">
        <is>
          <t>32285001450336</t>
        </is>
      </c>
      <c r="BD599" t="inlineStr">
        <is>
          <t>893338596</t>
        </is>
      </c>
    </row>
    <row r="600">
      <c r="A600" t="inlineStr">
        <is>
          <t>No</t>
        </is>
      </c>
      <c r="B600" t="inlineStr">
        <is>
          <t>QB981 .S55</t>
        </is>
      </c>
      <c r="C600" t="inlineStr">
        <is>
          <t>0                      QB 0981000S  55</t>
        </is>
      </c>
      <c r="D600" t="inlineStr">
        <is>
          <t>The big bang : the creation and evolution of the universe / Joseph Silk ; with a foreword by Dennis Sciama.</t>
        </is>
      </c>
      <c r="F600" t="inlineStr">
        <is>
          <t>No</t>
        </is>
      </c>
      <c r="G600" t="inlineStr">
        <is>
          <t>1</t>
        </is>
      </c>
      <c r="H600" t="inlineStr">
        <is>
          <t>No</t>
        </is>
      </c>
      <c r="I600" t="inlineStr">
        <is>
          <t>No</t>
        </is>
      </c>
      <c r="J600" t="inlineStr">
        <is>
          <t>0</t>
        </is>
      </c>
      <c r="K600" t="inlineStr">
        <is>
          <t>Silk, Joseph, 1942-</t>
        </is>
      </c>
      <c r="L600" t="inlineStr">
        <is>
          <t>San Francisco : W. H. Freeman, c1980.</t>
        </is>
      </c>
      <c r="M600" t="inlineStr">
        <is>
          <t>1980</t>
        </is>
      </c>
      <c r="O600" t="inlineStr">
        <is>
          <t>eng</t>
        </is>
      </c>
      <c r="P600" t="inlineStr">
        <is>
          <t>cau</t>
        </is>
      </c>
      <c r="R600" t="inlineStr">
        <is>
          <t xml:space="preserve">QB </t>
        </is>
      </c>
      <c r="S600" t="n">
        <v>24</v>
      </c>
      <c r="T600" t="n">
        <v>24</v>
      </c>
      <c r="U600" t="inlineStr">
        <is>
          <t>2006-04-04</t>
        </is>
      </c>
      <c r="V600" t="inlineStr">
        <is>
          <t>2006-04-04</t>
        </is>
      </c>
      <c r="W600" t="inlineStr">
        <is>
          <t>1992-01-28</t>
        </is>
      </c>
      <c r="X600" t="inlineStr">
        <is>
          <t>1992-01-28</t>
        </is>
      </c>
      <c r="Y600" t="n">
        <v>1112</v>
      </c>
      <c r="Z600" t="n">
        <v>918</v>
      </c>
      <c r="AA600" t="n">
        <v>1630</v>
      </c>
      <c r="AB600" t="n">
        <v>6</v>
      </c>
      <c r="AC600" t="n">
        <v>11</v>
      </c>
      <c r="AD600" t="n">
        <v>26</v>
      </c>
      <c r="AE600" t="n">
        <v>45</v>
      </c>
      <c r="AF600" t="n">
        <v>10</v>
      </c>
      <c r="AG600" t="n">
        <v>15</v>
      </c>
      <c r="AH600" t="n">
        <v>3</v>
      </c>
      <c r="AI600" t="n">
        <v>8</v>
      </c>
      <c r="AJ600" t="n">
        <v>13</v>
      </c>
      <c r="AK600" t="n">
        <v>24</v>
      </c>
      <c r="AL600" t="n">
        <v>4</v>
      </c>
      <c r="AM600" t="n">
        <v>9</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HYPERLINK("https://creighton-primo.hosted.exlibrisgroup.com/primo-explore/search?tab=default_tab&amp;search_scope=EVERYTHING&amp;vid=01CRU&amp;lang=en_US&amp;offset=0&amp;query=any,contains,991005378219702656","Catalog Record")</f>
        <v/>
      </c>
      <c r="AT600">
        <f>HYPERLINK("http://www.worldcat.org/oclc/5310727","WorldCat Record")</f>
        <v/>
      </c>
      <c r="AU600" t="inlineStr">
        <is>
          <t>48413:eng</t>
        </is>
      </c>
      <c r="AV600" t="inlineStr">
        <is>
          <t>5310727</t>
        </is>
      </c>
      <c r="AW600" t="inlineStr">
        <is>
          <t>991005378219702656</t>
        </is>
      </c>
      <c r="AX600" t="inlineStr">
        <is>
          <t>991005378219702656</t>
        </is>
      </c>
      <c r="AY600" t="inlineStr">
        <is>
          <t>2264341190002656</t>
        </is>
      </c>
      <c r="AZ600" t="inlineStr">
        <is>
          <t>BOOK</t>
        </is>
      </c>
      <c r="BB600" t="inlineStr">
        <is>
          <t>9780716710844</t>
        </is>
      </c>
      <c r="BC600" t="inlineStr">
        <is>
          <t>32285000899665</t>
        </is>
      </c>
      <c r="BD600" t="inlineStr">
        <is>
          <t>893877438</t>
        </is>
      </c>
    </row>
    <row r="601">
      <c r="A601" t="inlineStr">
        <is>
          <t>No</t>
        </is>
      </c>
      <c r="B601" t="inlineStr">
        <is>
          <t>QB981 .S553 1994</t>
        </is>
      </c>
      <c r="C601" t="inlineStr">
        <is>
          <t>0                      QB 0981000S  553         1994</t>
        </is>
      </c>
      <c r="D601" t="inlineStr">
        <is>
          <t>Cosmic enigmas / Joseph Silk.</t>
        </is>
      </c>
      <c r="F601" t="inlineStr">
        <is>
          <t>No</t>
        </is>
      </c>
      <c r="G601" t="inlineStr">
        <is>
          <t>1</t>
        </is>
      </c>
      <c r="H601" t="inlineStr">
        <is>
          <t>No</t>
        </is>
      </c>
      <c r="I601" t="inlineStr">
        <is>
          <t>No</t>
        </is>
      </c>
      <c r="J601" t="inlineStr">
        <is>
          <t>0</t>
        </is>
      </c>
      <c r="K601" t="inlineStr">
        <is>
          <t>Silk, Joseph, 1942-</t>
        </is>
      </c>
      <c r="L601" t="inlineStr">
        <is>
          <t>Woodbury, NY : AIP Press, c1994.</t>
        </is>
      </c>
      <c r="M601" t="inlineStr">
        <is>
          <t>1994</t>
        </is>
      </c>
      <c r="O601" t="inlineStr">
        <is>
          <t>eng</t>
        </is>
      </c>
      <c r="P601" t="inlineStr">
        <is>
          <t>nyu</t>
        </is>
      </c>
      <c r="Q601" t="inlineStr">
        <is>
          <t>Masters of modern physics ; v. 10</t>
        </is>
      </c>
      <c r="R601" t="inlineStr">
        <is>
          <t xml:space="preserve">QB </t>
        </is>
      </c>
      <c r="S601" t="n">
        <v>5</v>
      </c>
      <c r="T601" t="n">
        <v>5</v>
      </c>
      <c r="U601" t="inlineStr">
        <is>
          <t>1999-08-30</t>
        </is>
      </c>
      <c r="V601" t="inlineStr">
        <is>
          <t>1999-08-30</t>
        </is>
      </c>
      <c r="W601" t="inlineStr">
        <is>
          <t>1994-12-06</t>
        </is>
      </c>
      <c r="X601" t="inlineStr">
        <is>
          <t>1994-12-06</t>
        </is>
      </c>
      <c r="Y601" t="n">
        <v>370</v>
      </c>
      <c r="Z601" t="n">
        <v>304</v>
      </c>
      <c r="AA601" t="n">
        <v>309</v>
      </c>
      <c r="AB601" t="n">
        <v>4</v>
      </c>
      <c r="AC601" t="n">
        <v>4</v>
      </c>
      <c r="AD601" t="n">
        <v>12</v>
      </c>
      <c r="AE601" t="n">
        <v>12</v>
      </c>
      <c r="AF601" t="n">
        <v>2</v>
      </c>
      <c r="AG601" t="n">
        <v>2</v>
      </c>
      <c r="AH601" t="n">
        <v>2</v>
      </c>
      <c r="AI601" t="n">
        <v>2</v>
      </c>
      <c r="AJ601" t="n">
        <v>6</v>
      </c>
      <c r="AK601" t="n">
        <v>6</v>
      </c>
      <c r="AL601" t="n">
        <v>3</v>
      </c>
      <c r="AM601" t="n">
        <v>3</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HYPERLINK("https://creighton-primo.hosted.exlibrisgroup.com/primo-explore/search?tab=default_tab&amp;search_scope=EVERYTHING&amp;vid=01CRU&amp;lang=en_US&amp;offset=0&amp;query=any,contains,991002254729702656","Catalog Record")</f>
        <v/>
      </c>
      <c r="AT601">
        <f>HYPERLINK("http://www.worldcat.org/oclc/29219689","WorldCat Record")</f>
        <v/>
      </c>
      <c r="AU601" t="inlineStr">
        <is>
          <t>31380771:eng</t>
        </is>
      </c>
      <c r="AV601" t="inlineStr">
        <is>
          <t>29219689</t>
        </is>
      </c>
      <c r="AW601" t="inlineStr">
        <is>
          <t>991002254729702656</t>
        </is>
      </c>
      <c r="AX601" t="inlineStr">
        <is>
          <t>991002254729702656</t>
        </is>
      </c>
      <c r="AY601" t="inlineStr">
        <is>
          <t>2261566270002656</t>
        </is>
      </c>
      <c r="AZ601" t="inlineStr">
        <is>
          <t>BOOK</t>
        </is>
      </c>
      <c r="BB601" t="inlineStr">
        <is>
          <t>9781563960611</t>
        </is>
      </c>
      <c r="BC601" t="inlineStr">
        <is>
          <t>32285001975738</t>
        </is>
      </c>
      <c r="BD601" t="inlineStr">
        <is>
          <t>893591116</t>
        </is>
      </c>
    </row>
    <row r="602">
      <c r="A602" t="inlineStr">
        <is>
          <t>No</t>
        </is>
      </c>
      <c r="B602" t="inlineStr">
        <is>
          <t>QB981 .S695 1993</t>
        </is>
      </c>
      <c r="C602" t="inlineStr">
        <is>
          <t>0                      QB 0981000S  695         1993</t>
        </is>
      </c>
      <c r="D602" t="inlineStr">
        <is>
          <t>Wrinkles in time / George Smoot and Keay Davidson.</t>
        </is>
      </c>
      <c r="F602" t="inlineStr">
        <is>
          <t>No</t>
        </is>
      </c>
      <c r="G602" t="inlineStr">
        <is>
          <t>1</t>
        </is>
      </c>
      <c r="H602" t="inlineStr">
        <is>
          <t>No</t>
        </is>
      </c>
      <c r="I602" t="inlineStr">
        <is>
          <t>No</t>
        </is>
      </c>
      <c r="J602" t="inlineStr">
        <is>
          <t>0</t>
        </is>
      </c>
      <c r="K602" t="inlineStr">
        <is>
          <t>Smoot, George.</t>
        </is>
      </c>
      <c r="L602" t="inlineStr">
        <is>
          <t>New York, NY : W. Morrow, 1993.</t>
        </is>
      </c>
      <c r="M602" t="inlineStr">
        <is>
          <t>1993</t>
        </is>
      </c>
      <c r="N602" t="inlineStr">
        <is>
          <t>1st ed.</t>
        </is>
      </c>
      <c r="O602" t="inlineStr">
        <is>
          <t>eng</t>
        </is>
      </c>
      <c r="P602" t="inlineStr">
        <is>
          <t>nyu</t>
        </is>
      </c>
      <c r="R602" t="inlineStr">
        <is>
          <t xml:space="preserve">QB </t>
        </is>
      </c>
      <c r="S602" t="n">
        <v>4</v>
      </c>
      <c r="T602" t="n">
        <v>4</v>
      </c>
      <c r="U602" t="inlineStr">
        <is>
          <t>2006-03-28</t>
        </is>
      </c>
      <c r="V602" t="inlineStr">
        <is>
          <t>2006-03-28</t>
        </is>
      </c>
      <c r="W602" t="inlineStr">
        <is>
          <t>1994-02-11</t>
        </is>
      </c>
      <c r="X602" t="inlineStr">
        <is>
          <t>1994-02-11</t>
        </is>
      </c>
      <c r="Y602" t="n">
        <v>1252</v>
      </c>
      <c r="Z602" t="n">
        <v>1196</v>
      </c>
      <c r="AA602" t="n">
        <v>1457</v>
      </c>
      <c r="AB602" t="n">
        <v>8</v>
      </c>
      <c r="AC602" t="n">
        <v>14</v>
      </c>
      <c r="AD602" t="n">
        <v>27</v>
      </c>
      <c r="AE602" t="n">
        <v>37</v>
      </c>
      <c r="AF602" t="n">
        <v>9</v>
      </c>
      <c r="AG602" t="n">
        <v>12</v>
      </c>
      <c r="AH602" t="n">
        <v>5</v>
      </c>
      <c r="AI602" t="n">
        <v>7</v>
      </c>
      <c r="AJ602" t="n">
        <v>13</v>
      </c>
      <c r="AK602" t="n">
        <v>17</v>
      </c>
      <c r="AL602" t="n">
        <v>3</v>
      </c>
      <c r="AM602" t="n">
        <v>7</v>
      </c>
      <c r="AN602" t="n">
        <v>0</v>
      </c>
      <c r="AO602" t="n">
        <v>0</v>
      </c>
      <c r="AP602" t="inlineStr">
        <is>
          <t>No</t>
        </is>
      </c>
      <c r="AQ602" t="inlineStr">
        <is>
          <t>Yes</t>
        </is>
      </c>
      <c r="AR602">
        <f>HYPERLINK("http://catalog.hathitrust.org/Record/002780435","HathiTrust Record")</f>
        <v/>
      </c>
      <c r="AS602">
        <f>HYPERLINK("https://creighton-primo.hosted.exlibrisgroup.com/primo-explore/search?tab=default_tab&amp;search_scope=EVERYTHING&amp;vid=01CRU&amp;lang=en_US&amp;offset=0&amp;query=any,contains,991002193999702656","Catalog Record")</f>
        <v/>
      </c>
      <c r="AT602">
        <f>HYPERLINK("http://www.worldcat.org/oclc/28215032","WorldCat Record")</f>
        <v/>
      </c>
      <c r="AU602" t="inlineStr">
        <is>
          <t>30464559:eng</t>
        </is>
      </c>
      <c r="AV602" t="inlineStr">
        <is>
          <t>28215032</t>
        </is>
      </c>
      <c r="AW602" t="inlineStr">
        <is>
          <t>991002193999702656</t>
        </is>
      </c>
      <c r="AX602" t="inlineStr">
        <is>
          <t>991002193999702656</t>
        </is>
      </c>
      <c r="AY602" t="inlineStr">
        <is>
          <t>2265842660002656</t>
        </is>
      </c>
      <c r="AZ602" t="inlineStr">
        <is>
          <t>BOOK</t>
        </is>
      </c>
      <c r="BB602" t="inlineStr">
        <is>
          <t>9780688123307</t>
        </is>
      </c>
      <c r="BC602" t="inlineStr">
        <is>
          <t>32285001841252</t>
        </is>
      </c>
      <c r="BD602" t="inlineStr">
        <is>
          <t>893798288</t>
        </is>
      </c>
    </row>
    <row r="603">
      <c r="A603" t="inlineStr">
        <is>
          <t>No</t>
        </is>
      </c>
      <c r="B603" t="inlineStr">
        <is>
          <t>QB981 .S88</t>
        </is>
      </c>
      <c r="C603" t="inlineStr">
        <is>
          <t>0                      QB 0981000S  88</t>
        </is>
      </c>
      <c r="D603" t="inlineStr">
        <is>
          <t>The universe.</t>
        </is>
      </c>
      <c r="F603" t="inlineStr">
        <is>
          <t>No</t>
        </is>
      </c>
      <c r="G603" t="inlineStr">
        <is>
          <t>1</t>
        </is>
      </c>
      <c r="H603" t="inlineStr">
        <is>
          <t>No</t>
        </is>
      </c>
      <c r="I603" t="inlineStr">
        <is>
          <t>No</t>
        </is>
      </c>
      <c r="J603" t="inlineStr">
        <is>
          <t>0</t>
        </is>
      </c>
      <c r="K603" t="inlineStr">
        <is>
          <t>Struve, Otto, 1897-1963.</t>
        </is>
      </c>
      <c r="L603" t="inlineStr">
        <is>
          <t>Cambridge, M.I.T. Press [1962]</t>
        </is>
      </c>
      <c r="M603" t="inlineStr">
        <is>
          <t>1962</t>
        </is>
      </c>
      <c r="O603" t="inlineStr">
        <is>
          <t>eng</t>
        </is>
      </c>
      <c r="P603" t="inlineStr">
        <is>
          <t>mau</t>
        </is>
      </c>
      <c r="Q603" t="inlineStr">
        <is>
          <t>Karl Taylor Compton lectures ; 1959</t>
        </is>
      </c>
      <c r="R603" t="inlineStr">
        <is>
          <t xml:space="preserve">QB </t>
        </is>
      </c>
      <c r="S603" t="n">
        <v>1</v>
      </c>
      <c r="T603" t="n">
        <v>1</v>
      </c>
      <c r="U603" t="inlineStr">
        <is>
          <t>2001-06-30</t>
        </is>
      </c>
      <c r="V603" t="inlineStr">
        <is>
          <t>2001-06-30</t>
        </is>
      </c>
      <c r="W603" t="inlineStr">
        <is>
          <t>1997-05-06</t>
        </is>
      </c>
      <c r="X603" t="inlineStr">
        <is>
          <t>1997-05-06</t>
        </is>
      </c>
      <c r="Y603" t="n">
        <v>557</v>
      </c>
      <c r="Z603" t="n">
        <v>482</v>
      </c>
      <c r="AA603" t="n">
        <v>511</v>
      </c>
      <c r="AB603" t="n">
        <v>5</v>
      </c>
      <c r="AC603" t="n">
        <v>5</v>
      </c>
      <c r="AD603" t="n">
        <v>18</v>
      </c>
      <c r="AE603" t="n">
        <v>19</v>
      </c>
      <c r="AF603" t="n">
        <v>7</v>
      </c>
      <c r="AG603" t="n">
        <v>8</v>
      </c>
      <c r="AH603" t="n">
        <v>2</v>
      </c>
      <c r="AI603" t="n">
        <v>2</v>
      </c>
      <c r="AJ603" t="n">
        <v>8</v>
      </c>
      <c r="AK603" t="n">
        <v>9</v>
      </c>
      <c r="AL603" t="n">
        <v>4</v>
      </c>
      <c r="AM603" t="n">
        <v>4</v>
      </c>
      <c r="AN603" t="n">
        <v>0</v>
      </c>
      <c r="AO603" t="n">
        <v>0</v>
      </c>
      <c r="AP603" t="inlineStr">
        <is>
          <t>No</t>
        </is>
      </c>
      <c r="AQ603" t="inlineStr">
        <is>
          <t>No</t>
        </is>
      </c>
      <c r="AR603">
        <f>HYPERLINK("http://catalog.hathitrust.org/Record/001477382","HathiTrust Record")</f>
        <v/>
      </c>
      <c r="AS603">
        <f>HYPERLINK("https://creighton-primo.hosted.exlibrisgroup.com/primo-explore/search?tab=default_tab&amp;search_scope=EVERYTHING&amp;vid=01CRU&amp;lang=en_US&amp;offset=0&amp;query=any,contains,991002049369702656","Catalog Record")</f>
        <v/>
      </c>
      <c r="AT603">
        <f>HYPERLINK("http://www.worldcat.org/oclc/261535","WorldCat Record")</f>
        <v/>
      </c>
      <c r="AU603" t="inlineStr">
        <is>
          <t>1370833:eng</t>
        </is>
      </c>
      <c r="AV603" t="inlineStr">
        <is>
          <t>261535</t>
        </is>
      </c>
      <c r="AW603" t="inlineStr">
        <is>
          <t>991002049369702656</t>
        </is>
      </c>
      <c r="AX603" t="inlineStr">
        <is>
          <t>991002049369702656</t>
        </is>
      </c>
      <c r="AY603" t="inlineStr">
        <is>
          <t>2263076830002656</t>
        </is>
      </c>
      <c r="AZ603" t="inlineStr">
        <is>
          <t>BOOK</t>
        </is>
      </c>
      <c r="BC603" t="inlineStr">
        <is>
          <t>32285002643301</t>
        </is>
      </c>
      <c r="BD603" t="inlineStr">
        <is>
          <t>893347042</t>
        </is>
      </c>
    </row>
    <row r="604">
      <c r="A604" t="inlineStr">
        <is>
          <t>No</t>
        </is>
      </c>
      <c r="B604" t="inlineStr">
        <is>
          <t>QB981 .T57 1994</t>
        </is>
      </c>
      <c r="C604" t="inlineStr">
        <is>
          <t>0                      QB 0981000T  57          1994</t>
        </is>
      </c>
      <c r="D604" t="inlineStr">
        <is>
          <t>The physics of immortality : modern cosmology, God, and the resurrection of the dead / Frank J. Tipler.</t>
        </is>
      </c>
      <c r="F604" t="inlineStr">
        <is>
          <t>No</t>
        </is>
      </c>
      <c r="G604" t="inlineStr">
        <is>
          <t>1</t>
        </is>
      </c>
      <c r="H604" t="inlineStr">
        <is>
          <t>No</t>
        </is>
      </c>
      <c r="I604" t="inlineStr">
        <is>
          <t>No</t>
        </is>
      </c>
      <c r="J604" t="inlineStr">
        <is>
          <t>0</t>
        </is>
      </c>
      <c r="K604" t="inlineStr">
        <is>
          <t>Tipler, Frank J.</t>
        </is>
      </c>
      <c r="L604" t="inlineStr">
        <is>
          <t>New York : Doubleday, c1994.</t>
        </is>
      </c>
      <c r="M604" t="inlineStr">
        <is>
          <t>1994</t>
        </is>
      </c>
      <c r="N604" t="inlineStr">
        <is>
          <t>1st ed.</t>
        </is>
      </c>
      <c r="O604" t="inlineStr">
        <is>
          <t>eng</t>
        </is>
      </c>
      <c r="P604" t="inlineStr">
        <is>
          <t>nyu</t>
        </is>
      </c>
      <c r="R604" t="inlineStr">
        <is>
          <t xml:space="preserve">QB </t>
        </is>
      </c>
      <c r="S604" t="n">
        <v>7</v>
      </c>
      <c r="T604" t="n">
        <v>7</v>
      </c>
      <c r="U604" t="inlineStr">
        <is>
          <t>1996-08-26</t>
        </is>
      </c>
      <c r="V604" t="inlineStr">
        <is>
          <t>1996-08-26</t>
        </is>
      </c>
      <c r="W604" t="inlineStr">
        <is>
          <t>1994-11-14</t>
        </is>
      </c>
      <c r="X604" t="inlineStr">
        <is>
          <t>1994-11-14</t>
        </is>
      </c>
      <c r="Y604" t="n">
        <v>1149</v>
      </c>
      <c r="Z604" t="n">
        <v>1053</v>
      </c>
      <c r="AA604" t="n">
        <v>1288</v>
      </c>
      <c r="AB604" t="n">
        <v>8</v>
      </c>
      <c r="AC604" t="n">
        <v>12</v>
      </c>
      <c r="AD604" t="n">
        <v>29</v>
      </c>
      <c r="AE604" t="n">
        <v>40</v>
      </c>
      <c r="AF604" t="n">
        <v>13</v>
      </c>
      <c r="AG604" t="n">
        <v>18</v>
      </c>
      <c r="AH604" t="n">
        <v>7</v>
      </c>
      <c r="AI604" t="n">
        <v>8</v>
      </c>
      <c r="AJ604" t="n">
        <v>16</v>
      </c>
      <c r="AK604" t="n">
        <v>18</v>
      </c>
      <c r="AL604" t="n">
        <v>3</v>
      </c>
      <c r="AM604" t="n">
        <v>6</v>
      </c>
      <c r="AN604" t="n">
        <v>0</v>
      </c>
      <c r="AO604" t="n">
        <v>0</v>
      </c>
      <c r="AP604" t="inlineStr">
        <is>
          <t>No</t>
        </is>
      </c>
      <c r="AQ604" t="inlineStr">
        <is>
          <t>Yes</t>
        </is>
      </c>
      <c r="AR604">
        <f>HYPERLINK("http://catalog.hathitrust.org/Record/002884602","HathiTrust Record")</f>
        <v/>
      </c>
      <c r="AS604">
        <f>HYPERLINK("https://creighton-primo.hosted.exlibrisgroup.com/primo-explore/search?tab=default_tab&amp;search_scope=EVERYTHING&amp;vid=01CRU&amp;lang=en_US&amp;offset=0&amp;query=any,contains,991002267449702656","Catalog Record")</f>
        <v/>
      </c>
      <c r="AT604">
        <f>HYPERLINK("http://www.worldcat.org/oclc/29427823","WorldCat Record")</f>
        <v/>
      </c>
      <c r="AU604" t="inlineStr">
        <is>
          <t>13524203:eng</t>
        </is>
      </c>
      <c r="AV604" t="inlineStr">
        <is>
          <t>29427823</t>
        </is>
      </c>
      <c r="AW604" t="inlineStr">
        <is>
          <t>991002267449702656</t>
        </is>
      </c>
      <c r="AX604" t="inlineStr">
        <is>
          <t>991002267449702656</t>
        </is>
      </c>
      <c r="AY604" t="inlineStr">
        <is>
          <t>2269968670002656</t>
        </is>
      </c>
      <c r="AZ604" t="inlineStr">
        <is>
          <t>BOOK</t>
        </is>
      </c>
      <c r="BB604" t="inlineStr">
        <is>
          <t>9780385467988</t>
        </is>
      </c>
      <c r="BC604" t="inlineStr">
        <is>
          <t>32285001958429</t>
        </is>
      </c>
      <c r="BD604" t="inlineStr">
        <is>
          <t>893534936</t>
        </is>
      </c>
    </row>
    <row r="605">
      <c r="A605" t="inlineStr">
        <is>
          <t>No</t>
        </is>
      </c>
      <c r="B605" t="inlineStr">
        <is>
          <t>QB981 .W233 1983</t>
        </is>
      </c>
      <c r="C605" t="inlineStr">
        <is>
          <t>0                      QB 0981000W  233         1983</t>
        </is>
      </c>
      <c r="D605" t="inlineStr">
        <is>
          <t>Cosmic horizons : understanding the universe / Robert V. Wagoner and Donald W. Goldsmith.</t>
        </is>
      </c>
      <c r="F605" t="inlineStr">
        <is>
          <t>No</t>
        </is>
      </c>
      <c r="G605" t="inlineStr">
        <is>
          <t>1</t>
        </is>
      </c>
      <c r="H605" t="inlineStr">
        <is>
          <t>No</t>
        </is>
      </c>
      <c r="I605" t="inlineStr">
        <is>
          <t>No</t>
        </is>
      </c>
      <c r="J605" t="inlineStr">
        <is>
          <t>0</t>
        </is>
      </c>
      <c r="K605" t="inlineStr">
        <is>
          <t>Wagoner, Robert V.</t>
        </is>
      </c>
      <c r="L605" t="inlineStr">
        <is>
          <t>San Francisco : W.H. Freeman, c1983.</t>
        </is>
      </c>
      <c r="M605" t="inlineStr">
        <is>
          <t>1983</t>
        </is>
      </c>
      <c r="O605" t="inlineStr">
        <is>
          <t>eng</t>
        </is>
      </c>
      <c r="P605" t="inlineStr">
        <is>
          <t>cau</t>
        </is>
      </c>
      <c r="R605" t="inlineStr">
        <is>
          <t xml:space="preserve">QB </t>
        </is>
      </c>
      <c r="S605" t="n">
        <v>2</v>
      </c>
      <c r="T605" t="n">
        <v>2</v>
      </c>
      <c r="U605" t="inlineStr">
        <is>
          <t>1994-04-24</t>
        </is>
      </c>
      <c r="V605" t="inlineStr">
        <is>
          <t>1994-04-24</t>
        </is>
      </c>
      <c r="W605" t="inlineStr">
        <is>
          <t>1992-05-12</t>
        </is>
      </c>
      <c r="X605" t="inlineStr">
        <is>
          <t>1992-05-12</t>
        </is>
      </c>
      <c r="Y605" t="n">
        <v>487</v>
      </c>
      <c r="Z605" t="n">
        <v>425</v>
      </c>
      <c r="AA605" t="n">
        <v>445</v>
      </c>
      <c r="AB605" t="n">
        <v>1</v>
      </c>
      <c r="AC605" t="n">
        <v>1</v>
      </c>
      <c r="AD605" t="n">
        <v>13</v>
      </c>
      <c r="AE605" t="n">
        <v>13</v>
      </c>
      <c r="AF605" t="n">
        <v>6</v>
      </c>
      <c r="AG605" t="n">
        <v>6</v>
      </c>
      <c r="AH605" t="n">
        <v>3</v>
      </c>
      <c r="AI605" t="n">
        <v>3</v>
      </c>
      <c r="AJ605" t="n">
        <v>9</v>
      </c>
      <c r="AK605" t="n">
        <v>9</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HYPERLINK("https://creighton-primo.hosted.exlibrisgroup.com/primo-explore/search?tab=default_tab&amp;search_scope=EVERYTHING&amp;vid=01CRU&amp;lang=en_US&amp;offset=0&amp;query=any,contains,991000102529702656","Catalog Record")</f>
        <v/>
      </c>
      <c r="AT605">
        <f>HYPERLINK("http://www.worldcat.org/oclc/8954689","WorldCat Record")</f>
        <v/>
      </c>
      <c r="AU605" t="inlineStr">
        <is>
          <t>432433814:eng</t>
        </is>
      </c>
      <c r="AV605" t="inlineStr">
        <is>
          <t>8954689</t>
        </is>
      </c>
      <c r="AW605" t="inlineStr">
        <is>
          <t>991000102529702656</t>
        </is>
      </c>
      <c r="AX605" t="inlineStr">
        <is>
          <t>991000102529702656</t>
        </is>
      </c>
      <c r="AY605" t="inlineStr">
        <is>
          <t>2271174090002656</t>
        </is>
      </c>
      <c r="AZ605" t="inlineStr">
        <is>
          <t>BOOK</t>
        </is>
      </c>
      <c r="BB605" t="inlineStr">
        <is>
          <t>9780716714170</t>
        </is>
      </c>
      <c r="BC605" t="inlineStr">
        <is>
          <t>32285001108819</t>
        </is>
      </c>
      <c r="BD605" t="inlineStr">
        <is>
          <t>893514999</t>
        </is>
      </c>
    </row>
    <row r="606">
      <c r="A606" t="inlineStr">
        <is>
          <t>No</t>
        </is>
      </c>
      <c r="B606" t="inlineStr">
        <is>
          <t>QB981 .W24</t>
        </is>
      </c>
      <c r="C606" t="inlineStr">
        <is>
          <t>0                      QB 0981000W  24</t>
        </is>
      </c>
      <c r="D606" t="inlineStr">
        <is>
          <t>Space, time, and gravity : the theory of the big bang and black holes / Robert M. Wald.</t>
        </is>
      </c>
      <c r="F606" t="inlineStr">
        <is>
          <t>No</t>
        </is>
      </c>
      <c r="G606" t="inlineStr">
        <is>
          <t>1</t>
        </is>
      </c>
      <c r="H606" t="inlineStr">
        <is>
          <t>No</t>
        </is>
      </c>
      <c r="I606" t="inlineStr">
        <is>
          <t>Yes</t>
        </is>
      </c>
      <c r="J606" t="inlineStr">
        <is>
          <t>0</t>
        </is>
      </c>
      <c r="K606" t="inlineStr">
        <is>
          <t>Wald, Robert M.</t>
        </is>
      </c>
      <c r="L606" t="inlineStr">
        <is>
          <t>Chicago : University of Chicago Press, 1977.</t>
        </is>
      </c>
      <c r="M606" t="inlineStr">
        <is>
          <t>1977</t>
        </is>
      </c>
      <c r="O606" t="inlineStr">
        <is>
          <t>eng</t>
        </is>
      </c>
      <c r="P606" t="inlineStr">
        <is>
          <t>ilu</t>
        </is>
      </c>
      <c r="R606" t="inlineStr">
        <is>
          <t xml:space="preserve">QB </t>
        </is>
      </c>
      <c r="S606" t="n">
        <v>2</v>
      </c>
      <c r="T606" t="n">
        <v>2</v>
      </c>
      <c r="U606" t="inlineStr">
        <is>
          <t>2007-03-25</t>
        </is>
      </c>
      <c r="V606" t="inlineStr">
        <is>
          <t>2007-03-25</t>
        </is>
      </c>
      <c r="W606" t="inlineStr">
        <is>
          <t>1997-05-06</t>
        </is>
      </c>
      <c r="X606" t="inlineStr">
        <is>
          <t>1997-05-06</t>
        </is>
      </c>
      <c r="Y606" t="n">
        <v>838</v>
      </c>
      <c r="Z606" t="n">
        <v>689</v>
      </c>
      <c r="AA606" t="n">
        <v>923</v>
      </c>
      <c r="AB606" t="n">
        <v>4</v>
      </c>
      <c r="AC606" t="n">
        <v>6</v>
      </c>
      <c r="AD606" t="n">
        <v>21</v>
      </c>
      <c r="AE606" t="n">
        <v>32</v>
      </c>
      <c r="AF606" t="n">
        <v>10</v>
      </c>
      <c r="AG606" t="n">
        <v>14</v>
      </c>
      <c r="AH606" t="n">
        <v>3</v>
      </c>
      <c r="AI606" t="n">
        <v>4</v>
      </c>
      <c r="AJ606" t="n">
        <v>10</v>
      </c>
      <c r="AK606" t="n">
        <v>17</v>
      </c>
      <c r="AL606" t="n">
        <v>2</v>
      </c>
      <c r="AM606" t="n">
        <v>4</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HYPERLINK("https://creighton-primo.hosted.exlibrisgroup.com/primo-explore/search?tab=default_tab&amp;search_scope=EVERYTHING&amp;vid=01CRU&amp;lang=en_US&amp;offset=0&amp;query=any,contains,991004270539702656","Catalog Record")</f>
        <v/>
      </c>
      <c r="AT606">
        <f>HYPERLINK("http://www.worldcat.org/oclc/2875525","WorldCat Record")</f>
        <v/>
      </c>
      <c r="AU606" t="inlineStr">
        <is>
          <t>364472536:eng</t>
        </is>
      </c>
      <c r="AV606" t="inlineStr">
        <is>
          <t>2875525</t>
        </is>
      </c>
      <c r="AW606" t="inlineStr">
        <is>
          <t>991004270539702656</t>
        </is>
      </c>
      <c r="AX606" t="inlineStr">
        <is>
          <t>991004270539702656</t>
        </is>
      </c>
      <c r="AY606" t="inlineStr">
        <is>
          <t>2259583840002656</t>
        </is>
      </c>
      <c r="AZ606" t="inlineStr">
        <is>
          <t>BOOK</t>
        </is>
      </c>
      <c r="BB606" t="inlineStr">
        <is>
          <t>9780226870304</t>
        </is>
      </c>
      <c r="BC606" t="inlineStr">
        <is>
          <t>32285002643335</t>
        </is>
      </c>
      <c r="BD606" t="inlineStr">
        <is>
          <t>893687554</t>
        </is>
      </c>
    </row>
    <row r="607">
      <c r="A607" t="inlineStr">
        <is>
          <t>No</t>
        </is>
      </c>
      <c r="B607" t="inlineStr">
        <is>
          <t>QB981 .W24 1992</t>
        </is>
      </c>
      <c r="C607" t="inlineStr">
        <is>
          <t>0                      QB 0981000W  24          1992</t>
        </is>
      </c>
      <c r="D607" t="inlineStr">
        <is>
          <t>Space, time, and gravity : the theory of the big bang and black holes / Robert M. Wald.</t>
        </is>
      </c>
      <c r="F607" t="inlineStr">
        <is>
          <t>No</t>
        </is>
      </c>
      <c r="G607" t="inlineStr">
        <is>
          <t>1</t>
        </is>
      </c>
      <c r="H607" t="inlineStr">
        <is>
          <t>No</t>
        </is>
      </c>
      <c r="I607" t="inlineStr">
        <is>
          <t>Yes</t>
        </is>
      </c>
      <c r="J607" t="inlineStr">
        <is>
          <t>0</t>
        </is>
      </c>
      <c r="K607" t="inlineStr">
        <is>
          <t>Wald, Robert M.</t>
        </is>
      </c>
      <c r="L607" t="inlineStr">
        <is>
          <t>Chicago : University of Chicago Press, 1992.</t>
        </is>
      </c>
      <c r="M607" t="inlineStr">
        <is>
          <t>1992</t>
        </is>
      </c>
      <c r="N607" t="inlineStr">
        <is>
          <t>2nd ed.</t>
        </is>
      </c>
      <c r="O607" t="inlineStr">
        <is>
          <t>eng</t>
        </is>
      </c>
      <c r="P607" t="inlineStr">
        <is>
          <t>ilu</t>
        </is>
      </c>
      <c r="R607" t="inlineStr">
        <is>
          <t xml:space="preserve">QB </t>
        </is>
      </c>
      <c r="S607" t="n">
        <v>13</v>
      </c>
      <c r="T607" t="n">
        <v>13</v>
      </c>
      <c r="U607" t="inlineStr">
        <is>
          <t>2008-07-08</t>
        </is>
      </c>
      <c r="V607" t="inlineStr">
        <is>
          <t>2008-07-08</t>
        </is>
      </c>
      <c r="W607" t="inlineStr">
        <is>
          <t>1993-09-01</t>
        </is>
      </c>
      <c r="X607" t="inlineStr">
        <is>
          <t>1993-09-01</t>
        </is>
      </c>
      <c r="Y607" t="n">
        <v>478</v>
      </c>
      <c r="Z607" t="n">
        <v>392</v>
      </c>
      <c r="AA607" t="n">
        <v>923</v>
      </c>
      <c r="AB607" t="n">
        <v>5</v>
      </c>
      <c r="AC607" t="n">
        <v>6</v>
      </c>
      <c r="AD607" t="n">
        <v>18</v>
      </c>
      <c r="AE607" t="n">
        <v>32</v>
      </c>
      <c r="AF607" t="n">
        <v>4</v>
      </c>
      <c r="AG607" t="n">
        <v>14</v>
      </c>
      <c r="AH607" t="n">
        <v>3</v>
      </c>
      <c r="AI607" t="n">
        <v>4</v>
      </c>
      <c r="AJ607" t="n">
        <v>11</v>
      </c>
      <c r="AK607" t="n">
        <v>17</v>
      </c>
      <c r="AL607" t="n">
        <v>4</v>
      </c>
      <c r="AM607" t="n">
        <v>4</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HYPERLINK("https://creighton-primo.hosted.exlibrisgroup.com/primo-explore/search?tab=default_tab&amp;search_scope=EVERYTHING&amp;vid=01CRU&amp;lang=en_US&amp;offset=0&amp;query=any,contains,991001914239702656","Catalog Record")</f>
        <v/>
      </c>
      <c r="AT607">
        <f>HYPERLINK("http://www.worldcat.org/oclc/24173814","WorldCat Record")</f>
        <v/>
      </c>
      <c r="AU607" t="inlineStr">
        <is>
          <t>364472536:eng</t>
        </is>
      </c>
      <c r="AV607" t="inlineStr">
        <is>
          <t>24173814</t>
        </is>
      </c>
      <c r="AW607" t="inlineStr">
        <is>
          <t>991001914239702656</t>
        </is>
      </c>
      <c r="AX607" t="inlineStr">
        <is>
          <t>991001914239702656</t>
        </is>
      </c>
      <c r="AY607" t="inlineStr">
        <is>
          <t>2268938880002656</t>
        </is>
      </c>
      <c r="AZ607" t="inlineStr">
        <is>
          <t>BOOK</t>
        </is>
      </c>
      <c r="BB607" t="inlineStr">
        <is>
          <t>9780226870298</t>
        </is>
      </c>
      <c r="BC607" t="inlineStr">
        <is>
          <t>32285001729382</t>
        </is>
      </c>
      <c r="BD607" t="inlineStr">
        <is>
          <t>893697136</t>
        </is>
      </c>
    </row>
    <row r="608">
      <c r="A608" t="inlineStr">
        <is>
          <t>No</t>
        </is>
      </c>
      <c r="B608" t="inlineStr">
        <is>
          <t>QB981 .W64 1990</t>
        </is>
      </c>
      <c r="C608" t="inlineStr">
        <is>
          <t>0                      QB 0981000W  64          1990</t>
        </is>
      </c>
      <c r="D608" t="inlineStr">
        <is>
          <t>Exploring the physics of the unknown universe : an adventurer's guide / by Milo Wolff ; book design and illustrations by Jennifer Snow Wolff.</t>
        </is>
      </c>
      <c r="F608" t="inlineStr">
        <is>
          <t>No</t>
        </is>
      </c>
      <c r="G608" t="inlineStr">
        <is>
          <t>1</t>
        </is>
      </c>
      <c r="H608" t="inlineStr">
        <is>
          <t>No</t>
        </is>
      </c>
      <c r="I608" t="inlineStr">
        <is>
          <t>No</t>
        </is>
      </c>
      <c r="J608" t="inlineStr">
        <is>
          <t>0</t>
        </is>
      </c>
      <c r="K608" t="inlineStr">
        <is>
          <t>Wolff, Milo.</t>
        </is>
      </c>
      <c r="L608" t="inlineStr">
        <is>
          <t>Manhattan Beach, Calif. : Technotran Press ; Commack, N.Y. : Nova Science Pub., Inc., 1990.</t>
        </is>
      </c>
      <c r="M608" t="inlineStr">
        <is>
          <t>1990</t>
        </is>
      </c>
      <c r="O608" t="inlineStr">
        <is>
          <t>eng</t>
        </is>
      </c>
      <c r="P608" t="inlineStr">
        <is>
          <t>cau</t>
        </is>
      </c>
      <c r="R608" t="inlineStr">
        <is>
          <t xml:space="preserve">QB </t>
        </is>
      </c>
      <c r="S608" t="n">
        <v>7</v>
      </c>
      <c r="T608" t="n">
        <v>7</v>
      </c>
      <c r="U608" t="inlineStr">
        <is>
          <t>1998-03-23</t>
        </is>
      </c>
      <c r="V608" t="inlineStr">
        <is>
          <t>1998-03-23</t>
        </is>
      </c>
      <c r="W608" t="inlineStr">
        <is>
          <t>1992-06-23</t>
        </is>
      </c>
      <c r="X608" t="inlineStr">
        <is>
          <t>1992-06-23</t>
        </is>
      </c>
      <c r="Y608" t="n">
        <v>27</v>
      </c>
      <c r="Z608" t="n">
        <v>25</v>
      </c>
      <c r="AA608" t="n">
        <v>153</v>
      </c>
      <c r="AB608" t="n">
        <v>1</v>
      </c>
      <c r="AC608" t="n">
        <v>1</v>
      </c>
      <c r="AD608" t="n">
        <v>0</v>
      </c>
      <c r="AE608" t="n">
        <v>4</v>
      </c>
      <c r="AF608" t="n">
        <v>0</v>
      </c>
      <c r="AG608" t="n">
        <v>2</v>
      </c>
      <c r="AH608" t="n">
        <v>0</v>
      </c>
      <c r="AI608" t="n">
        <v>1</v>
      </c>
      <c r="AJ608" t="n">
        <v>0</v>
      </c>
      <c r="AK608" t="n">
        <v>3</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HYPERLINK("https://creighton-primo.hosted.exlibrisgroup.com/primo-explore/search?tab=default_tab&amp;search_scope=EVERYTHING&amp;vid=01CRU&amp;lang=en_US&amp;offset=0&amp;query=any,contains,991002011739702656","Catalog Record")</f>
        <v/>
      </c>
      <c r="AT608">
        <f>HYPERLINK("http://www.worldcat.org/oclc/25602190","WorldCat Record")</f>
        <v/>
      </c>
      <c r="AU608" t="inlineStr">
        <is>
          <t>27613100:eng</t>
        </is>
      </c>
      <c r="AV608" t="inlineStr">
        <is>
          <t>25602190</t>
        </is>
      </c>
      <c r="AW608" t="inlineStr">
        <is>
          <t>991002011739702656</t>
        </is>
      </c>
      <c r="AX608" t="inlineStr">
        <is>
          <t>991002011739702656</t>
        </is>
      </c>
      <c r="AY608" t="inlineStr">
        <is>
          <t>2257512810002656</t>
        </is>
      </c>
      <c r="AZ608" t="inlineStr">
        <is>
          <t>BOOK</t>
        </is>
      </c>
      <c r="BB608" t="inlineStr">
        <is>
          <t>9780962778704</t>
        </is>
      </c>
      <c r="BC608" t="inlineStr">
        <is>
          <t>32285001155513</t>
        </is>
      </c>
      <c r="BD608" t="inlineStr">
        <is>
          <t>893615586</t>
        </is>
      </c>
    </row>
    <row r="609">
      <c r="A609" t="inlineStr">
        <is>
          <t>No</t>
        </is>
      </c>
      <c r="B609" t="inlineStr">
        <is>
          <t>QB991.B54 A47 2001</t>
        </is>
      </c>
      <c r="C609" t="inlineStr">
        <is>
          <t>0                      QB 0991000B  54                 A  47          2001</t>
        </is>
      </c>
      <c r="D609" t="inlineStr">
        <is>
          <t>Genesis of the big bang / Ralph A. Alpher, Robert Herman.</t>
        </is>
      </c>
      <c r="F609" t="inlineStr">
        <is>
          <t>No</t>
        </is>
      </c>
      <c r="G609" t="inlineStr">
        <is>
          <t>1</t>
        </is>
      </c>
      <c r="H609" t="inlineStr">
        <is>
          <t>No</t>
        </is>
      </c>
      <c r="I609" t="inlineStr">
        <is>
          <t>No</t>
        </is>
      </c>
      <c r="J609" t="inlineStr">
        <is>
          <t>0</t>
        </is>
      </c>
      <c r="K609" t="inlineStr">
        <is>
          <t>Alpher, Ralph, 1921-2007.</t>
        </is>
      </c>
      <c r="L609" t="inlineStr">
        <is>
          <t>New York : Oxford University Press, 2001.</t>
        </is>
      </c>
      <c r="M609" t="inlineStr">
        <is>
          <t>2001</t>
        </is>
      </c>
      <c r="O609" t="inlineStr">
        <is>
          <t>eng</t>
        </is>
      </c>
      <c r="P609" t="inlineStr">
        <is>
          <t>nyu</t>
        </is>
      </c>
      <c r="R609" t="inlineStr">
        <is>
          <t xml:space="preserve">QB </t>
        </is>
      </c>
      <c r="S609" t="n">
        <v>5</v>
      </c>
      <c r="T609" t="n">
        <v>5</v>
      </c>
      <c r="U609" t="inlineStr">
        <is>
          <t>2009-04-15</t>
        </is>
      </c>
      <c r="V609" t="inlineStr">
        <is>
          <t>2009-04-15</t>
        </is>
      </c>
      <c r="W609" t="inlineStr">
        <is>
          <t>2001-07-09</t>
        </is>
      </c>
      <c r="X609" t="inlineStr">
        <is>
          <t>2001-07-09</t>
        </is>
      </c>
      <c r="Y609" t="n">
        <v>347</v>
      </c>
      <c r="Z609" t="n">
        <v>287</v>
      </c>
      <c r="AA609" t="n">
        <v>303</v>
      </c>
      <c r="AB609" t="n">
        <v>4</v>
      </c>
      <c r="AC609" t="n">
        <v>4</v>
      </c>
      <c r="AD609" t="n">
        <v>10</v>
      </c>
      <c r="AE609" t="n">
        <v>10</v>
      </c>
      <c r="AF609" t="n">
        <v>3</v>
      </c>
      <c r="AG609" t="n">
        <v>3</v>
      </c>
      <c r="AH609" t="n">
        <v>3</v>
      </c>
      <c r="AI609" t="n">
        <v>3</v>
      </c>
      <c r="AJ609" t="n">
        <v>3</v>
      </c>
      <c r="AK609" t="n">
        <v>3</v>
      </c>
      <c r="AL609" t="n">
        <v>3</v>
      </c>
      <c r="AM609" t="n">
        <v>3</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HYPERLINK("https://creighton-primo.hosted.exlibrisgroup.com/primo-explore/search?tab=default_tab&amp;search_scope=EVERYTHING&amp;vid=01CRU&amp;lang=en_US&amp;offset=0&amp;query=any,contains,991003538079702656","Catalog Record")</f>
        <v/>
      </c>
      <c r="AT609">
        <f>HYPERLINK("http://www.worldcat.org/oclc/43552399","WorldCat Record")</f>
        <v/>
      </c>
      <c r="AU609" t="inlineStr">
        <is>
          <t>28881582:eng</t>
        </is>
      </c>
      <c r="AV609" t="inlineStr">
        <is>
          <t>43552399</t>
        </is>
      </c>
      <c r="AW609" t="inlineStr">
        <is>
          <t>991003538079702656</t>
        </is>
      </c>
      <c r="AX609" t="inlineStr">
        <is>
          <t>991003538079702656</t>
        </is>
      </c>
      <c r="AY609" t="inlineStr">
        <is>
          <t>2255189080002656</t>
        </is>
      </c>
      <c r="AZ609" t="inlineStr">
        <is>
          <t>BOOK</t>
        </is>
      </c>
      <c r="BB609" t="inlineStr">
        <is>
          <t>9780195111828</t>
        </is>
      </c>
      <c r="BC609" t="inlineStr">
        <is>
          <t>32285004330410</t>
        </is>
      </c>
      <c r="BD609" t="inlineStr">
        <is>
          <t>893900089</t>
        </is>
      </c>
    </row>
    <row r="610">
      <c r="A610" t="inlineStr">
        <is>
          <t>No</t>
        </is>
      </c>
      <c r="B610" t="inlineStr">
        <is>
          <t>QB991.B54 G75 1986</t>
        </is>
      </c>
      <c r="C610" t="inlineStr">
        <is>
          <t>0                      QB 0991000B  54                 G  75          1986</t>
        </is>
      </c>
      <c r="D610" t="inlineStr">
        <is>
          <t>In search of the big bang : quantum physics and cosmology / John Gribbin ; [illustrations by Neil Hyslop].</t>
        </is>
      </c>
      <c r="F610" t="inlineStr">
        <is>
          <t>No</t>
        </is>
      </c>
      <c r="G610" t="inlineStr">
        <is>
          <t>1</t>
        </is>
      </c>
      <c r="H610" t="inlineStr">
        <is>
          <t>No</t>
        </is>
      </c>
      <c r="I610" t="inlineStr">
        <is>
          <t>No</t>
        </is>
      </c>
      <c r="J610" t="inlineStr">
        <is>
          <t>0</t>
        </is>
      </c>
      <c r="K610" t="inlineStr">
        <is>
          <t>Gribbin, John, 1946-</t>
        </is>
      </c>
      <c r="L610" t="inlineStr">
        <is>
          <t>Toronto ; New York : Bantam Books, c1986.</t>
        </is>
      </c>
      <c r="M610" t="inlineStr">
        <is>
          <t>1986</t>
        </is>
      </c>
      <c r="O610" t="inlineStr">
        <is>
          <t>eng</t>
        </is>
      </c>
      <c r="P610" t="inlineStr">
        <is>
          <t>onc</t>
        </is>
      </c>
      <c r="R610" t="inlineStr">
        <is>
          <t xml:space="preserve">QB </t>
        </is>
      </c>
      <c r="S610" t="n">
        <v>2</v>
      </c>
      <c r="T610" t="n">
        <v>2</v>
      </c>
      <c r="U610" t="inlineStr">
        <is>
          <t>2006-10-16</t>
        </is>
      </c>
      <c r="V610" t="inlineStr">
        <is>
          <t>2006-10-16</t>
        </is>
      </c>
      <c r="W610" t="inlineStr">
        <is>
          <t>1992-12-02</t>
        </is>
      </c>
      <c r="X610" t="inlineStr">
        <is>
          <t>1992-12-02</t>
        </is>
      </c>
      <c r="Y610" t="n">
        <v>794</v>
      </c>
      <c r="Z610" t="n">
        <v>725</v>
      </c>
      <c r="AA610" t="n">
        <v>749</v>
      </c>
      <c r="AB610" t="n">
        <v>7</v>
      </c>
      <c r="AC610" t="n">
        <v>7</v>
      </c>
      <c r="AD610" t="n">
        <v>24</v>
      </c>
      <c r="AE610" t="n">
        <v>26</v>
      </c>
      <c r="AF610" t="n">
        <v>9</v>
      </c>
      <c r="AG610" t="n">
        <v>10</v>
      </c>
      <c r="AH610" t="n">
        <v>4</v>
      </c>
      <c r="AI610" t="n">
        <v>5</v>
      </c>
      <c r="AJ610" t="n">
        <v>12</v>
      </c>
      <c r="AK610" t="n">
        <v>12</v>
      </c>
      <c r="AL610" t="n">
        <v>5</v>
      </c>
      <c r="AM610" t="n">
        <v>5</v>
      </c>
      <c r="AN610" t="n">
        <v>0</v>
      </c>
      <c r="AO610" t="n">
        <v>0</v>
      </c>
      <c r="AP610" t="inlineStr">
        <is>
          <t>No</t>
        </is>
      </c>
      <c r="AQ610" t="inlineStr">
        <is>
          <t>Yes</t>
        </is>
      </c>
      <c r="AR610">
        <f>HYPERLINK("http://catalog.hathitrust.org/Record/002209896","HathiTrust Record")</f>
        <v/>
      </c>
      <c r="AS610">
        <f>HYPERLINK("https://creighton-primo.hosted.exlibrisgroup.com/primo-explore/search?tab=default_tab&amp;search_scope=EVERYTHING&amp;vid=01CRU&amp;lang=en_US&amp;offset=0&amp;query=any,contains,991000763069702656","Catalog Record")</f>
        <v/>
      </c>
      <c r="AT610">
        <f>HYPERLINK("http://www.worldcat.org/oclc/12975146","WorldCat Record")</f>
        <v/>
      </c>
      <c r="AU610" t="inlineStr">
        <is>
          <t>4927796486:eng</t>
        </is>
      </c>
      <c r="AV610" t="inlineStr">
        <is>
          <t>12975146</t>
        </is>
      </c>
      <c r="AW610" t="inlineStr">
        <is>
          <t>991000763069702656</t>
        </is>
      </c>
      <c r="AX610" t="inlineStr">
        <is>
          <t>991000763069702656</t>
        </is>
      </c>
      <c r="AY610" t="inlineStr">
        <is>
          <t>2262118850002656</t>
        </is>
      </c>
      <c r="AZ610" t="inlineStr">
        <is>
          <t>BOOK</t>
        </is>
      </c>
      <c r="BB610" t="inlineStr">
        <is>
          <t>9780553342581</t>
        </is>
      </c>
      <c r="BC610" t="inlineStr">
        <is>
          <t>32285001450369</t>
        </is>
      </c>
      <c r="BD610" t="inlineStr">
        <is>
          <t>893333752</t>
        </is>
      </c>
    </row>
    <row r="611">
      <c r="A611" t="inlineStr">
        <is>
          <t>No</t>
        </is>
      </c>
      <c r="B611" t="inlineStr">
        <is>
          <t>QB991.B54 H39 1993</t>
        </is>
      </c>
      <c r="C611" t="inlineStr">
        <is>
          <t>0                      QB 0991000B  54                 H  39          1993</t>
        </is>
      </c>
      <c r="D611" t="inlineStr">
        <is>
          <t>Hawking on the big bang and black holes / Stephen Hawking.</t>
        </is>
      </c>
      <c r="F611" t="inlineStr">
        <is>
          <t>No</t>
        </is>
      </c>
      <c r="G611" t="inlineStr">
        <is>
          <t>1</t>
        </is>
      </c>
      <c r="H611" t="inlineStr">
        <is>
          <t>No</t>
        </is>
      </c>
      <c r="I611" t="inlineStr">
        <is>
          <t>No</t>
        </is>
      </c>
      <c r="J611" t="inlineStr">
        <is>
          <t>0</t>
        </is>
      </c>
      <c r="K611" t="inlineStr">
        <is>
          <t>Hawking, Stephen, 1942-2018.</t>
        </is>
      </c>
      <c r="L611" t="inlineStr">
        <is>
          <t>Singapore ; New Jersey : World Scientific, c1993.</t>
        </is>
      </c>
      <c r="M611" t="inlineStr">
        <is>
          <t>1993</t>
        </is>
      </c>
      <c r="O611" t="inlineStr">
        <is>
          <t>eng</t>
        </is>
      </c>
      <c r="P611" t="inlineStr">
        <is>
          <t xml:space="preserve">si </t>
        </is>
      </c>
      <c r="Q611" t="inlineStr">
        <is>
          <t>Advanced series in astrophysics and cosmology ; vol. 8</t>
        </is>
      </c>
      <c r="R611" t="inlineStr">
        <is>
          <t xml:space="preserve">QB </t>
        </is>
      </c>
      <c r="S611" t="n">
        <v>18</v>
      </c>
      <c r="T611" t="n">
        <v>18</v>
      </c>
      <c r="U611" t="inlineStr">
        <is>
          <t>2007-10-28</t>
        </is>
      </c>
      <c r="V611" t="inlineStr">
        <is>
          <t>2007-10-28</t>
        </is>
      </c>
      <c r="W611" t="inlineStr">
        <is>
          <t>1994-06-07</t>
        </is>
      </c>
      <c r="X611" t="inlineStr">
        <is>
          <t>1994-06-07</t>
        </is>
      </c>
      <c r="Y611" t="n">
        <v>325</v>
      </c>
      <c r="Z611" t="n">
        <v>225</v>
      </c>
      <c r="AA611" t="n">
        <v>770</v>
      </c>
      <c r="AB611" t="n">
        <v>3</v>
      </c>
      <c r="AC611" t="n">
        <v>28</v>
      </c>
      <c r="AD611" t="n">
        <v>13</v>
      </c>
      <c r="AE611" t="n">
        <v>32</v>
      </c>
      <c r="AF611" t="n">
        <v>3</v>
      </c>
      <c r="AG611" t="n">
        <v>7</v>
      </c>
      <c r="AH611" t="n">
        <v>2</v>
      </c>
      <c r="AI611" t="n">
        <v>5</v>
      </c>
      <c r="AJ611" t="n">
        <v>7</v>
      </c>
      <c r="AK611" t="n">
        <v>12</v>
      </c>
      <c r="AL611" t="n">
        <v>2</v>
      </c>
      <c r="AM611" t="n">
        <v>13</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HYPERLINK("https://creighton-primo.hosted.exlibrisgroup.com/primo-explore/search?tab=default_tab&amp;search_scope=EVERYTHING&amp;vid=01CRU&amp;lang=en_US&amp;offset=0&amp;query=any,contains,991002244529702656","Catalog Record")</f>
        <v/>
      </c>
      <c r="AT611">
        <f>HYPERLINK("http://www.worldcat.org/oclc/28953343","WorldCat Record")</f>
        <v/>
      </c>
      <c r="AU611" t="inlineStr">
        <is>
          <t>11306322:eng</t>
        </is>
      </c>
      <c r="AV611" t="inlineStr">
        <is>
          <t>28953343</t>
        </is>
      </c>
      <c r="AW611" t="inlineStr">
        <is>
          <t>991002244529702656</t>
        </is>
      </c>
      <c r="AX611" t="inlineStr">
        <is>
          <t>991002244529702656</t>
        </is>
      </c>
      <c r="AY611" t="inlineStr">
        <is>
          <t>2259339370002656</t>
        </is>
      </c>
      <c r="AZ611" t="inlineStr">
        <is>
          <t>BOOK</t>
        </is>
      </c>
      <c r="BC611" t="inlineStr">
        <is>
          <t>32285001921856</t>
        </is>
      </c>
      <c r="BD611" t="inlineStr">
        <is>
          <t>893703851</t>
        </is>
      </c>
    </row>
    <row r="612">
      <c r="A612" t="inlineStr">
        <is>
          <t>No</t>
        </is>
      </c>
      <c r="B612" t="inlineStr">
        <is>
          <t>QB991.B54 L47 1991</t>
        </is>
      </c>
      <c r="C612" t="inlineStr">
        <is>
          <t>0                      QB 0991000B  54                 L  47          1991</t>
        </is>
      </c>
      <c r="D612" t="inlineStr">
        <is>
          <t>The big bang never happened / Eric J. Lerner.</t>
        </is>
      </c>
      <c r="F612" t="inlineStr">
        <is>
          <t>No</t>
        </is>
      </c>
      <c r="G612" t="inlineStr">
        <is>
          <t>1</t>
        </is>
      </c>
      <c r="H612" t="inlineStr">
        <is>
          <t>No</t>
        </is>
      </c>
      <c r="I612" t="inlineStr">
        <is>
          <t>No</t>
        </is>
      </c>
      <c r="J612" t="inlineStr">
        <is>
          <t>0</t>
        </is>
      </c>
      <c r="K612" t="inlineStr">
        <is>
          <t>Lerner, Eric J.</t>
        </is>
      </c>
      <c r="L612" t="inlineStr">
        <is>
          <t>New York : Times Books/Random House, c1991.</t>
        </is>
      </c>
      <c r="M612" t="inlineStr">
        <is>
          <t>1991</t>
        </is>
      </c>
      <c r="N612" t="inlineStr">
        <is>
          <t>1st ed.</t>
        </is>
      </c>
      <c r="O612" t="inlineStr">
        <is>
          <t>eng</t>
        </is>
      </c>
      <c r="P612" t="inlineStr">
        <is>
          <t>nyu</t>
        </is>
      </c>
      <c r="R612" t="inlineStr">
        <is>
          <t xml:space="preserve">QB </t>
        </is>
      </c>
      <c r="S612" t="n">
        <v>13</v>
      </c>
      <c r="T612" t="n">
        <v>13</v>
      </c>
      <c r="U612" t="inlineStr">
        <is>
          <t>2007-11-14</t>
        </is>
      </c>
      <c r="V612" t="inlineStr">
        <is>
          <t>2007-11-14</t>
        </is>
      </c>
      <c r="W612" t="inlineStr">
        <is>
          <t>1992-06-22</t>
        </is>
      </c>
      <c r="X612" t="inlineStr">
        <is>
          <t>1992-06-22</t>
        </is>
      </c>
      <c r="Y612" t="n">
        <v>1062</v>
      </c>
      <c r="Z612" t="n">
        <v>1006</v>
      </c>
      <c r="AA612" t="n">
        <v>1175</v>
      </c>
      <c r="AB612" t="n">
        <v>7</v>
      </c>
      <c r="AC612" t="n">
        <v>9</v>
      </c>
      <c r="AD612" t="n">
        <v>26</v>
      </c>
      <c r="AE612" t="n">
        <v>30</v>
      </c>
      <c r="AF612" t="n">
        <v>10</v>
      </c>
      <c r="AG612" t="n">
        <v>12</v>
      </c>
      <c r="AH612" t="n">
        <v>4</v>
      </c>
      <c r="AI612" t="n">
        <v>4</v>
      </c>
      <c r="AJ612" t="n">
        <v>11</v>
      </c>
      <c r="AK612" t="n">
        <v>11</v>
      </c>
      <c r="AL612" t="n">
        <v>6</v>
      </c>
      <c r="AM612" t="n">
        <v>8</v>
      </c>
      <c r="AN612" t="n">
        <v>0</v>
      </c>
      <c r="AO612" t="n">
        <v>0</v>
      </c>
      <c r="AP612" t="inlineStr">
        <is>
          <t>No</t>
        </is>
      </c>
      <c r="AQ612" t="inlineStr">
        <is>
          <t>Yes</t>
        </is>
      </c>
      <c r="AR612">
        <f>HYPERLINK("http://catalog.hathitrust.org/Record/002469361","HathiTrust Record")</f>
        <v/>
      </c>
      <c r="AS612">
        <f>HYPERLINK("https://creighton-primo.hosted.exlibrisgroup.com/primo-explore/search?tab=default_tab&amp;search_scope=EVERYTHING&amp;vid=01CRU&amp;lang=en_US&amp;offset=0&amp;query=any,contains,991001653419702656","Catalog Record")</f>
        <v/>
      </c>
      <c r="AT612">
        <f>HYPERLINK("http://www.worldcat.org/oclc/21116848","WorldCat Record")</f>
        <v/>
      </c>
      <c r="AU612" t="inlineStr">
        <is>
          <t>20691867:eng</t>
        </is>
      </c>
      <c r="AV612" t="inlineStr">
        <is>
          <t>21116848</t>
        </is>
      </c>
      <c r="AW612" t="inlineStr">
        <is>
          <t>991001653419702656</t>
        </is>
      </c>
      <c r="AX612" t="inlineStr">
        <is>
          <t>991001653419702656</t>
        </is>
      </c>
      <c r="AY612" t="inlineStr">
        <is>
          <t>2261867010002656</t>
        </is>
      </c>
      <c r="AZ612" t="inlineStr">
        <is>
          <t>BOOK</t>
        </is>
      </c>
      <c r="BB612" t="inlineStr">
        <is>
          <t>9780812918533</t>
        </is>
      </c>
      <c r="BC612" t="inlineStr">
        <is>
          <t>32285001155646</t>
        </is>
      </c>
      <c r="BD612" t="inlineStr">
        <is>
          <t>893809129</t>
        </is>
      </c>
    </row>
    <row r="613">
      <c r="A613" t="inlineStr">
        <is>
          <t>No</t>
        </is>
      </c>
      <c r="B613" t="inlineStr">
        <is>
          <t>QB991.B54 S45 1995</t>
        </is>
      </c>
      <c r="C613" t="inlineStr">
        <is>
          <t>0                      QB 0991000B  54                 S  45          1995</t>
        </is>
      </c>
      <c r="D613" t="inlineStr">
        <is>
          <t>The search for infinity : solving the mysteries of the universe / Gordon Fraser, Egil Lillestøl, Inge Sellevåg ; introduction by Stephen Hawking</t>
        </is>
      </c>
      <c r="F613" t="inlineStr">
        <is>
          <t>No</t>
        </is>
      </c>
      <c r="G613" t="inlineStr">
        <is>
          <t>1</t>
        </is>
      </c>
      <c r="H613" t="inlineStr">
        <is>
          <t>No</t>
        </is>
      </c>
      <c r="I613" t="inlineStr">
        <is>
          <t>No</t>
        </is>
      </c>
      <c r="J613" t="inlineStr">
        <is>
          <t>0</t>
        </is>
      </c>
      <c r="K613" t="inlineStr">
        <is>
          <t>Fraser, Gordon, 1943-</t>
        </is>
      </c>
      <c r="L613" t="inlineStr">
        <is>
          <t>New York : Facts on File, c1995.</t>
        </is>
      </c>
      <c r="M613" t="inlineStr">
        <is>
          <t>1995</t>
        </is>
      </c>
      <c r="O613" t="inlineStr">
        <is>
          <t>eng</t>
        </is>
      </c>
      <c r="P613" t="inlineStr">
        <is>
          <t>nyu</t>
        </is>
      </c>
      <c r="R613" t="inlineStr">
        <is>
          <t xml:space="preserve">QB </t>
        </is>
      </c>
      <c r="S613" t="n">
        <v>5</v>
      </c>
      <c r="T613" t="n">
        <v>5</v>
      </c>
      <c r="U613" t="inlineStr">
        <is>
          <t>1996-11-04</t>
        </is>
      </c>
      <c r="V613" t="inlineStr">
        <is>
          <t>1996-11-04</t>
        </is>
      </c>
      <c r="W613" t="inlineStr">
        <is>
          <t>1995-09-27</t>
        </is>
      </c>
      <c r="X613" t="inlineStr">
        <is>
          <t>1995-09-27</t>
        </is>
      </c>
      <c r="Y613" t="n">
        <v>549</v>
      </c>
      <c r="Z613" t="n">
        <v>510</v>
      </c>
      <c r="AA613" t="n">
        <v>526</v>
      </c>
      <c r="AB613" t="n">
        <v>7</v>
      </c>
      <c r="AC613" t="n">
        <v>7</v>
      </c>
      <c r="AD613" t="n">
        <v>16</v>
      </c>
      <c r="AE613" t="n">
        <v>16</v>
      </c>
      <c r="AF613" t="n">
        <v>4</v>
      </c>
      <c r="AG613" t="n">
        <v>4</v>
      </c>
      <c r="AH613" t="n">
        <v>3</v>
      </c>
      <c r="AI613" t="n">
        <v>3</v>
      </c>
      <c r="AJ613" t="n">
        <v>10</v>
      </c>
      <c r="AK613" t="n">
        <v>10</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HYPERLINK("https://creighton-primo.hosted.exlibrisgroup.com/primo-explore/search?tab=default_tab&amp;search_scope=EVERYTHING&amp;vid=01CRU&amp;lang=en_US&amp;offset=0&amp;query=any,contains,991002377549702656","Catalog Record")</f>
        <v/>
      </c>
      <c r="AT613">
        <f>HYPERLINK("http://www.worldcat.org/oclc/30896289","WorldCat Record")</f>
        <v/>
      </c>
      <c r="AU613" t="inlineStr">
        <is>
          <t>33589571:eng</t>
        </is>
      </c>
      <c r="AV613" t="inlineStr">
        <is>
          <t>30896289</t>
        </is>
      </c>
      <c r="AW613" t="inlineStr">
        <is>
          <t>991002377549702656</t>
        </is>
      </c>
      <c r="AX613" t="inlineStr">
        <is>
          <t>991002377549702656</t>
        </is>
      </c>
      <c r="AY613" t="inlineStr">
        <is>
          <t>2272169540002656</t>
        </is>
      </c>
      <c r="AZ613" t="inlineStr">
        <is>
          <t>BOOK</t>
        </is>
      </c>
      <c r="BB613" t="inlineStr">
        <is>
          <t>9780816032501</t>
        </is>
      </c>
      <c r="BC613" t="inlineStr">
        <is>
          <t>32285002094844</t>
        </is>
      </c>
      <c r="BD613" t="inlineStr">
        <is>
          <t>893341359</t>
        </is>
      </c>
    </row>
    <row r="614">
      <c r="A614" t="inlineStr">
        <is>
          <t>No</t>
        </is>
      </c>
      <c r="B614" t="inlineStr">
        <is>
          <t>QB991.B54 S56 2005</t>
        </is>
      </c>
      <c r="C614" t="inlineStr">
        <is>
          <t>0                      QB 0991000B  54                 S  56          2005</t>
        </is>
      </c>
      <c r="D614" t="inlineStr">
        <is>
          <t>Big bang : the origin of the universe / Simon Singh.</t>
        </is>
      </c>
      <c r="F614" t="inlineStr">
        <is>
          <t>No</t>
        </is>
      </c>
      <c r="G614" t="inlineStr">
        <is>
          <t>1</t>
        </is>
      </c>
      <c r="H614" t="inlineStr">
        <is>
          <t>No</t>
        </is>
      </c>
      <c r="I614" t="inlineStr">
        <is>
          <t>No</t>
        </is>
      </c>
      <c r="J614" t="inlineStr">
        <is>
          <t>0</t>
        </is>
      </c>
      <c r="K614" t="inlineStr">
        <is>
          <t>Singh, Simon.</t>
        </is>
      </c>
      <c r="L614" t="inlineStr">
        <is>
          <t>New York : Harper Perennial, 2005.</t>
        </is>
      </c>
      <c r="M614" t="inlineStr">
        <is>
          <t>2005</t>
        </is>
      </c>
      <c r="O614" t="inlineStr">
        <is>
          <t>eng</t>
        </is>
      </c>
      <c r="P614" t="inlineStr">
        <is>
          <t>nyu</t>
        </is>
      </c>
      <c r="R614" t="inlineStr">
        <is>
          <t xml:space="preserve">QB </t>
        </is>
      </c>
      <c r="S614" t="n">
        <v>3</v>
      </c>
      <c r="T614" t="n">
        <v>3</v>
      </c>
      <c r="U614" t="inlineStr">
        <is>
          <t>2010-01-07</t>
        </is>
      </c>
      <c r="V614" t="inlineStr">
        <is>
          <t>2010-01-07</t>
        </is>
      </c>
      <c r="W614" t="inlineStr">
        <is>
          <t>2009-11-30</t>
        </is>
      </c>
      <c r="X614" t="inlineStr">
        <is>
          <t>2009-11-30</t>
        </is>
      </c>
      <c r="Y614" t="n">
        <v>230</v>
      </c>
      <c r="Z614" t="n">
        <v>216</v>
      </c>
      <c r="AA614" t="n">
        <v>1846</v>
      </c>
      <c r="AB614" t="n">
        <v>3</v>
      </c>
      <c r="AC614" t="n">
        <v>16</v>
      </c>
      <c r="AD614" t="n">
        <v>4</v>
      </c>
      <c r="AE614" t="n">
        <v>38</v>
      </c>
      <c r="AF614" t="n">
        <v>2</v>
      </c>
      <c r="AG614" t="n">
        <v>16</v>
      </c>
      <c r="AH614" t="n">
        <v>0</v>
      </c>
      <c r="AI614" t="n">
        <v>7</v>
      </c>
      <c r="AJ614" t="n">
        <v>1</v>
      </c>
      <c r="AK614" t="n">
        <v>13</v>
      </c>
      <c r="AL614" t="n">
        <v>1</v>
      </c>
      <c r="AM614" t="n">
        <v>7</v>
      </c>
      <c r="AN614" t="n">
        <v>0</v>
      </c>
      <c r="AO614" t="n">
        <v>1</v>
      </c>
      <c r="AP614" t="inlineStr">
        <is>
          <t>No</t>
        </is>
      </c>
      <c r="AQ614" t="inlineStr">
        <is>
          <t>No</t>
        </is>
      </c>
      <c r="AS614">
        <f>HYPERLINK("https://creighton-primo.hosted.exlibrisgroup.com/primo-explore/search?tab=default_tab&amp;search_scope=EVERYTHING&amp;vid=01CRU&amp;lang=en_US&amp;offset=0&amp;query=any,contains,991005344379702656","Catalog Record")</f>
        <v/>
      </c>
      <c r="AT614">
        <f>HYPERLINK("http://www.worldcat.org/oclc/62212282","WorldCat Record")</f>
        <v/>
      </c>
      <c r="AU614" t="inlineStr">
        <is>
          <t>2054531124:eng</t>
        </is>
      </c>
      <c r="AV614" t="inlineStr">
        <is>
          <t>62212282</t>
        </is>
      </c>
      <c r="AW614" t="inlineStr">
        <is>
          <t>991005344379702656</t>
        </is>
      </c>
      <c r="AX614" t="inlineStr">
        <is>
          <t>991005344379702656</t>
        </is>
      </c>
      <c r="AY614" t="inlineStr">
        <is>
          <t>2256346240002656</t>
        </is>
      </c>
      <c r="AZ614" t="inlineStr">
        <is>
          <t>BOOK</t>
        </is>
      </c>
      <c r="BB614" t="inlineStr">
        <is>
          <t>9780007162215</t>
        </is>
      </c>
      <c r="BC614" t="inlineStr">
        <is>
          <t>32285005552343</t>
        </is>
      </c>
      <c r="BD614" t="inlineStr">
        <is>
          <t>893594882</t>
        </is>
      </c>
    </row>
    <row r="615">
      <c r="A615" t="inlineStr">
        <is>
          <t>No</t>
        </is>
      </c>
      <c r="B615" t="inlineStr">
        <is>
          <t>QB991.B54 T7 1983</t>
        </is>
      </c>
      <c r="C615" t="inlineStr">
        <is>
          <t>0                      QB 0991000B  54                 T  7           1983</t>
        </is>
      </c>
      <c r="D615" t="inlineStr">
        <is>
          <t>The moment of creation : big bang physics from before the first millisecond to the present universe / James S. Trefil ; illustrations by Gloria Walters.</t>
        </is>
      </c>
      <c r="F615" t="inlineStr">
        <is>
          <t>No</t>
        </is>
      </c>
      <c r="G615" t="inlineStr">
        <is>
          <t>1</t>
        </is>
      </c>
      <c r="H615" t="inlineStr">
        <is>
          <t>No</t>
        </is>
      </c>
      <c r="I615" t="inlineStr">
        <is>
          <t>No</t>
        </is>
      </c>
      <c r="J615" t="inlineStr">
        <is>
          <t>0</t>
        </is>
      </c>
      <c r="K615" t="inlineStr">
        <is>
          <t>Trefil, James, 1938-</t>
        </is>
      </c>
      <c r="L615" t="inlineStr">
        <is>
          <t>New York : Scribner, c1983.</t>
        </is>
      </c>
      <c r="M615" t="inlineStr">
        <is>
          <t>1983</t>
        </is>
      </c>
      <c r="O615" t="inlineStr">
        <is>
          <t>eng</t>
        </is>
      </c>
      <c r="P615" t="inlineStr">
        <is>
          <t>nyu</t>
        </is>
      </c>
      <c r="R615" t="inlineStr">
        <is>
          <t xml:space="preserve">QB </t>
        </is>
      </c>
      <c r="S615" t="n">
        <v>4</v>
      </c>
      <c r="T615" t="n">
        <v>4</v>
      </c>
      <c r="U615" t="inlineStr">
        <is>
          <t>1994-09-28</t>
        </is>
      </c>
      <c r="V615" t="inlineStr">
        <is>
          <t>1994-09-28</t>
        </is>
      </c>
      <c r="W615" t="inlineStr">
        <is>
          <t>1992-12-02</t>
        </is>
      </c>
      <c r="X615" t="inlineStr">
        <is>
          <t>1992-12-02</t>
        </is>
      </c>
      <c r="Y615" t="n">
        <v>1186</v>
      </c>
      <c r="Z615" t="n">
        <v>1120</v>
      </c>
      <c r="AA615" t="n">
        <v>1286</v>
      </c>
      <c r="AB615" t="n">
        <v>8</v>
      </c>
      <c r="AC615" t="n">
        <v>10</v>
      </c>
      <c r="AD615" t="n">
        <v>31</v>
      </c>
      <c r="AE615" t="n">
        <v>39</v>
      </c>
      <c r="AF615" t="n">
        <v>14</v>
      </c>
      <c r="AG615" t="n">
        <v>17</v>
      </c>
      <c r="AH615" t="n">
        <v>4</v>
      </c>
      <c r="AI615" t="n">
        <v>8</v>
      </c>
      <c r="AJ615" t="n">
        <v>15</v>
      </c>
      <c r="AK615" t="n">
        <v>18</v>
      </c>
      <c r="AL615" t="n">
        <v>4</v>
      </c>
      <c r="AM615" t="n">
        <v>5</v>
      </c>
      <c r="AN615" t="n">
        <v>0</v>
      </c>
      <c r="AO615" t="n">
        <v>0</v>
      </c>
      <c r="AP615" t="inlineStr">
        <is>
          <t>No</t>
        </is>
      </c>
      <c r="AQ615" t="inlineStr">
        <is>
          <t>Yes</t>
        </is>
      </c>
      <c r="AR615">
        <f>HYPERLINK("http://catalog.hathitrust.org/Record/000115582","HathiTrust Record")</f>
        <v/>
      </c>
      <c r="AS615">
        <f>HYPERLINK("https://creighton-primo.hosted.exlibrisgroup.com/primo-explore/search?tab=default_tab&amp;search_scope=EVERYTHING&amp;vid=01CRU&amp;lang=en_US&amp;offset=0&amp;query=any,contains,991000219329702656","Catalog Record")</f>
        <v/>
      </c>
      <c r="AT615">
        <f>HYPERLINK("http://www.worldcat.org/oclc/9575558","WorldCat Record")</f>
        <v/>
      </c>
      <c r="AU615" t="inlineStr">
        <is>
          <t>2875437:eng</t>
        </is>
      </c>
      <c r="AV615" t="inlineStr">
        <is>
          <t>9575558</t>
        </is>
      </c>
      <c r="AW615" t="inlineStr">
        <is>
          <t>991000219329702656</t>
        </is>
      </c>
      <c r="AX615" t="inlineStr">
        <is>
          <t>991000219329702656</t>
        </is>
      </c>
      <c r="AY615" t="inlineStr">
        <is>
          <t>2267055730002656</t>
        </is>
      </c>
      <c r="AZ615" t="inlineStr">
        <is>
          <t>BOOK</t>
        </is>
      </c>
      <c r="BB615" t="inlineStr">
        <is>
          <t>9780684179636</t>
        </is>
      </c>
      <c r="BC615" t="inlineStr">
        <is>
          <t>32285001450377</t>
        </is>
      </c>
      <c r="BD615" t="inlineStr">
        <is>
          <t>893802612</t>
        </is>
      </c>
    </row>
    <row r="616">
      <c r="A616" t="inlineStr">
        <is>
          <t>No</t>
        </is>
      </c>
      <c r="B616" t="inlineStr">
        <is>
          <t>QB991.C64 C487 1996</t>
        </is>
      </c>
      <c r="C616" t="inlineStr">
        <is>
          <t>0                      QB 0991000C  64                 C  487         1996</t>
        </is>
      </c>
      <c r="D616" t="inlineStr">
        <is>
          <t>Afterglow of creation : from the fireball to the discovery of cosmic ripples / Marcus Chown.</t>
        </is>
      </c>
      <c r="F616" t="inlineStr">
        <is>
          <t>No</t>
        </is>
      </c>
      <c r="G616" t="inlineStr">
        <is>
          <t>1</t>
        </is>
      </c>
      <c r="H616" t="inlineStr">
        <is>
          <t>No</t>
        </is>
      </c>
      <c r="I616" t="inlineStr">
        <is>
          <t>No</t>
        </is>
      </c>
      <c r="J616" t="inlineStr">
        <is>
          <t>0</t>
        </is>
      </c>
      <c r="K616" t="inlineStr">
        <is>
          <t>Chown, Marcus.</t>
        </is>
      </c>
      <c r="L616" t="inlineStr">
        <is>
          <t>Sausalito, CA : University Science Books, 1996.</t>
        </is>
      </c>
      <c r="M616" t="inlineStr">
        <is>
          <t>1996</t>
        </is>
      </c>
      <c r="O616" t="inlineStr">
        <is>
          <t>eng</t>
        </is>
      </c>
      <c r="P616" t="inlineStr">
        <is>
          <t>cau</t>
        </is>
      </c>
      <c r="R616" t="inlineStr">
        <is>
          <t xml:space="preserve">QB </t>
        </is>
      </c>
      <c r="S616" t="n">
        <v>4</v>
      </c>
      <c r="T616" t="n">
        <v>4</v>
      </c>
      <c r="U616" t="inlineStr">
        <is>
          <t>1999-11-08</t>
        </is>
      </c>
      <c r="V616" t="inlineStr">
        <is>
          <t>1999-11-08</t>
        </is>
      </c>
      <c r="W616" t="inlineStr">
        <is>
          <t>1996-06-04</t>
        </is>
      </c>
      <c r="X616" t="inlineStr">
        <is>
          <t>1996-06-04</t>
        </is>
      </c>
      <c r="Y616" t="n">
        <v>540</v>
      </c>
      <c r="Z616" t="n">
        <v>479</v>
      </c>
      <c r="AA616" t="n">
        <v>487</v>
      </c>
      <c r="AB616" t="n">
        <v>4</v>
      </c>
      <c r="AC616" t="n">
        <v>4</v>
      </c>
      <c r="AD616" t="n">
        <v>18</v>
      </c>
      <c r="AE616" t="n">
        <v>18</v>
      </c>
      <c r="AF616" t="n">
        <v>3</v>
      </c>
      <c r="AG616" t="n">
        <v>3</v>
      </c>
      <c r="AH616" t="n">
        <v>2</v>
      </c>
      <c r="AI616" t="n">
        <v>2</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HYPERLINK("https://creighton-primo.hosted.exlibrisgroup.com/primo-explore/search?tab=default_tab&amp;search_scope=EVERYTHING&amp;vid=01CRU&amp;lang=en_US&amp;offset=0&amp;query=any,contains,991002548409702656","Catalog Record")</f>
        <v/>
      </c>
      <c r="AT616">
        <f>HYPERLINK("http://www.worldcat.org/oclc/33103490","WorldCat Record")</f>
        <v/>
      </c>
      <c r="AU616" t="inlineStr">
        <is>
          <t>5218490270:eng</t>
        </is>
      </c>
      <c r="AV616" t="inlineStr">
        <is>
          <t>33103490</t>
        </is>
      </c>
      <c r="AW616" t="inlineStr">
        <is>
          <t>991002548409702656</t>
        </is>
      </c>
      <c r="AX616" t="inlineStr">
        <is>
          <t>991002548409702656</t>
        </is>
      </c>
      <c r="AY616" t="inlineStr">
        <is>
          <t>2269931250002656</t>
        </is>
      </c>
      <c r="AZ616" t="inlineStr">
        <is>
          <t>BOOK</t>
        </is>
      </c>
      <c r="BB616" t="inlineStr">
        <is>
          <t>9780935702408</t>
        </is>
      </c>
      <c r="BC616" t="inlineStr">
        <is>
          <t>32285002186780</t>
        </is>
      </c>
      <c r="BD616" t="inlineStr">
        <is>
          <t>893591478</t>
        </is>
      </c>
    </row>
    <row r="617">
      <c r="A617" t="inlineStr">
        <is>
          <t>No</t>
        </is>
      </c>
      <c r="B617" t="inlineStr">
        <is>
          <t>QB991.C64 L33 1999</t>
        </is>
      </c>
      <c r="C617" t="inlineStr">
        <is>
          <t>0                      QB 0991000C  64                 L  33          1999</t>
        </is>
      </c>
      <c r="D617" t="inlineStr">
        <is>
          <t>The cosmological background radiation / Marc Lachièze-Rey and Edgard Gunzig.</t>
        </is>
      </c>
      <c r="F617" t="inlineStr">
        <is>
          <t>No</t>
        </is>
      </c>
      <c r="G617" t="inlineStr">
        <is>
          <t>1</t>
        </is>
      </c>
      <c r="H617" t="inlineStr">
        <is>
          <t>No</t>
        </is>
      </c>
      <c r="I617" t="inlineStr">
        <is>
          <t>No</t>
        </is>
      </c>
      <c r="J617" t="inlineStr">
        <is>
          <t>0</t>
        </is>
      </c>
      <c r="K617" t="inlineStr">
        <is>
          <t>Lachièze-Rey, Marc.</t>
        </is>
      </c>
      <c r="L617" t="inlineStr">
        <is>
          <t>New York : Cambridge University Press, 1999.</t>
        </is>
      </c>
      <c r="M617" t="inlineStr">
        <is>
          <t>1999</t>
        </is>
      </c>
      <c r="O617" t="inlineStr">
        <is>
          <t>eng</t>
        </is>
      </c>
      <c r="P617" t="inlineStr">
        <is>
          <t>nyu</t>
        </is>
      </c>
      <c r="R617" t="inlineStr">
        <is>
          <t xml:space="preserve">QB </t>
        </is>
      </c>
      <c r="S617" t="n">
        <v>4</v>
      </c>
      <c r="T617" t="n">
        <v>4</v>
      </c>
      <c r="U617" t="inlineStr">
        <is>
          <t>2009-04-15</t>
        </is>
      </c>
      <c r="V617" t="inlineStr">
        <is>
          <t>2009-04-15</t>
        </is>
      </c>
      <c r="W617" t="inlineStr">
        <is>
          <t>2000-07-24</t>
        </is>
      </c>
      <c r="X617" t="inlineStr">
        <is>
          <t>2000-07-24</t>
        </is>
      </c>
      <c r="Y617" t="n">
        <v>273</v>
      </c>
      <c r="Z617" t="n">
        <v>231</v>
      </c>
      <c r="AA617" t="n">
        <v>244</v>
      </c>
      <c r="AB617" t="n">
        <v>2</v>
      </c>
      <c r="AC617" t="n">
        <v>2</v>
      </c>
      <c r="AD617" t="n">
        <v>12</v>
      </c>
      <c r="AE617" t="n">
        <v>13</v>
      </c>
      <c r="AF617" t="n">
        <v>4</v>
      </c>
      <c r="AG617" t="n">
        <v>4</v>
      </c>
      <c r="AH617" t="n">
        <v>3</v>
      </c>
      <c r="AI617" t="n">
        <v>4</v>
      </c>
      <c r="AJ617" t="n">
        <v>6</v>
      </c>
      <c r="AK617" t="n">
        <v>6</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HYPERLINK("https://creighton-primo.hosted.exlibrisgroup.com/primo-explore/search?tab=default_tab&amp;search_scope=EVERYTHING&amp;vid=01CRU&amp;lang=en_US&amp;offset=0&amp;query=any,contains,991003214449702656","Catalog Record")</f>
        <v/>
      </c>
      <c r="AT617">
        <f>HYPERLINK("http://www.worldcat.org/oclc/39633898","WorldCat Record")</f>
        <v/>
      </c>
      <c r="AU617" t="inlineStr">
        <is>
          <t>20834597:eng</t>
        </is>
      </c>
      <c r="AV617" t="inlineStr">
        <is>
          <t>39633898</t>
        </is>
      </c>
      <c r="AW617" t="inlineStr">
        <is>
          <t>991003214449702656</t>
        </is>
      </c>
      <c r="AX617" t="inlineStr">
        <is>
          <t>991003214449702656</t>
        </is>
      </c>
      <c r="AY617" t="inlineStr">
        <is>
          <t>2268570140002656</t>
        </is>
      </c>
      <c r="AZ617" t="inlineStr">
        <is>
          <t>BOOK</t>
        </is>
      </c>
      <c r="BB617" t="inlineStr">
        <is>
          <t>9780521052153</t>
        </is>
      </c>
      <c r="BC617" t="inlineStr">
        <is>
          <t>32285003741740</t>
        </is>
      </c>
      <c r="BD617" t="inlineStr">
        <is>
          <t>893330074</t>
        </is>
      </c>
    </row>
    <row r="618">
      <c r="A618" t="inlineStr">
        <is>
          <t>No</t>
        </is>
      </c>
      <c r="B618" t="inlineStr">
        <is>
          <t>QB991.C64 P37 1995</t>
        </is>
      </c>
      <c r="C618" t="inlineStr">
        <is>
          <t>0                      QB 0991000C  64                 P  37          1995</t>
        </is>
      </c>
      <c r="D618" t="inlineStr">
        <is>
          <t>3 K : the cosmic microwave background radiation / R.B. Partridge.</t>
        </is>
      </c>
      <c r="F618" t="inlineStr">
        <is>
          <t>No</t>
        </is>
      </c>
      <c r="G618" t="inlineStr">
        <is>
          <t>1</t>
        </is>
      </c>
      <c r="H618" t="inlineStr">
        <is>
          <t>No</t>
        </is>
      </c>
      <c r="I618" t="inlineStr">
        <is>
          <t>No</t>
        </is>
      </c>
      <c r="J618" t="inlineStr">
        <is>
          <t>0</t>
        </is>
      </c>
      <c r="K618" t="inlineStr">
        <is>
          <t>Partridge, R. B.</t>
        </is>
      </c>
      <c r="L618" t="inlineStr">
        <is>
          <t>Cambridge ; New York : Cambridge University Press, 1995.</t>
        </is>
      </c>
      <c r="M618" t="inlineStr">
        <is>
          <t>1995</t>
        </is>
      </c>
      <c r="O618" t="inlineStr">
        <is>
          <t>eng</t>
        </is>
      </c>
      <c r="P618" t="inlineStr">
        <is>
          <t>enk</t>
        </is>
      </c>
      <c r="Q618" t="inlineStr">
        <is>
          <t>Cambridge astrophysics series ; 25</t>
        </is>
      </c>
      <c r="R618" t="inlineStr">
        <is>
          <t xml:space="preserve">QB </t>
        </is>
      </c>
      <c r="S618" t="n">
        <v>8</v>
      </c>
      <c r="T618" t="n">
        <v>8</v>
      </c>
      <c r="U618" t="inlineStr">
        <is>
          <t>2009-04-15</t>
        </is>
      </c>
      <c r="V618" t="inlineStr">
        <is>
          <t>2009-04-15</t>
        </is>
      </c>
      <c r="W618" t="inlineStr">
        <is>
          <t>1996-11-12</t>
        </is>
      </c>
      <c r="X618" t="inlineStr">
        <is>
          <t>1996-11-12</t>
        </is>
      </c>
      <c r="Y618" t="n">
        <v>260</v>
      </c>
      <c r="Z618" t="n">
        <v>180</v>
      </c>
      <c r="AA618" t="n">
        <v>201</v>
      </c>
      <c r="AB618" t="n">
        <v>2</v>
      </c>
      <c r="AC618" t="n">
        <v>2</v>
      </c>
      <c r="AD618" t="n">
        <v>7</v>
      </c>
      <c r="AE618" t="n">
        <v>7</v>
      </c>
      <c r="AF618" t="n">
        <v>1</v>
      </c>
      <c r="AG618" t="n">
        <v>1</v>
      </c>
      <c r="AH618" t="n">
        <v>2</v>
      </c>
      <c r="AI618" t="n">
        <v>2</v>
      </c>
      <c r="AJ618" t="n">
        <v>4</v>
      </c>
      <c r="AK618" t="n">
        <v>4</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HYPERLINK("https://creighton-primo.hosted.exlibrisgroup.com/primo-explore/search?tab=default_tab&amp;search_scope=EVERYTHING&amp;vid=01CRU&amp;lang=en_US&amp;offset=0&amp;query=any,contains,991002328989702656","Catalog Record")</f>
        <v/>
      </c>
      <c r="AT618">
        <f>HYPERLINK("http://www.worldcat.org/oclc/30319172","WorldCat Record")</f>
        <v/>
      </c>
      <c r="AU618" t="inlineStr">
        <is>
          <t>836865812:eng</t>
        </is>
      </c>
      <c r="AV618" t="inlineStr">
        <is>
          <t>30319172</t>
        </is>
      </c>
      <c r="AW618" t="inlineStr">
        <is>
          <t>991002328989702656</t>
        </is>
      </c>
      <c r="AX618" t="inlineStr">
        <is>
          <t>991002328989702656</t>
        </is>
      </c>
      <c r="AY618" t="inlineStr">
        <is>
          <t>2265432240002656</t>
        </is>
      </c>
      <c r="AZ618" t="inlineStr">
        <is>
          <t>BOOK</t>
        </is>
      </c>
      <c r="BB618" t="inlineStr">
        <is>
          <t>9780521352543</t>
        </is>
      </c>
      <c r="BC618" t="inlineStr">
        <is>
          <t>32285002371986</t>
        </is>
      </c>
      <c r="BD618" t="inlineStr">
        <is>
          <t>893867078</t>
        </is>
      </c>
    </row>
    <row r="619">
      <c r="A619" t="inlineStr">
        <is>
          <t>No</t>
        </is>
      </c>
      <c r="B619" t="inlineStr">
        <is>
          <t>QB991.C64 R68 1993</t>
        </is>
      </c>
      <c r="C619" t="inlineStr">
        <is>
          <t>0                      QB 0991000C  64                 R  68          1993</t>
        </is>
      </c>
      <c r="D619" t="inlineStr">
        <is>
          <t>Ripples in the cosmos : a view behind the scenes of the new cosmology / Michael Rowan-Robinson.</t>
        </is>
      </c>
      <c r="F619" t="inlineStr">
        <is>
          <t>No</t>
        </is>
      </c>
      <c r="G619" t="inlineStr">
        <is>
          <t>1</t>
        </is>
      </c>
      <c r="H619" t="inlineStr">
        <is>
          <t>No</t>
        </is>
      </c>
      <c r="I619" t="inlineStr">
        <is>
          <t>No</t>
        </is>
      </c>
      <c r="J619" t="inlineStr">
        <is>
          <t>0</t>
        </is>
      </c>
      <c r="K619" t="inlineStr">
        <is>
          <t>Rowan-Robinson, Michael.</t>
        </is>
      </c>
      <c r="L619" t="inlineStr">
        <is>
          <t>Oxford [England] ; New York : W.H. Freeman Spektrum, c1993.</t>
        </is>
      </c>
      <c r="M619" t="inlineStr">
        <is>
          <t>1993</t>
        </is>
      </c>
      <c r="O619" t="inlineStr">
        <is>
          <t>eng</t>
        </is>
      </c>
      <c r="P619" t="inlineStr">
        <is>
          <t>enk</t>
        </is>
      </c>
      <c r="R619" t="inlineStr">
        <is>
          <t xml:space="preserve">QB </t>
        </is>
      </c>
      <c r="S619" t="n">
        <v>3</v>
      </c>
      <c r="T619" t="n">
        <v>3</v>
      </c>
      <c r="U619" t="inlineStr">
        <is>
          <t>2009-04-15</t>
        </is>
      </c>
      <c r="V619" t="inlineStr">
        <is>
          <t>2009-04-15</t>
        </is>
      </c>
      <c r="W619" t="inlineStr">
        <is>
          <t>1996-01-16</t>
        </is>
      </c>
      <c r="X619" t="inlineStr">
        <is>
          <t>1996-01-16</t>
        </is>
      </c>
      <c r="Y619" t="n">
        <v>630</v>
      </c>
      <c r="Z619" t="n">
        <v>514</v>
      </c>
      <c r="AA619" t="n">
        <v>519</v>
      </c>
      <c r="AB619" t="n">
        <v>3</v>
      </c>
      <c r="AC619" t="n">
        <v>3</v>
      </c>
      <c r="AD619" t="n">
        <v>19</v>
      </c>
      <c r="AE619" t="n">
        <v>19</v>
      </c>
      <c r="AF619" t="n">
        <v>6</v>
      </c>
      <c r="AG619" t="n">
        <v>6</v>
      </c>
      <c r="AH619" t="n">
        <v>5</v>
      </c>
      <c r="AI619" t="n">
        <v>5</v>
      </c>
      <c r="AJ619" t="n">
        <v>10</v>
      </c>
      <c r="AK619" t="n">
        <v>10</v>
      </c>
      <c r="AL619" t="n">
        <v>2</v>
      </c>
      <c r="AM619" t="n">
        <v>2</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HYPERLINK("https://creighton-primo.hosted.exlibrisgroup.com/primo-explore/search?tab=default_tab&amp;search_scope=EVERYTHING&amp;vid=01CRU&amp;lang=en_US&amp;offset=0&amp;query=any,contains,991002175469702656","Catalog Record")</f>
        <v/>
      </c>
      <c r="AT619">
        <f>HYPERLINK("http://www.worldcat.org/oclc/28016060","WorldCat Record")</f>
        <v/>
      </c>
      <c r="AU619" t="inlineStr">
        <is>
          <t>793349986:eng</t>
        </is>
      </c>
      <c r="AV619" t="inlineStr">
        <is>
          <t>28016060</t>
        </is>
      </c>
      <c r="AW619" t="inlineStr">
        <is>
          <t>991002175469702656</t>
        </is>
      </c>
      <c r="AX619" t="inlineStr">
        <is>
          <t>991002175469702656</t>
        </is>
      </c>
      <c r="AY619" t="inlineStr">
        <is>
          <t>2256873900002656</t>
        </is>
      </c>
      <c r="AZ619" t="inlineStr">
        <is>
          <t>BOOK</t>
        </is>
      </c>
      <c r="BB619" t="inlineStr">
        <is>
          <t>9780716745037</t>
        </is>
      </c>
      <c r="BC619" t="inlineStr">
        <is>
          <t>32285002116977</t>
        </is>
      </c>
      <c r="BD619" t="inlineStr">
        <is>
          <t>893590999</t>
        </is>
      </c>
    </row>
    <row r="620">
      <c r="A620" t="inlineStr">
        <is>
          <t>No</t>
        </is>
      </c>
      <c r="B620" t="inlineStr">
        <is>
          <t>QB991.G73 D74 1994</t>
        </is>
      </c>
      <c r="C620" t="inlineStr">
        <is>
          <t>0                      QB 0991000G  73                 D  74          1994</t>
        </is>
      </c>
      <c r="D620" t="inlineStr">
        <is>
          <t>Voyage to the Great Attractor : exploring intergalactic space / Alan Dressler.</t>
        </is>
      </c>
      <c r="F620" t="inlineStr">
        <is>
          <t>No</t>
        </is>
      </c>
      <c r="G620" t="inlineStr">
        <is>
          <t>1</t>
        </is>
      </c>
      <c r="H620" t="inlineStr">
        <is>
          <t>No</t>
        </is>
      </c>
      <c r="I620" t="inlineStr">
        <is>
          <t>No</t>
        </is>
      </c>
      <c r="J620" t="inlineStr">
        <is>
          <t>0</t>
        </is>
      </c>
      <c r="K620" t="inlineStr">
        <is>
          <t>Dressler, Alan Michael.</t>
        </is>
      </c>
      <c r="L620" t="inlineStr">
        <is>
          <t>New York : A.A. Knopf, 1994.</t>
        </is>
      </c>
      <c r="M620" t="inlineStr">
        <is>
          <t>1994</t>
        </is>
      </c>
      <c r="N620" t="inlineStr">
        <is>
          <t>1st ed.</t>
        </is>
      </c>
      <c r="O620" t="inlineStr">
        <is>
          <t>eng</t>
        </is>
      </c>
      <c r="P620" t="inlineStr">
        <is>
          <t>nyu</t>
        </is>
      </c>
      <c r="R620" t="inlineStr">
        <is>
          <t xml:space="preserve">QB </t>
        </is>
      </c>
      <c r="S620" t="n">
        <v>2</v>
      </c>
      <c r="T620" t="n">
        <v>2</v>
      </c>
      <c r="U620" t="inlineStr">
        <is>
          <t>1995-10-27</t>
        </is>
      </c>
      <c r="V620" t="inlineStr">
        <is>
          <t>1995-10-27</t>
        </is>
      </c>
      <c r="W620" t="inlineStr">
        <is>
          <t>1995-09-27</t>
        </is>
      </c>
      <c r="X620" t="inlineStr">
        <is>
          <t>1995-09-27</t>
        </is>
      </c>
      <c r="Y620" t="n">
        <v>740</v>
      </c>
      <c r="Z620" t="n">
        <v>695</v>
      </c>
      <c r="AA620" t="n">
        <v>756</v>
      </c>
      <c r="AB620" t="n">
        <v>7</v>
      </c>
      <c r="AC620" t="n">
        <v>7</v>
      </c>
      <c r="AD620" t="n">
        <v>23</v>
      </c>
      <c r="AE620" t="n">
        <v>24</v>
      </c>
      <c r="AF620" t="n">
        <v>7</v>
      </c>
      <c r="AG620" t="n">
        <v>7</v>
      </c>
      <c r="AH620" t="n">
        <v>4</v>
      </c>
      <c r="AI620" t="n">
        <v>4</v>
      </c>
      <c r="AJ620" t="n">
        <v>13</v>
      </c>
      <c r="AK620" t="n">
        <v>14</v>
      </c>
      <c r="AL620" t="n">
        <v>5</v>
      </c>
      <c r="AM620" t="n">
        <v>5</v>
      </c>
      <c r="AN620" t="n">
        <v>0</v>
      </c>
      <c r="AO620" t="n">
        <v>0</v>
      </c>
      <c r="AP620" t="inlineStr">
        <is>
          <t>No</t>
        </is>
      </c>
      <c r="AQ620" t="inlineStr">
        <is>
          <t>Yes</t>
        </is>
      </c>
      <c r="AR620">
        <f>HYPERLINK("http://catalog.hathitrust.org/Record/002901959","HathiTrust Record")</f>
        <v/>
      </c>
      <c r="AS620">
        <f>HYPERLINK("https://creighton-primo.hosted.exlibrisgroup.com/primo-explore/search?tab=default_tab&amp;search_scope=EVERYTHING&amp;vid=01CRU&amp;lang=en_US&amp;offset=0&amp;query=any,contains,991002297729702656","Catalog Record")</f>
        <v/>
      </c>
      <c r="AT620">
        <f>HYPERLINK("http://www.worldcat.org/oclc/29798847","WorldCat Record")</f>
        <v/>
      </c>
      <c r="AU620" t="inlineStr">
        <is>
          <t>32559473:eng</t>
        </is>
      </c>
      <c r="AV620" t="inlineStr">
        <is>
          <t>29798847</t>
        </is>
      </c>
      <c r="AW620" t="inlineStr">
        <is>
          <t>991002297729702656</t>
        </is>
      </c>
      <c r="AX620" t="inlineStr">
        <is>
          <t>991002297729702656</t>
        </is>
      </c>
      <c r="AY620" t="inlineStr">
        <is>
          <t>2255474230002656</t>
        </is>
      </c>
      <c r="AZ620" t="inlineStr">
        <is>
          <t>BOOK</t>
        </is>
      </c>
      <c r="BB620" t="inlineStr">
        <is>
          <t>9780394588995</t>
        </is>
      </c>
      <c r="BC620" t="inlineStr">
        <is>
          <t>32285002094794</t>
        </is>
      </c>
      <c r="BD620" t="inlineStr">
        <is>
          <t>893251050</t>
        </is>
      </c>
    </row>
    <row r="621">
      <c r="A621" t="inlineStr">
        <is>
          <t>No</t>
        </is>
      </c>
      <c r="B621" t="inlineStr">
        <is>
          <t>QB991.I54 G88 1997</t>
        </is>
      </c>
      <c r="C621" t="inlineStr">
        <is>
          <t>0                      QB 0991000I  54                 G  88          1997</t>
        </is>
      </c>
      <c r="D621" t="inlineStr">
        <is>
          <t>The inflationary universe : the quest for a new theory of cosmic origins / Alan H. Guth ; with a foreword by Alan Lightman.</t>
        </is>
      </c>
      <c r="F621" t="inlineStr">
        <is>
          <t>No</t>
        </is>
      </c>
      <c r="G621" t="inlineStr">
        <is>
          <t>1</t>
        </is>
      </c>
      <c r="H621" t="inlineStr">
        <is>
          <t>No</t>
        </is>
      </c>
      <c r="I621" t="inlineStr">
        <is>
          <t>No</t>
        </is>
      </c>
      <c r="J621" t="inlineStr">
        <is>
          <t>0</t>
        </is>
      </c>
      <c r="K621" t="inlineStr">
        <is>
          <t>Guth, Alan H.</t>
        </is>
      </c>
      <c r="L621" t="inlineStr">
        <is>
          <t>Reading, Mass. : Addison-Wesley Publishing, 1997.</t>
        </is>
      </c>
      <c r="M621" t="inlineStr">
        <is>
          <t>1997</t>
        </is>
      </c>
      <c r="O621" t="inlineStr">
        <is>
          <t>eng</t>
        </is>
      </c>
      <c r="P621" t="inlineStr">
        <is>
          <t>mau</t>
        </is>
      </c>
      <c r="R621" t="inlineStr">
        <is>
          <t xml:space="preserve">QB </t>
        </is>
      </c>
      <c r="S621" t="n">
        <v>2</v>
      </c>
      <c r="T621" t="n">
        <v>2</v>
      </c>
      <c r="U621" t="inlineStr">
        <is>
          <t>2000-11-19</t>
        </is>
      </c>
      <c r="V621" t="inlineStr">
        <is>
          <t>2000-11-19</t>
        </is>
      </c>
      <c r="W621" t="inlineStr">
        <is>
          <t>1997-07-08</t>
        </is>
      </c>
      <c r="X621" t="inlineStr">
        <is>
          <t>1997-07-08</t>
        </is>
      </c>
      <c r="Y621" t="n">
        <v>891</v>
      </c>
      <c r="Z621" t="n">
        <v>813</v>
      </c>
      <c r="AA621" t="n">
        <v>970</v>
      </c>
      <c r="AB621" t="n">
        <v>5</v>
      </c>
      <c r="AC621" t="n">
        <v>6</v>
      </c>
      <c r="AD621" t="n">
        <v>29</v>
      </c>
      <c r="AE621" t="n">
        <v>33</v>
      </c>
      <c r="AF621" t="n">
        <v>10</v>
      </c>
      <c r="AG621" t="n">
        <v>11</v>
      </c>
      <c r="AH621" t="n">
        <v>6</v>
      </c>
      <c r="AI621" t="n">
        <v>7</v>
      </c>
      <c r="AJ621" t="n">
        <v>16</v>
      </c>
      <c r="AK621" t="n">
        <v>17</v>
      </c>
      <c r="AL621" t="n">
        <v>4</v>
      </c>
      <c r="AM621" t="n">
        <v>5</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HYPERLINK("https://creighton-primo.hosted.exlibrisgroup.com/primo-explore/search?tab=default_tab&amp;search_scope=EVERYTHING&amp;vid=01CRU&amp;lang=en_US&amp;offset=0&amp;query=any,contains,991002722689702656","Catalog Record")</f>
        <v/>
      </c>
      <c r="AT621">
        <f>HYPERLINK("http://www.worldcat.org/oclc/35701222","WorldCat Record")</f>
        <v/>
      </c>
      <c r="AU621" t="inlineStr">
        <is>
          <t>20797345:eng</t>
        </is>
      </c>
      <c r="AV621" t="inlineStr">
        <is>
          <t>35701222</t>
        </is>
      </c>
      <c r="AW621" t="inlineStr">
        <is>
          <t>991002722689702656</t>
        </is>
      </c>
      <c r="AX621" t="inlineStr">
        <is>
          <t>991002722689702656</t>
        </is>
      </c>
      <c r="AY621" t="inlineStr">
        <is>
          <t>2271595980002656</t>
        </is>
      </c>
      <c r="AZ621" t="inlineStr">
        <is>
          <t>BOOK</t>
        </is>
      </c>
      <c r="BB621" t="inlineStr">
        <is>
          <t>9780201149425</t>
        </is>
      </c>
      <c r="BC621" t="inlineStr">
        <is>
          <t>32285002880788</t>
        </is>
      </c>
      <c r="BD621" t="inlineStr">
        <is>
          <t>893704431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